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hidePivotFieldList="1" defaultThemeVersion="166925"/>
  <mc:AlternateContent xmlns:mc="http://schemas.openxmlformats.org/markup-compatibility/2006">
    <mc:Choice Requires="x15">
      <x15ac:absPath xmlns:x15ac="http://schemas.microsoft.com/office/spreadsheetml/2010/11/ac" url="https://d.docs.live.net/c22e58db3f345d0b/Imágenes/Descargas/Escritorio/"/>
    </mc:Choice>
  </mc:AlternateContent>
  <xr:revisionPtr revIDLastSave="275" documentId="8_{98CBF261-E3D9-469A-9F8D-0B7CC9138EDB}" xr6:coauthVersionLast="47" xr6:coauthVersionMax="47" xr10:uidLastSave="{0F0CFCD6-AFC1-49B0-A8A3-38A4386B1EC6}"/>
  <bookViews>
    <workbookView xWindow="-108" yWindow="-108" windowWidth="23256" windowHeight="12456" tabRatio="989" xr2:uid="{00000000-000D-0000-FFFF-FFFF00000000}"/>
  </bookViews>
  <sheets>
    <sheet name="Hoja3" sheetId="48" r:id="rId1"/>
    <sheet name="BASE" sheetId="1" r:id="rId2"/>
    <sheet name="DESPACHO DEL ALCALDE" sheetId="46" r:id="rId3"/>
    <sheet name="S INTERIOR" sheetId="45" r:id="rId4"/>
    <sheet name="S. HACIENDA" sheetId="44" r:id="rId5"/>
    <sheet name="LOCALIDAD TURISTICA Y DE LA VIR" sheetId="43" r:id="rId6"/>
    <sheet name="SECRETARIA GENERAL " sheetId="42" r:id="rId7"/>
    <sheet name="S INFRAESTRUCTURA" sheetId="41" r:id="rId8"/>
    <sheet name="S EDUCACION" sheetId="40" r:id="rId9"/>
    <sheet name="S. PARTICIPACION " sheetId="39" r:id="rId10"/>
    <sheet name="S PLANEACION" sheetId="38" r:id="rId11"/>
    <sheet name="DADIS" sheetId="37" r:id="rId12"/>
    <sheet name="LOCALIDAD HISTORICA" sheetId="36" r:id="rId13"/>
    <sheet name="DATT" sheetId="35" r:id="rId14"/>
    <sheet name="VALORIZACION " sheetId="34" r:id="rId15"/>
    <sheet name="ESCUELA DE GOBIERNO" sheetId="33" r:id="rId16"/>
    <sheet name="IDER" sheetId="32" r:id="rId17"/>
    <sheet name="CORVIVIENDA" sheetId="31" r:id="rId18"/>
    <sheet name="IPCC" sheetId="30" r:id="rId19"/>
    <sheet name="EPA" sheetId="29" r:id="rId20"/>
    <sheet name="DISTRISEGURIDAD" sheetId="28" r:id="rId21"/>
    <sheet name="LOCALIDAD INDUSTRIAL " sheetId="27" r:id="rId22"/>
    <sheet name="INSTITUCION UNIVERSITARIA MAYOR" sheetId="26" r:id="rId23"/>
    <sheet name="POAI DICIEMBRE 2022" sheetId="4" state="hidden" r:id="rId24"/>
    <sheet name="Hoja2" sheetId="3" state="hidden" r:id="rId25"/>
  </sheets>
  <definedNames>
    <definedName name="_xlnm._FilterDatabase" localSheetId="1" hidden="1">BASE!$A$1:$AC$1</definedName>
  </definedNames>
  <calcPr calcId="191029"/>
  <pivotCaches>
    <pivotCache cacheId="2" r:id="rId26"/>
    <pivotCache cacheId="3" r:id="rId2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H3" i="1"/>
  <c r="I3" i="1"/>
  <c r="G4" i="1"/>
  <c r="H4" i="1"/>
  <c r="I4" i="1"/>
  <c r="G5" i="1"/>
  <c r="H5" i="1"/>
  <c r="I5" i="1"/>
  <c r="G6" i="1"/>
  <c r="H6" i="1"/>
  <c r="I6" i="1"/>
  <c r="G7" i="1"/>
  <c r="H7" i="1"/>
  <c r="I7" i="1"/>
  <c r="G8" i="1"/>
  <c r="H8" i="1"/>
  <c r="I8" i="1"/>
  <c r="G9" i="1"/>
  <c r="H9" i="1"/>
  <c r="I9" i="1"/>
  <c r="G10" i="1"/>
  <c r="H10" i="1"/>
  <c r="I10" i="1"/>
  <c r="G11" i="1"/>
  <c r="H11" i="1"/>
  <c r="I11" i="1"/>
  <c r="G12" i="1"/>
  <c r="H12" i="1"/>
  <c r="I12" i="1"/>
  <c r="G13" i="1"/>
  <c r="H13" i="1"/>
  <c r="I13" i="1"/>
  <c r="G14" i="1"/>
  <c r="H14" i="1"/>
  <c r="I14" i="1"/>
  <c r="G15" i="1"/>
  <c r="H15" i="1"/>
  <c r="I15" i="1"/>
  <c r="G16" i="1"/>
  <c r="H16" i="1"/>
  <c r="I16" i="1"/>
  <c r="G17" i="1"/>
  <c r="H17" i="1"/>
  <c r="I17" i="1"/>
  <c r="G18" i="1"/>
  <c r="H18" i="1"/>
  <c r="I18" i="1"/>
  <c r="G19" i="1"/>
  <c r="H19" i="1"/>
  <c r="I19" i="1"/>
  <c r="G20" i="1"/>
  <c r="H20" i="1"/>
  <c r="I20" i="1"/>
  <c r="G21" i="1"/>
  <c r="H21" i="1"/>
  <c r="I21" i="1"/>
  <c r="G22" i="1"/>
  <c r="H22" i="1"/>
  <c r="I22" i="1"/>
  <c r="G23" i="1"/>
  <c r="H23" i="1"/>
  <c r="I23" i="1"/>
  <c r="G24" i="1"/>
  <c r="H24" i="1"/>
  <c r="I24" i="1"/>
  <c r="G25" i="1"/>
  <c r="H25" i="1"/>
  <c r="I25" i="1"/>
  <c r="G26" i="1"/>
  <c r="H26" i="1"/>
  <c r="I26" i="1"/>
  <c r="G27" i="1"/>
  <c r="H27" i="1"/>
  <c r="I27" i="1"/>
  <c r="G28" i="1"/>
  <c r="H28" i="1"/>
  <c r="I28" i="1"/>
  <c r="G29" i="1"/>
  <c r="H29" i="1"/>
  <c r="I29" i="1"/>
  <c r="G30" i="1"/>
  <c r="H30" i="1"/>
  <c r="I30" i="1"/>
  <c r="G31" i="1"/>
  <c r="H31" i="1"/>
  <c r="I31" i="1"/>
  <c r="G32" i="1"/>
  <c r="H32" i="1"/>
  <c r="I32" i="1"/>
  <c r="G33" i="1"/>
  <c r="H33" i="1"/>
  <c r="I33" i="1"/>
  <c r="G34" i="1"/>
  <c r="H34" i="1"/>
  <c r="I34" i="1"/>
  <c r="G35" i="1"/>
  <c r="H35" i="1"/>
  <c r="I35" i="1"/>
  <c r="G36" i="1"/>
  <c r="H36" i="1"/>
  <c r="I36" i="1"/>
  <c r="G37" i="1"/>
  <c r="H37" i="1"/>
  <c r="I37" i="1"/>
  <c r="G38" i="1"/>
  <c r="H38" i="1"/>
  <c r="I38" i="1"/>
  <c r="G39" i="1"/>
  <c r="H39" i="1"/>
  <c r="I39" i="1"/>
  <c r="G40" i="1"/>
  <c r="H40" i="1"/>
  <c r="I40" i="1"/>
  <c r="G41" i="1"/>
  <c r="H41" i="1"/>
  <c r="I41" i="1"/>
  <c r="G42" i="1"/>
  <c r="H42" i="1"/>
  <c r="I42" i="1"/>
  <c r="G43" i="1"/>
  <c r="H43" i="1"/>
  <c r="I43" i="1"/>
  <c r="G44" i="1"/>
  <c r="H44" i="1"/>
  <c r="I44" i="1"/>
  <c r="G45" i="1"/>
  <c r="H45" i="1"/>
  <c r="I45" i="1"/>
  <c r="G46" i="1"/>
  <c r="H46" i="1"/>
  <c r="I46" i="1"/>
  <c r="G47" i="1"/>
  <c r="H47" i="1"/>
  <c r="I47" i="1"/>
  <c r="G48" i="1"/>
  <c r="H48" i="1"/>
  <c r="I48" i="1"/>
  <c r="G49" i="1"/>
  <c r="H49" i="1"/>
  <c r="I49" i="1"/>
  <c r="G50" i="1"/>
  <c r="H50" i="1"/>
  <c r="I50" i="1"/>
  <c r="G51" i="1"/>
  <c r="H51" i="1"/>
  <c r="I51" i="1"/>
  <c r="G52" i="1"/>
  <c r="H52" i="1"/>
  <c r="I52" i="1"/>
  <c r="G53" i="1"/>
  <c r="H53" i="1"/>
  <c r="I53" i="1"/>
  <c r="G54" i="1"/>
  <c r="H54" i="1"/>
  <c r="I54" i="1"/>
  <c r="G55" i="1"/>
  <c r="H55" i="1"/>
  <c r="I55" i="1"/>
  <c r="G56" i="1"/>
  <c r="H56" i="1"/>
  <c r="I56" i="1"/>
  <c r="G57" i="1"/>
  <c r="H57" i="1"/>
  <c r="I57" i="1"/>
  <c r="G58" i="1"/>
  <c r="H58" i="1"/>
  <c r="I58" i="1"/>
  <c r="G59" i="1"/>
  <c r="H59" i="1"/>
  <c r="I59" i="1"/>
  <c r="G60" i="1"/>
  <c r="H60" i="1"/>
  <c r="I60" i="1"/>
  <c r="G61" i="1"/>
  <c r="H61" i="1"/>
  <c r="I61" i="1"/>
  <c r="G62" i="1"/>
  <c r="H62" i="1"/>
  <c r="I62" i="1"/>
  <c r="G63" i="1"/>
  <c r="H63" i="1"/>
  <c r="I63" i="1"/>
  <c r="G64" i="1"/>
  <c r="H64" i="1"/>
  <c r="I64" i="1"/>
  <c r="G65" i="1"/>
  <c r="H65" i="1"/>
  <c r="I65" i="1"/>
  <c r="G66" i="1"/>
  <c r="H66" i="1"/>
  <c r="I66" i="1"/>
  <c r="G67" i="1"/>
  <c r="H67" i="1"/>
  <c r="I67" i="1"/>
  <c r="G68" i="1"/>
  <c r="H68" i="1"/>
  <c r="I68" i="1"/>
  <c r="G69" i="1"/>
  <c r="H69" i="1"/>
  <c r="I69" i="1"/>
  <c r="G70" i="1"/>
  <c r="H70" i="1"/>
  <c r="I70" i="1"/>
  <c r="G71" i="1"/>
  <c r="H71" i="1"/>
  <c r="I71" i="1"/>
  <c r="G72" i="1"/>
  <c r="H72" i="1"/>
  <c r="I72" i="1"/>
  <c r="G73" i="1"/>
  <c r="H73" i="1"/>
  <c r="I73" i="1"/>
  <c r="G74" i="1"/>
  <c r="H74" i="1"/>
  <c r="I74" i="1"/>
  <c r="G75" i="1"/>
  <c r="H75" i="1"/>
  <c r="I75" i="1"/>
  <c r="G76" i="1"/>
  <c r="H76" i="1"/>
  <c r="I76" i="1"/>
  <c r="G77" i="1"/>
  <c r="H77" i="1"/>
  <c r="I77" i="1"/>
  <c r="G78" i="1"/>
  <c r="H78" i="1"/>
  <c r="I78" i="1"/>
  <c r="G79" i="1"/>
  <c r="H79" i="1"/>
  <c r="I79" i="1"/>
  <c r="G80" i="1"/>
  <c r="H80" i="1"/>
  <c r="I80" i="1"/>
  <c r="G81" i="1"/>
  <c r="H81" i="1"/>
  <c r="I81" i="1"/>
  <c r="G82" i="1"/>
  <c r="H82" i="1"/>
  <c r="I82" i="1"/>
  <c r="G83" i="1"/>
  <c r="H83" i="1"/>
  <c r="I83" i="1"/>
  <c r="G84" i="1"/>
  <c r="H84" i="1"/>
  <c r="I84" i="1"/>
  <c r="G85" i="1"/>
  <c r="H85" i="1"/>
  <c r="I85" i="1"/>
  <c r="G86" i="1"/>
  <c r="H86" i="1"/>
  <c r="I86" i="1"/>
  <c r="G87" i="1"/>
  <c r="H87" i="1"/>
  <c r="I87" i="1"/>
  <c r="G88" i="1"/>
  <c r="H88" i="1"/>
  <c r="I88" i="1"/>
  <c r="G89" i="1"/>
  <c r="H89" i="1"/>
  <c r="I89" i="1"/>
  <c r="G90" i="1"/>
  <c r="H90" i="1"/>
  <c r="I90" i="1"/>
  <c r="G91" i="1"/>
  <c r="H91" i="1"/>
  <c r="I91" i="1"/>
  <c r="G92" i="1"/>
  <c r="H92" i="1"/>
  <c r="I92" i="1"/>
  <c r="G93" i="1"/>
  <c r="H93" i="1"/>
  <c r="I93" i="1"/>
  <c r="G94" i="1"/>
  <c r="H94" i="1"/>
  <c r="I94" i="1"/>
  <c r="G95" i="1"/>
  <c r="H95" i="1"/>
  <c r="I95" i="1"/>
  <c r="G96" i="1"/>
  <c r="H96" i="1"/>
  <c r="I96" i="1"/>
  <c r="G97" i="1"/>
  <c r="H97" i="1"/>
  <c r="I97" i="1"/>
  <c r="G98" i="1"/>
  <c r="H98" i="1"/>
  <c r="I98" i="1"/>
  <c r="G99" i="1"/>
  <c r="H99" i="1"/>
  <c r="I99" i="1"/>
  <c r="G100" i="1"/>
  <c r="H100" i="1"/>
  <c r="I100" i="1"/>
  <c r="G101" i="1"/>
  <c r="H101" i="1"/>
  <c r="I101" i="1"/>
  <c r="G102" i="1"/>
  <c r="H102" i="1"/>
  <c r="I102" i="1"/>
  <c r="G103" i="1"/>
  <c r="H103" i="1"/>
  <c r="I103" i="1"/>
  <c r="G104" i="1"/>
  <c r="H104" i="1"/>
  <c r="I104" i="1"/>
  <c r="G105" i="1"/>
  <c r="H105" i="1"/>
  <c r="I105" i="1"/>
  <c r="G106" i="1"/>
  <c r="H106" i="1"/>
  <c r="I106" i="1"/>
  <c r="G107" i="1"/>
  <c r="H107" i="1"/>
  <c r="I107" i="1"/>
  <c r="G108" i="1"/>
  <c r="H108" i="1"/>
  <c r="I108" i="1"/>
  <c r="G109" i="1"/>
  <c r="H109" i="1"/>
  <c r="I109" i="1"/>
  <c r="G110" i="1"/>
  <c r="H110" i="1"/>
  <c r="I110" i="1"/>
  <c r="G111" i="1"/>
  <c r="H111" i="1"/>
  <c r="I111" i="1"/>
  <c r="G112" i="1"/>
  <c r="H112" i="1"/>
  <c r="I112" i="1"/>
  <c r="G113" i="1"/>
  <c r="H113" i="1"/>
  <c r="I113" i="1"/>
  <c r="G114" i="1"/>
  <c r="H114" i="1"/>
  <c r="I114" i="1"/>
  <c r="G115" i="1"/>
  <c r="H115" i="1"/>
  <c r="I115" i="1"/>
  <c r="G116" i="1"/>
  <c r="H116" i="1"/>
  <c r="I116" i="1"/>
  <c r="G117" i="1"/>
  <c r="H117" i="1"/>
  <c r="I117" i="1"/>
  <c r="G118" i="1"/>
  <c r="H118" i="1"/>
  <c r="I118" i="1"/>
  <c r="G119" i="1"/>
  <c r="H119" i="1"/>
  <c r="I119" i="1"/>
  <c r="G120" i="1"/>
  <c r="H120" i="1"/>
  <c r="I120" i="1"/>
  <c r="G121" i="1"/>
  <c r="H121" i="1"/>
  <c r="I121" i="1"/>
  <c r="G122" i="1"/>
  <c r="H122" i="1"/>
  <c r="I122" i="1"/>
  <c r="G123" i="1"/>
  <c r="H123" i="1"/>
  <c r="I123" i="1"/>
  <c r="G124" i="1"/>
  <c r="H124" i="1"/>
  <c r="I124" i="1"/>
  <c r="G125" i="1"/>
  <c r="H125" i="1"/>
  <c r="I125" i="1"/>
  <c r="G126" i="1"/>
  <c r="H126" i="1"/>
  <c r="I126" i="1"/>
  <c r="G127" i="1"/>
  <c r="H127" i="1"/>
  <c r="I127" i="1"/>
  <c r="G128" i="1"/>
  <c r="H128" i="1"/>
  <c r="I128" i="1"/>
  <c r="G129" i="1"/>
  <c r="H129" i="1"/>
  <c r="I129" i="1"/>
  <c r="G130" i="1"/>
  <c r="H130" i="1"/>
  <c r="I130" i="1"/>
  <c r="G131" i="1"/>
  <c r="H131" i="1"/>
  <c r="I131" i="1"/>
  <c r="G132" i="1"/>
  <c r="H132" i="1"/>
  <c r="I132" i="1"/>
  <c r="G133" i="1"/>
  <c r="H133" i="1"/>
  <c r="I133" i="1"/>
  <c r="G134" i="1"/>
  <c r="H134" i="1"/>
  <c r="I134" i="1"/>
  <c r="G135" i="1"/>
  <c r="H135" i="1"/>
  <c r="I135" i="1"/>
  <c r="G136" i="1"/>
  <c r="H136" i="1"/>
  <c r="I136" i="1"/>
  <c r="G137" i="1"/>
  <c r="H137" i="1"/>
  <c r="I137" i="1"/>
  <c r="G138" i="1"/>
  <c r="H138" i="1"/>
  <c r="I138" i="1"/>
  <c r="G139" i="1"/>
  <c r="H139" i="1"/>
  <c r="I139" i="1"/>
  <c r="G140" i="1"/>
  <c r="H140" i="1"/>
  <c r="I140" i="1"/>
  <c r="G141" i="1"/>
  <c r="H141" i="1"/>
  <c r="I141" i="1"/>
  <c r="G142" i="1"/>
  <c r="H142" i="1"/>
  <c r="I142" i="1"/>
  <c r="G143" i="1"/>
  <c r="H143" i="1"/>
  <c r="I143" i="1"/>
  <c r="G144" i="1"/>
  <c r="H144" i="1"/>
  <c r="I144" i="1"/>
  <c r="G145" i="1"/>
  <c r="H145" i="1"/>
  <c r="I145" i="1"/>
  <c r="G146" i="1"/>
  <c r="H146" i="1"/>
  <c r="I146" i="1"/>
  <c r="G147" i="1"/>
  <c r="H147" i="1"/>
  <c r="I147" i="1"/>
  <c r="G148" i="1"/>
  <c r="H148" i="1"/>
  <c r="I148" i="1"/>
  <c r="G149" i="1"/>
  <c r="H149" i="1"/>
  <c r="I149" i="1"/>
  <c r="G150" i="1"/>
  <c r="H150" i="1"/>
  <c r="I150" i="1"/>
  <c r="G151" i="1"/>
  <c r="H151" i="1"/>
  <c r="I151" i="1"/>
  <c r="G152" i="1"/>
  <c r="H152" i="1"/>
  <c r="I152" i="1"/>
  <c r="G153" i="1"/>
  <c r="H153" i="1"/>
  <c r="I153" i="1"/>
  <c r="G154" i="1"/>
  <c r="H154" i="1"/>
  <c r="I154" i="1"/>
  <c r="G155" i="1"/>
  <c r="H155" i="1"/>
  <c r="I155" i="1"/>
  <c r="G156" i="1"/>
  <c r="H156" i="1"/>
  <c r="I156" i="1"/>
  <c r="G157" i="1"/>
  <c r="H157" i="1"/>
  <c r="I157" i="1"/>
  <c r="G158" i="1"/>
  <c r="H158" i="1"/>
  <c r="I158" i="1"/>
  <c r="G159" i="1"/>
  <c r="H159" i="1"/>
  <c r="I159" i="1"/>
  <c r="G160" i="1"/>
  <c r="H160" i="1"/>
  <c r="I160" i="1"/>
  <c r="G161" i="1"/>
  <c r="H161" i="1"/>
  <c r="I161" i="1"/>
  <c r="G162" i="1"/>
  <c r="H162" i="1"/>
  <c r="I162" i="1"/>
  <c r="G163" i="1"/>
  <c r="H163" i="1"/>
  <c r="I163" i="1"/>
  <c r="G164" i="1"/>
  <c r="H164" i="1"/>
  <c r="I164" i="1"/>
  <c r="G165" i="1"/>
  <c r="H165" i="1"/>
  <c r="I165" i="1"/>
  <c r="G166" i="1"/>
  <c r="H166" i="1"/>
  <c r="I166" i="1"/>
  <c r="G167" i="1"/>
  <c r="H167" i="1"/>
  <c r="I167" i="1"/>
  <c r="G168" i="1"/>
  <c r="H168" i="1"/>
  <c r="I168" i="1"/>
  <c r="G169" i="1"/>
  <c r="H169" i="1"/>
  <c r="I169" i="1"/>
  <c r="G170" i="1"/>
  <c r="H170" i="1"/>
  <c r="I170" i="1"/>
  <c r="G171" i="1"/>
  <c r="H171" i="1"/>
  <c r="I171" i="1"/>
  <c r="G172" i="1"/>
  <c r="H172" i="1"/>
  <c r="I172" i="1"/>
  <c r="G173" i="1"/>
  <c r="H173" i="1"/>
  <c r="I173" i="1"/>
  <c r="G174" i="1"/>
  <c r="H174" i="1"/>
  <c r="I174" i="1"/>
  <c r="G175" i="1"/>
  <c r="H175" i="1"/>
  <c r="I175" i="1"/>
  <c r="G176" i="1"/>
  <c r="H176" i="1"/>
  <c r="I176" i="1"/>
  <c r="G177" i="1"/>
  <c r="H177" i="1"/>
  <c r="I177" i="1"/>
  <c r="G178" i="1"/>
  <c r="H178" i="1"/>
  <c r="I178" i="1"/>
  <c r="G179" i="1"/>
  <c r="H179" i="1"/>
  <c r="I179" i="1"/>
  <c r="G180" i="1"/>
  <c r="H180" i="1"/>
  <c r="I180" i="1"/>
  <c r="G181" i="1"/>
  <c r="H181" i="1"/>
  <c r="I181" i="1"/>
  <c r="G182" i="1"/>
  <c r="H182" i="1"/>
  <c r="I182" i="1"/>
  <c r="G183" i="1"/>
  <c r="H183" i="1"/>
  <c r="I183" i="1"/>
  <c r="G184" i="1"/>
  <c r="H184" i="1"/>
  <c r="I184" i="1"/>
  <c r="G185" i="1"/>
  <c r="H185" i="1"/>
  <c r="I185" i="1"/>
  <c r="G186" i="1"/>
  <c r="H186" i="1"/>
  <c r="I186" i="1"/>
  <c r="G187" i="1"/>
  <c r="H187" i="1"/>
  <c r="I187" i="1"/>
  <c r="G188" i="1"/>
  <c r="H188" i="1"/>
  <c r="I188" i="1"/>
  <c r="G189" i="1"/>
  <c r="H189" i="1"/>
  <c r="I189" i="1"/>
  <c r="G190" i="1"/>
  <c r="H190" i="1"/>
  <c r="I190" i="1"/>
  <c r="G191" i="1"/>
  <c r="H191" i="1"/>
  <c r="I191" i="1"/>
  <c r="G192" i="1"/>
  <c r="H192" i="1"/>
  <c r="I192" i="1"/>
  <c r="G193" i="1"/>
  <c r="H193" i="1"/>
  <c r="I193" i="1"/>
  <c r="G194" i="1"/>
  <c r="H194" i="1"/>
  <c r="I194" i="1"/>
  <c r="G195" i="1"/>
  <c r="H195" i="1"/>
  <c r="I195" i="1"/>
  <c r="G196" i="1"/>
  <c r="H196" i="1"/>
  <c r="I196" i="1"/>
  <c r="G197" i="1"/>
  <c r="H197" i="1"/>
  <c r="I197" i="1"/>
  <c r="G198" i="1"/>
  <c r="H198" i="1"/>
  <c r="I198" i="1"/>
  <c r="G199" i="1"/>
  <c r="H199" i="1"/>
  <c r="I199" i="1"/>
  <c r="G200" i="1"/>
  <c r="H200" i="1"/>
  <c r="I200" i="1"/>
  <c r="G201" i="1"/>
  <c r="H201" i="1"/>
  <c r="I201" i="1"/>
  <c r="G202" i="1"/>
  <c r="H202" i="1"/>
  <c r="I202" i="1"/>
  <c r="G203" i="1"/>
  <c r="H203" i="1"/>
  <c r="I203" i="1"/>
  <c r="G204" i="1"/>
  <c r="H204" i="1"/>
  <c r="I204" i="1"/>
  <c r="G205" i="1"/>
  <c r="H205" i="1"/>
  <c r="I205" i="1"/>
  <c r="G206" i="1"/>
  <c r="H206" i="1"/>
  <c r="I206" i="1"/>
  <c r="G207" i="1"/>
  <c r="H207" i="1"/>
  <c r="I207" i="1"/>
  <c r="G208" i="1"/>
  <c r="H208" i="1"/>
  <c r="I208" i="1"/>
  <c r="G209" i="1"/>
  <c r="H209" i="1"/>
  <c r="I209" i="1"/>
  <c r="G210" i="1"/>
  <c r="H210" i="1"/>
  <c r="I210" i="1"/>
  <c r="G211" i="1"/>
  <c r="H211" i="1"/>
  <c r="I211" i="1"/>
  <c r="G212" i="1"/>
  <c r="H212" i="1"/>
  <c r="I212" i="1"/>
  <c r="G213" i="1"/>
  <c r="H213" i="1"/>
  <c r="I213" i="1"/>
  <c r="G214" i="1"/>
  <c r="H214" i="1"/>
  <c r="I214" i="1"/>
  <c r="G215" i="1"/>
  <c r="H215" i="1"/>
  <c r="I215" i="1"/>
  <c r="G216" i="1"/>
  <c r="H216" i="1"/>
  <c r="I216" i="1"/>
  <c r="G217" i="1"/>
  <c r="H217" i="1"/>
  <c r="I217" i="1"/>
  <c r="G218" i="1"/>
  <c r="H218" i="1"/>
  <c r="I218" i="1"/>
  <c r="G219" i="1"/>
  <c r="H219" i="1"/>
  <c r="I219" i="1"/>
  <c r="G220" i="1"/>
  <c r="H220" i="1"/>
  <c r="I220" i="1"/>
  <c r="G221" i="1"/>
  <c r="H221" i="1"/>
  <c r="I221" i="1"/>
  <c r="G222" i="1"/>
  <c r="H222" i="1"/>
  <c r="I222" i="1"/>
  <c r="G223" i="1"/>
  <c r="H223" i="1"/>
  <c r="I223" i="1"/>
  <c r="G224" i="1"/>
  <c r="H224" i="1"/>
  <c r="I224" i="1"/>
  <c r="G225" i="1"/>
  <c r="H225" i="1"/>
  <c r="I225" i="1"/>
  <c r="G226" i="1"/>
  <c r="H226" i="1"/>
  <c r="I226" i="1"/>
  <c r="G227" i="1"/>
  <c r="H227" i="1"/>
  <c r="I227" i="1"/>
  <c r="G228" i="1"/>
  <c r="H228" i="1"/>
  <c r="I228" i="1"/>
  <c r="G229" i="1"/>
  <c r="H229" i="1"/>
  <c r="I229" i="1"/>
  <c r="G230" i="1"/>
  <c r="H230" i="1"/>
  <c r="I230" i="1"/>
  <c r="G231" i="1"/>
  <c r="H231" i="1"/>
  <c r="I231" i="1"/>
  <c r="G232" i="1"/>
  <c r="H232" i="1"/>
  <c r="I232" i="1"/>
  <c r="G233" i="1"/>
  <c r="H233" i="1"/>
  <c r="I233" i="1"/>
  <c r="G234" i="1"/>
  <c r="H234" i="1"/>
  <c r="I234" i="1"/>
  <c r="G235" i="1"/>
  <c r="H235" i="1"/>
  <c r="I235" i="1"/>
  <c r="G236" i="1"/>
  <c r="H236" i="1"/>
  <c r="I236" i="1"/>
  <c r="G237" i="1"/>
  <c r="H237" i="1"/>
  <c r="I237" i="1"/>
  <c r="G238" i="1"/>
  <c r="H238" i="1"/>
  <c r="I238" i="1"/>
  <c r="G239" i="1"/>
  <c r="H239" i="1"/>
  <c r="I239" i="1"/>
  <c r="G240" i="1"/>
  <c r="H240" i="1"/>
  <c r="I240" i="1"/>
  <c r="G241" i="1"/>
  <c r="H241" i="1"/>
  <c r="I241" i="1"/>
  <c r="G242" i="1"/>
  <c r="H242" i="1"/>
  <c r="I242" i="1"/>
  <c r="G243" i="1"/>
  <c r="H243" i="1"/>
  <c r="I243" i="1"/>
  <c r="G244" i="1"/>
  <c r="H244" i="1"/>
  <c r="I244" i="1"/>
  <c r="G245" i="1"/>
  <c r="H245" i="1"/>
  <c r="I245" i="1"/>
  <c r="G246" i="1"/>
  <c r="H246" i="1"/>
  <c r="I246" i="1"/>
  <c r="G247" i="1"/>
  <c r="H247" i="1"/>
  <c r="I247" i="1"/>
  <c r="G248" i="1"/>
  <c r="H248" i="1"/>
  <c r="I248" i="1"/>
  <c r="G249" i="1"/>
  <c r="H249" i="1"/>
  <c r="I249" i="1"/>
  <c r="G250" i="1"/>
  <c r="H250" i="1"/>
  <c r="I250" i="1"/>
  <c r="G251" i="1"/>
  <c r="H251" i="1"/>
  <c r="I251" i="1"/>
  <c r="G252" i="1"/>
  <c r="H252" i="1"/>
  <c r="I252" i="1"/>
  <c r="G253" i="1"/>
  <c r="H253" i="1"/>
  <c r="I253" i="1"/>
  <c r="G254" i="1"/>
  <c r="H254" i="1"/>
  <c r="I254" i="1"/>
  <c r="G255" i="1"/>
  <c r="H255" i="1"/>
  <c r="I255" i="1"/>
  <c r="G256" i="1"/>
  <c r="H256" i="1"/>
  <c r="I256" i="1"/>
  <c r="G257" i="1"/>
  <c r="H257" i="1"/>
  <c r="I257" i="1"/>
  <c r="G258" i="1"/>
  <c r="H258" i="1"/>
  <c r="I258" i="1"/>
  <c r="G259" i="1"/>
  <c r="H259" i="1"/>
  <c r="I259" i="1"/>
  <c r="G260" i="1"/>
  <c r="H260" i="1"/>
  <c r="I260" i="1"/>
  <c r="G261" i="1"/>
  <c r="H261" i="1"/>
  <c r="I261" i="1"/>
  <c r="G262" i="1"/>
  <c r="H262" i="1"/>
  <c r="I262" i="1"/>
  <c r="G263" i="1"/>
  <c r="H263" i="1"/>
  <c r="I263" i="1"/>
  <c r="G264" i="1"/>
  <c r="H264" i="1"/>
  <c r="I264" i="1"/>
  <c r="G265" i="1"/>
  <c r="H265" i="1"/>
  <c r="I265" i="1"/>
  <c r="G266" i="1"/>
  <c r="H266" i="1"/>
  <c r="I266" i="1"/>
  <c r="G267" i="1"/>
  <c r="H267" i="1"/>
  <c r="I267" i="1"/>
  <c r="G268" i="1"/>
  <c r="H268" i="1"/>
  <c r="I268" i="1"/>
  <c r="G269" i="1"/>
  <c r="H269" i="1"/>
  <c r="I269" i="1"/>
  <c r="G270" i="1"/>
  <c r="H270" i="1"/>
  <c r="I270" i="1"/>
  <c r="G271" i="1"/>
  <c r="H271" i="1"/>
  <c r="I271" i="1"/>
  <c r="G272" i="1"/>
  <c r="H272" i="1"/>
  <c r="I272" i="1"/>
  <c r="G273" i="1"/>
  <c r="H273" i="1"/>
  <c r="I273" i="1"/>
  <c r="G274" i="1"/>
  <c r="H274" i="1"/>
  <c r="I274" i="1"/>
  <c r="G275" i="1"/>
  <c r="H275" i="1"/>
  <c r="I275" i="1"/>
  <c r="G276" i="1"/>
  <c r="H276" i="1"/>
  <c r="I276" i="1"/>
  <c r="G277" i="1"/>
  <c r="H277" i="1"/>
  <c r="I277" i="1"/>
  <c r="G278" i="1"/>
  <c r="H278" i="1"/>
  <c r="I278" i="1"/>
  <c r="G279" i="1"/>
  <c r="H279" i="1"/>
  <c r="I279" i="1"/>
  <c r="G280" i="1"/>
  <c r="H280" i="1"/>
  <c r="I280" i="1"/>
  <c r="G281" i="1"/>
  <c r="H281" i="1"/>
  <c r="I281" i="1"/>
  <c r="G282" i="1"/>
  <c r="H282" i="1"/>
  <c r="I282" i="1"/>
  <c r="G283" i="1"/>
  <c r="H283" i="1"/>
  <c r="I283" i="1"/>
  <c r="G284" i="1"/>
  <c r="H284" i="1"/>
  <c r="I284" i="1"/>
  <c r="G285" i="1"/>
  <c r="H285" i="1"/>
  <c r="I285" i="1"/>
  <c r="G286" i="1"/>
  <c r="H286" i="1"/>
  <c r="I286" i="1"/>
  <c r="G287" i="1"/>
  <c r="H287" i="1"/>
  <c r="I287" i="1"/>
  <c r="G288" i="1"/>
  <c r="H288" i="1"/>
  <c r="I288" i="1"/>
  <c r="G289" i="1"/>
  <c r="H289" i="1"/>
  <c r="I289" i="1"/>
  <c r="G290" i="1"/>
  <c r="H290" i="1"/>
  <c r="I290" i="1"/>
  <c r="G291" i="1"/>
  <c r="H291" i="1"/>
  <c r="I291" i="1"/>
  <c r="G292" i="1"/>
  <c r="H292" i="1"/>
  <c r="I292" i="1"/>
  <c r="G293" i="1"/>
  <c r="H293" i="1"/>
  <c r="I293" i="1"/>
  <c r="G294" i="1"/>
  <c r="H294" i="1"/>
  <c r="I294" i="1"/>
  <c r="G295" i="1"/>
  <c r="H295" i="1"/>
  <c r="I295" i="1"/>
  <c r="G296" i="1"/>
  <c r="H296" i="1"/>
  <c r="I296" i="1"/>
  <c r="G297" i="1"/>
  <c r="H297" i="1"/>
  <c r="I297" i="1"/>
  <c r="G298" i="1"/>
  <c r="H298" i="1"/>
  <c r="I298" i="1"/>
  <c r="G299" i="1"/>
  <c r="H299" i="1"/>
  <c r="I299" i="1"/>
  <c r="G300" i="1"/>
  <c r="H300" i="1"/>
  <c r="I300" i="1"/>
  <c r="G301" i="1"/>
  <c r="H301" i="1"/>
  <c r="I301" i="1"/>
  <c r="G302" i="1"/>
  <c r="H302" i="1"/>
  <c r="I302" i="1"/>
  <c r="G303" i="1"/>
  <c r="H303" i="1"/>
  <c r="I303" i="1"/>
  <c r="G304" i="1"/>
  <c r="H304" i="1"/>
  <c r="I304" i="1"/>
  <c r="G305" i="1"/>
  <c r="H305" i="1"/>
  <c r="I305" i="1"/>
  <c r="G306" i="1"/>
  <c r="H306" i="1"/>
  <c r="I306" i="1"/>
  <c r="G307" i="1"/>
  <c r="H307" i="1"/>
  <c r="I307" i="1"/>
  <c r="G308" i="1"/>
  <c r="H308" i="1"/>
  <c r="I308" i="1"/>
  <c r="G309" i="1"/>
  <c r="H309" i="1"/>
  <c r="I309" i="1"/>
  <c r="G310" i="1"/>
  <c r="H310" i="1"/>
  <c r="I310" i="1"/>
  <c r="G311" i="1"/>
  <c r="H311" i="1"/>
  <c r="I311" i="1"/>
  <c r="G312" i="1"/>
  <c r="H312" i="1"/>
  <c r="I312" i="1"/>
  <c r="G313" i="1"/>
  <c r="H313" i="1"/>
  <c r="I313" i="1"/>
  <c r="G314" i="1"/>
  <c r="H314" i="1"/>
  <c r="I314" i="1"/>
  <c r="G315" i="1"/>
  <c r="H315" i="1"/>
  <c r="I315" i="1"/>
  <c r="G316" i="1"/>
  <c r="H316" i="1"/>
  <c r="I316" i="1"/>
  <c r="G317" i="1"/>
  <c r="H317" i="1"/>
  <c r="I317" i="1"/>
  <c r="G318" i="1"/>
  <c r="H318" i="1"/>
  <c r="I318" i="1"/>
  <c r="G319" i="1"/>
  <c r="H319" i="1"/>
  <c r="I319" i="1"/>
  <c r="G320" i="1"/>
  <c r="H320" i="1"/>
  <c r="I320" i="1"/>
  <c r="G321" i="1"/>
  <c r="H321" i="1"/>
  <c r="I321" i="1"/>
  <c r="G322" i="1"/>
  <c r="H322" i="1"/>
  <c r="I322" i="1"/>
  <c r="G323" i="1"/>
  <c r="H323" i="1"/>
  <c r="I323" i="1"/>
  <c r="G324" i="1"/>
  <c r="H324" i="1"/>
  <c r="I324" i="1"/>
  <c r="G325" i="1"/>
  <c r="H325" i="1"/>
  <c r="I325" i="1"/>
  <c r="G326" i="1"/>
  <c r="H326" i="1"/>
  <c r="I326" i="1"/>
  <c r="G327" i="1"/>
  <c r="H327" i="1"/>
  <c r="I327" i="1"/>
  <c r="G328" i="1"/>
  <c r="H328" i="1"/>
  <c r="I328" i="1"/>
  <c r="G329" i="1"/>
  <c r="H329" i="1"/>
  <c r="I329" i="1"/>
  <c r="G330" i="1"/>
  <c r="H330" i="1"/>
  <c r="I330" i="1"/>
  <c r="G331" i="1"/>
  <c r="H331" i="1"/>
  <c r="I331" i="1"/>
  <c r="G332" i="1"/>
  <c r="H332" i="1"/>
  <c r="I332" i="1"/>
  <c r="G333" i="1"/>
  <c r="H333" i="1"/>
  <c r="I333" i="1"/>
  <c r="G334" i="1"/>
  <c r="H334" i="1"/>
  <c r="I334" i="1"/>
  <c r="G335" i="1"/>
  <c r="H335" i="1"/>
  <c r="I335" i="1"/>
  <c r="G336" i="1"/>
  <c r="H336" i="1"/>
  <c r="I336" i="1"/>
  <c r="G337" i="1"/>
  <c r="H337" i="1"/>
  <c r="I337" i="1"/>
  <c r="G338" i="1"/>
  <c r="H338" i="1"/>
  <c r="I338" i="1"/>
  <c r="G339" i="1"/>
  <c r="H339" i="1"/>
  <c r="I339" i="1"/>
  <c r="G340" i="1"/>
  <c r="H340" i="1"/>
  <c r="I340" i="1"/>
  <c r="G341" i="1"/>
  <c r="H341" i="1"/>
  <c r="I341" i="1"/>
  <c r="G342" i="1"/>
  <c r="H342" i="1"/>
  <c r="I342" i="1"/>
  <c r="G343" i="1"/>
  <c r="H343" i="1"/>
  <c r="I343" i="1"/>
  <c r="G344" i="1"/>
  <c r="H344" i="1"/>
  <c r="I344" i="1"/>
  <c r="G345" i="1"/>
  <c r="H345" i="1"/>
  <c r="I345" i="1"/>
  <c r="G346" i="1"/>
  <c r="H346" i="1"/>
  <c r="I346" i="1"/>
  <c r="G347" i="1"/>
  <c r="H347" i="1"/>
  <c r="I347" i="1"/>
  <c r="G348" i="1"/>
  <c r="H348" i="1"/>
  <c r="I348" i="1"/>
  <c r="G349" i="1"/>
  <c r="H349" i="1"/>
  <c r="I349" i="1"/>
  <c r="G350" i="1"/>
  <c r="H350" i="1"/>
  <c r="I350" i="1"/>
  <c r="G351" i="1"/>
  <c r="H351" i="1"/>
  <c r="I351" i="1"/>
  <c r="G352" i="1"/>
  <c r="H352" i="1"/>
  <c r="I352" i="1"/>
  <c r="G353" i="1"/>
  <c r="H353" i="1"/>
  <c r="I353" i="1"/>
  <c r="G354" i="1"/>
  <c r="H354" i="1"/>
  <c r="I354" i="1"/>
  <c r="G355" i="1"/>
  <c r="H355" i="1"/>
  <c r="I355" i="1"/>
  <c r="G356" i="1"/>
  <c r="H356" i="1"/>
  <c r="I356" i="1"/>
  <c r="G357" i="1"/>
  <c r="H357" i="1"/>
  <c r="I357" i="1"/>
  <c r="G358" i="1"/>
  <c r="H358" i="1"/>
  <c r="I358" i="1"/>
  <c r="G359" i="1"/>
  <c r="H359" i="1"/>
  <c r="I359" i="1"/>
  <c r="G360" i="1"/>
  <c r="H360" i="1"/>
  <c r="I360" i="1"/>
  <c r="G361" i="1"/>
  <c r="H361" i="1"/>
  <c r="I361" i="1"/>
  <c r="G362" i="1"/>
  <c r="H362" i="1"/>
  <c r="I362" i="1"/>
  <c r="G363" i="1"/>
  <c r="H363" i="1"/>
  <c r="I363" i="1"/>
  <c r="G364" i="1"/>
  <c r="H364" i="1"/>
  <c r="I364" i="1"/>
  <c r="G365" i="1"/>
  <c r="H365" i="1"/>
  <c r="I365" i="1"/>
  <c r="G366" i="1"/>
  <c r="H366" i="1"/>
  <c r="I366" i="1"/>
  <c r="G367" i="1"/>
  <c r="H367" i="1"/>
  <c r="I367" i="1"/>
  <c r="G368" i="1"/>
  <c r="H368" i="1"/>
  <c r="I368" i="1"/>
  <c r="G369" i="1"/>
  <c r="H369" i="1"/>
  <c r="I369" i="1"/>
  <c r="G370" i="1"/>
  <c r="H370" i="1"/>
  <c r="I370" i="1"/>
  <c r="G371" i="1"/>
  <c r="H371" i="1"/>
  <c r="I371" i="1"/>
  <c r="G372" i="1"/>
  <c r="H372" i="1"/>
  <c r="I372" i="1"/>
  <c r="G373" i="1"/>
  <c r="H373" i="1"/>
  <c r="I373" i="1"/>
  <c r="G374" i="1"/>
  <c r="H374" i="1"/>
  <c r="I374" i="1"/>
  <c r="G375" i="1"/>
  <c r="H375" i="1"/>
  <c r="I375" i="1"/>
  <c r="G376" i="1"/>
  <c r="H376" i="1"/>
  <c r="I376" i="1"/>
  <c r="G377" i="1"/>
  <c r="H377" i="1"/>
  <c r="I377" i="1"/>
  <c r="G378" i="1"/>
  <c r="H378" i="1"/>
  <c r="I378" i="1"/>
  <c r="G379" i="1"/>
  <c r="H379" i="1"/>
  <c r="I379" i="1"/>
  <c r="G380" i="1"/>
  <c r="H380" i="1"/>
  <c r="I380" i="1"/>
  <c r="G381" i="1"/>
  <c r="H381" i="1"/>
  <c r="I381" i="1"/>
  <c r="G382" i="1"/>
  <c r="H382" i="1"/>
  <c r="I382" i="1"/>
  <c r="G383" i="1"/>
  <c r="H383" i="1"/>
  <c r="I383" i="1"/>
  <c r="G384" i="1"/>
  <c r="H384" i="1"/>
  <c r="I384" i="1"/>
  <c r="G385" i="1"/>
  <c r="H385" i="1"/>
  <c r="I385" i="1"/>
  <c r="G386" i="1"/>
  <c r="H386" i="1"/>
  <c r="I386" i="1"/>
  <c r="G387" i="1"/>
  <c r="H387" i="1"/>
  <c r="I387" i="1"/>
  <c r="G388" i="1"/>
  <c r="H388" i="1"/>
  <c r="I388" i="1"/>
  <c r="G389" i="1"/>
  <c r="H389" i="1"/>
  <c r="I389" i="1"/>
  <c r="G390" i="1"/>
  <c r="H390" i="1"/>
  <c r="I390" i="1"/>
  <c r="G391" i="1"/>
  <c r="H391" i="1"/>
  <c r="I391" i="1"/>
  <c r="G392" i="1"/>
  <c r="H392" i="1"/>
  <c r="I392" i="1"/>
  <c r="G393" i="1"/>
  <c r="H393" i="1"/>
  <c r="I393" i="1"/>
  <c r="G394" i="1"/>
  <c r="H394" i="1"/>
  <c r="I394" i="1"/>
  <c r="G395" i="1"/>
  <c r="H395" i="1"/>
  <c r="I395" i="1"/>
  <c r="G396" i="1"/>
  <c r="H396" i="1"/>
  <c r="I396" i="1"/>
  <c r="G397" i="1"/>
  <c r="H397" i="1"/>
  <c r="I397" i="1"/>
  <c r="G398" i="1"/>
  <c r="H398" i="1"/>
  <c r="I398" i="1"/>
  <c r="G399" i="1"/>
  <c r="H399" i="1"/>
  <c r="I399" i="1"/>
  <c r="G400" i="1"/>
  <c r="H400" i="1"/>
  <c r="I400" i="1"/>
  <c r="G401" i="1"/>
  <c r="H401" i="1"/>
  <c r="I401" i="1"/>
  <c r="G402" i="1"/>
  <c r="H402" i="1"/>
  <c r="I402" i="1"/>
  <c r="G403" i="1"/>
  <c r="H403" i="1"/>
  <c r="I403" i="1"/>
  <c r="G404" i="1"/>
  <c r="H404" i="1"/>
  <c r="I404" i="1"/>
  <c r="G405" i="1"/>
  <c r="H405" i="1"/>
  <c r="I405" i="1"/>
  <c r="G406" i="1"/>
  <c r="H406" i="1"/>
  <c r="I406" i="1"/>
  <c r="G407" i="1"/>
  <c r="H407" i="1"/>
  <c r="I407" i="1"/>
  <c r="G408" i="1"/>
  <c r="H408" i="1"/>
  <c r="I408" i="1"/>
  <c r="G409" i="1"/>
  <c r="H409" i="1"/>
  <c r="I409" i="1"/>
  <c r="G410" i="1"/>
  <c r="H410" i="1"/>
  <c r="I410" i="1"/>
  <c r="G411" i="1"/>
  <c r="H411" i="1"/>
  <c r="I411" i="1"/>
  <c r="G412" i="1"/>
  <c r="H412" i="1"/>
  <c r="I412" i="1"/>
  <c r="G413" i="1"/>
  <c r="H413" i="1"/>
  <c r="I413" i="1"/>
  <c r="G414" i="1"/>
  <c r="H414" i="1"/>
  <c r="I414" i="1"/>
  <c r="G415" i="1"/>
  <c r="H415" i="1"/>
  <c r="I415" i="1"/>
  <c r="G416" i="1"/>
  <c r="H416" i="1"/>
  <c r="I416" i="1"/>
  <c r="G417" i="1"/>
  <c r="H417" i="1"/>
  <c r="I417" i="1"/>
  <c r="G418" i="1"/>
  <c r="H418" i="1"/>
  <c r="I418" i="1"/>
  <c r="G419" i="1"/>
  <c r="H419" i="1"/>
  <c r="I419" i="1"/>
  <c r="G420" i="1"/>
  <c r="H420" i="1"/>
  <c r="I420" i="1"/>
  <c r="G421" i="1"/>
  <c r="H421" i="1"/>
  <c r="I421" i="1"/>
  <c r="G422" i="1"/>
  <c r="H422" i="1"/>
  <c r="I422" i="1"/>
  <c r="G423" i="1"/>
  <c r="H423" i="1"/>
  <c r="I423" i="1"/>
  <c r="G424" i="1"/>
  <c r="H424" i="1"/>
  <c r="I424" i="1"/>
  <c r="G425" i="1"/>
  <c r="H425" i="1"/>
  <c r="I425" i="1"/>
  <c r="G426" i="1"/>
  <c r="H426" i="1"/>
  <c r="I426" i="1"/>
  <c r="G427" i="1"/>
  <c r="H427" i="1"/>
  <c r="I427" i="1"/>
  <c r="G428" i="1"/>
  <c r="H428" i="1"/>
  <c r="I428" i="1"/>
  <c r="G429" i="1"/>
  <c r="H429" i="1"/>
  <c r="I429" i="1"/>
  <c r="G430" i="1"/>
  <c r="H430" i="1"/>
  <c r="I430" i="1"/>
  <c r="G431" i="1"/>
  <c r="H431" i="1"/>
  <c r="I431" i="1"/>
  <c r="G432" i="1"/>
  <c r="H432" i="1"/>
  <c r="I432" i="1"/>
  <c r="G433" i="1"/>
  <c r="H433" i="1"/>
  <c r="I433" i="1"/>
  <c r="G434" i="1"/>
  <c r="H434" i="1"/>
  <c r="I434" i="1"/>
  <c r="G435" i="1"/>
  <c r="H435" i="1"/>
  <c r="I435" i="1"/>
  <c r="G436" i="1"/>
  <c r="H436" i="1"/>
  <c r="I436" i="1"/>
  <c r="G437" i="1"/>
  <c r="H437" i="1"/>
  <c r="I437" i="1"/>
  <c r="G438" i="1"/>
  <c r="H438" i="1"/>
  <c r="I438" i="1"/>
  <c r="G439" i="1"/>
  <c r="H439" i="1"/>
  <c r="I439" i="1"/>
  <c r="G440" i="1"/>
  <c r="H440" i="1"/>
  <c r="I440" i="1"/>
  <c r="G441" i="1"/>
  <c r="H441" i="1"/>
  <c r="I441" i="1"/>
  <c r="G442" i="1"/>
  <c r="H442" i="1"/>
  <c r="I442" i="1"/>
  <c r="G443" i="1"/>
  <c r="H443" i="1"/>
  <c r="I443" i="1"/>
  <c r="G444" i="1"/>
  <c r="H444" i="1"/>
  <c r="I444" i="1"/>
  <c r="G445" i="1"/>
  <c r="H445" i="1"/>
  <c r="I445" i="1"/>
  <c r="G446" i="1"/>
  <c r="H446" i="1"/>
  <c r="I446" i="1"/>
  <c r="G447" i="1"/>
  <c r="H447" i="1"/>
  <c r="I447" i="1"/>
  <c r="G448" i="1"/>
  <c r="H448" i="1"/>
  <c r="I448" i="1"/>
  <c r="G449" i="1"/>
  <c r="H449" i="1"/>
  <c r="I449" i="1"/>
  <c r="G450" i="1"/>
  <c r="H450" i="1"/>
  <c r="I450" i="1"/>
  <c r="G451" i="1"/>
  <c r="H451" i="1"/>
  <c r="I451" i="1"/>
  <c r="G452" i="1"/>
  <c r="H452" i="1"/>
  <c r="I452" i="1"/>
  <c r="G453" i="1"/>
  <c r="H453" i="1"/>
  <c r="I453" i="1"/>
  <c r="G454" i="1"/>
  <c r="H454" i="1"/>
  <c r="I454" i="1"/>
  <c r="G455" i="1"/>
  <c r="H455" i="1"/>
  <c r="I455" i="1"/>
  <c r="G456" i="1"/>
  <c r="H456" i="1"/>
  <c r="I456" i="1"/>
  <c r="G457" i="1"/>
  <c r="H457" i="1"/>
  <c r="I457" i="1"/>
  <c r="G458" i="1"/>
  <c r="H458" i="1"/>
  <c r="I458" i="1"/>
  <c r="G459" i="1"/>
  <c r="H459" i="1"/>
  <c r="I459" i="1"/>
  <c r="G460" i="1"/>
  <c r="H460" i="1"/>
  <c r="I460" i="1"/>
  <c r="G461" i="1"/>
  <c r="H461" i="1"/>
  <c r="I461" i="1"/>
  <c r="G462" i="1"/>
  <c r="H462" i="1"/>
  <c r="I462" i="1"/>
  <c r="G463" i="1"/>
  <c r="H463" i="1"/>
  <c r="I463" i="1"/>
  <c r="G464" i="1"/>
  <c r="H464" i="1"/>
  <c r="I464" i="1"/>
  <c r="G465" i="1"/>
  <c r="H465" i="1"/>
  <c r="I465" i="1"/>
  <c r="G466" i="1"/>
  <c r="H466" i="1"/>
  <c r="I466" i="1"/>
  <c r="G467" i="1"/>
  <c r="H467" i="1"/>
  <c r="I467" i="1"/>
  <c r="G468" i="1"/>
  <c r="H468" i="1"/>
  <c r="I468" i="1"/>
  <c r="G469" i="1"/>
  <c r="H469" i="1"/>
  <c r="I469" i="1"/>
  <c r="G470" i="1"/>
  <c r="H470" i="1"/>
  <c r="I470" i="1"/>
  <c r="G471" i="1"/>
  <c r="H471" i="1"/>
  <c r="I471" i="1"/>
  <c r="G472" i="1"/>
  <c r="H472" i="1"/>
  <c r="I472" i="1"/>
  <c r="G473" i="1"/>
  <c r="H473" i="1"/>
  <c r="I473" i="1"/>
  <c r="G474" i="1"/>
  <c r="H474" i="1"/>
  <c r="I474" i="1"/>
  <c r="G475" i="1"/>
  <c r="H475" i="1"/>
  <c r="I475" i="1"/>
  <c r="G476" i="1"/>
  <c r="H476" i="1"/>
  <c r="I476" i="1"/>
  <c r="G477" i="1"/>
  <c r="H477" i="1"/>
  <c r="I477" i="1"/>
  <c r="G478" i="1"/>
  <c r="H478" i="1"/>
  <c r="I478" i="1"/>
  <c r="G479" i="1"/>
  <c r="H479" i="1"/>
  <c r="I479" i="1"/>
  <c r="G480" i="1"/>
  <c r="H480" i="1"/>
  <c r="I480" i="1"/>
  <c r="G481" i="1"/>
  <c r="H481" i="1"/>
  <c r="I481" i="1"/>
  <c r="G482" i="1"/>
  <c r="H482" i="1"/>
  <c r="I482" i="1"/>
  <c r="G483" i="1"/>
  <c r="H483" i="1"/>
  <c r="I483" i="1"/>
  <c r="G484" i="1"/>
  <c r="H484" i="1"/>
  <c r="I484" i="1"/>
  <c r="G485" i="1"/>
  <c r="H485" i="1"/>
  <c r="I485" i="1"/>
  <c r="G486" i="1"/>
  <c r="H486" i="1"/>
  <c r="I486" i="1"/>
  <c r="G487" i="1"/>
  <c r="H487" i="1"/>
  <c r="I487" i="1"/>
  <c r="G488" i="1"/>
  <c r="H488" i="1"/>
  <c r="I488" i="1"/>
  <c r="G489" i="1"/>
  <c r="H489" i="1"/>
  <c r="I489" i="1"/>
  <c r="G490" i="1"/>
  <c r="H490" i="1"/>
  <c r="I490" i="1"/>
  <c r="G491" i="1"/>
  <c r="H491" i="1"/>
  <c r="I491" i="1"/>
  <c r="G492" i="1"/>
  <c r="H492" i="1"/>
  <c r="I492" i="1"/>
  <c r="G493" i="1"/>
  <c r="H493" i="1"/>
  <c r="I493" i="1"/>
  <c r="G494" i="1"/>
  <c r="H494" i="1"/>
  <c r="I494" i="1"/>
  <c r="G495" i="1"/>
  <c r="H495" i="1"/>
  <c r="I495" i="1"/>
  <c r="G496" i="1"/>
  <c r="H496" i="1"/>
  <c r="I496" i="1"/>
  <c r="G497" i="1"/>
  <c r="H497" i="1"/>
  <c r="I497" i="1"/>
  <c r="G498" i="1"/>
  <c r="H498" i="1"/>
  <c r="I498" i="1"/>
  <c r="G499" i="1"/>
  <c r="H499" i="1"/>
  <c r="I499" i="1"/>
  <c r="G500" i="1"/>
  <c r="H500" i="1"/>
  <c r="I500" i="1"/>
  <c r="G501" i="1"/>
  <c r="H501" i="1"/>
  <c r="I501" i="1"/>
  <c r="G502" i="1"/>
  <c r="H502" i="1"/>
  <c r="I502" i="1"/>
  <c r="G503" i="1"/>
  <c r="H503" i="1"/>
  <c r="I503" i="1"/>
  <c r="G504" i="1"/>
  <c r="H504" i="1"/>
  <c r="I504" i="1"/>
  <c r="G505" i="1"/>
  <c r="H505" i="1"/>
  <c r="I505" i="1"/>
  <c r="G506" i="1"/>
  <c r="H506" i="1"/>
  <c r="I506" i="1"/>
  <c r="G507" i="1"/>
  <c r="H507" i="1"/>
  <c r="I507" i="1"/>
  <c r="G508" i="1"/>
  <c r="H508" i="1"/>
  <c r="I508" i="1"/>
  <c r="G509" i="1"/>
  <c r="H509" i="1"/>
  <c r="I509" i="1"/>
  <c r="G510" i="1"/>
  <c r="H510" i="1"/>
  <c r="I510" i="1"/>
  <c r="G511" i="1"/>
  <c r="H511" i="1"/>
  <c r="I511" i="1"/>
  <c r="G512" i="1"/>
  <c r="H512" i="1"/>
  <c r="I512" i="1"/>
  <c r="G513" i="1"/>
  <c r="H513" i="1"/>
  <c r="I513" i="1"/>
  <c r="G514" i="1"/>
  <c r="H514" i="1"/>
  <c r="I514" i="1"/>
  <c r="G515" i="1"/>
  <c r="H515" i="1"/>
  <c r="I515" i="1"/>
  <c r="G516" i="1"/>
  <c r="H516" i="1"/>
  <c r="I516" i="1"/>
  <c r="G517" i="1"/>
  <c r="H517" i="1"/>
  <c r="I517" i="1"/>
  <c r="G518" i="1"/>
  <c r="H518" i="1"/>
  <c r="I518" i="1"/>
  <c r="G519" i="1"/>
  <c r="H519" i="1"/>
  <c r="I519" i="1"/>
  <c r="G520" i="1"/>
  <c r="H520" i="1"/>
  <c r="I520" i="1"/>
  <c r="G521" i="1"/>
  <c r="H521" i="1"/>
  <c r="I521" i="1"/>
  <c r="G522" i="1"/>
  <c r="H522" i="1"/>
  <c r="I522" i="1"/>
  <c r="G523" i="1"/>
  <c r="H523" i="1"/>
  <c r="I523" i="1"/>
  <c r="G524" i="1"/>
  <c r="H524" i="1"/>
  <c r="I524" i="1"/>
  <c r="G525" i="1"/>
  <c r="H525" i="1"/>
  <c r="I525" i="1"/>
  <c r="G526" i="1"/>
  <c r="H526" i="1"/>
  <c r="I526" i="1"/>
  <c r="G527" i="1"/>
  <c r="H527" i="1"/>
  <c r="I527" i="1"/>
  <c r="G528" i="1"/>
  <c r="H528" i="1"/>
  <c r="I528" i="1"/>
  <c r="G529" i="1"/>
  <c r="H529" i="1"/>
  <c r="I529" i="1"/>
  <c r="G530" i="1"/>
  <c r="H530" i="1"/>
  <c r="I530" i="1"/>
  <c r="G531" i="1"/>
  <c r="H531" i="1"/>
  <c r="I531" i="1"/>
  <c r="G532" i="1"/>
  <c r="H532" i="1"/>
  <c r="I532" i="1"/>
  <c r="G533" i="1"/>
  <c r="H533" i="1"/>
  <c r="I533" i="1"/>
  <c r="G534" i="1"/>
  <c r="H534" i="1"/>
  <c r="I534" i="1"/>
  <c r="G535" i="1"/>
  <c r="H535" i="1"/>
  <c r="I535" i="1"/>
  <c r="G536" i="1"/>
  <c r="H536" i="1"/>
  <c r="I536" i="1"/>
  <c r="G537" i="1"/>
  <c r="H537" i="1"/>
  <c r="I537" i="1"/>
  <c r="G538" i="1"/>
  <c r="H538" i="1"/>
  <c r="I538" i="1"/>
  <c r="G539" i="1"/>
  <c r="H539" i="1"/>
  <c r="I539" i="1"/>
  <c r="G540" i="1"/>
  <c r="H540" i="1"/>
  <c r="I540" i="1"/>
  <c r="G541" i="1"/>
  <c r="H541" i="1"/>
  <c r="I541" i="1"/>
  <c r="G542" i="1"/>
  <c r="H542" i="1"/>
  <c r="I542" i="1"/>
  <c r="G543" i="1"/>
  <c r="H543" i="1"/>
  <c r="I543" i="1"/>
  <c r="G544" i="1"/>
  <c r="H544" i="1"/>
  <c r="I544" i="1"/>
  <c r="G545" i="1"/>
  <c r="H545" i="1"/>
  <c r="I545" i="1"/>
  <c r="G546" i="1"/>
  <c r="H546" i="1"/>
  <c r="I546" i="1"/>
  <c r="G547" i="1"/>
  <c r="H547" i="1"/>
  <c r="I547" i="1"/>
  <c r="G548" i="1"/>
  <c r="H548" i="1"/>
  <c r="I548" i="1"/>
  <c r="G549" i="1"/>
  <c r="H549" i="1"/>
  <c r="I549" i="1"/>
  <c r="G550" i="1"/>
  <c r="H550" i="1"/>
  <c r="I550" i="1"/>
  <c r="G551" i="1"/>
  <c r="H551" i="1"/>
  <c r="I551" i="1"/>
  <c r="G552" i="1"/>
  <c r="H552" i="1"/>
  <c r="I552" i="1"/>
  <c r="G553" i="1"/>
  <c r="H553" i="1"/>
  <c r="I553" i="1"/>
  <c r="G554" i="1"/>
  <c r="H554" i="1"/>
  <c r="I554" i="1"/>
  <c r="G555" i="1"/>
  <c r="H555" i="1"/>
  <c r="I555" i="1"/>
  <c r="G556" i="1"/>
  <c r="H556" i="1"/>
  <c r="I556" i="1"/>
  <c r="G557" i="1"/>
  <c r="H557" i="1"/>
  <c r="I557" i="1"/>
  <c r="G558" i="1"/>
  <c r="H558" i="1"/>
  <c r="I558" i="1"/>
  <c r="G559" i="1"/>
  <c r="H559" i="1"/>
  <c r="I559" i="1"/>
  <c r="G560" i="1"/>
  <c r="H560" i="1"/>
  <c r="I560" i="1"/>
  <c r="G561" i="1"/>
  <c r="H561" i="1"/>
  <c r="I561" i="1"/>
  <c r="G562" i="1"/>
  <c r="H562" i="1"/>
  <c r="I562" i="1"/>
  <c r="G563" i="1"/>
  <c r="H563" i="1"/>
  <c r="I563" i="1"/>
  <c r="G564" i="1"/>
  <c r="H564" i="1"/>
  <c r="I564" i="1"/>
  <c r="G565" i="1"/>
  <c r="H565" i="1"/>
  <c r="I565" i="1"/>
  <c r="G566" i="1"/>
  <c r="H566" i="1"/>
  <c r="I566" i="1"/>
  <c r="G567" i="1"/>
  <c r="H567" i="1"/>
  <c r="I567" i="1"/>
  <c r="G568" i="1"/>
  <c r="H568" i="1"/>
  <c r="I568" i="1"/>
  <c r="G569" i="1"/>
  <c r="H569" i="1"/>
  <c r="I569" i="1"/>
  <c r="G570" i="1"/>
  <c r="H570" i="1"/>
  <c r="I570" i="1"/>
  <c r="G571" i="1"/>
  <c r="H571" i="1"/>
  <c r="I571" i="1"/>
  <c r="G572" i="1"/>
  <c r="H572" i="1"/>
  <c r="I572" i="1"/>
  <c r="G573" i="1"/>
  <c r="H573" i="1"/>
  <c r="I573" i="1"/>
  <c r="G574" i="1"/>
  <c r="H574" i="1"/>
  <c r="I574" i="1"/>
  <c r="G575" i="1"/>
  <c r="H575" i="1"/>
  <c r="I575" i="1"/>
  <c r="G576" i="1"/>
  <c r="H576" i="1"/>
  <c r="I576" i="1"/>
  <c r="G577" i="1"/>
  <c r="H577" i="1"/>
  <c r="I577" i="1"/>
  <c r="G578" i="1"/>
  <c r="H578" i="1"/>
  <c r="I578" i="1"/>
  <c r="G579" i="1"/>
  <c r="H579" i="1"/>
  <c r="I579" i="1"/>
  <c r="G580" i="1"/>
  <c r="H580" i="1"/>
  <c r="I580" i="1"/>
  <c r="G581" i="1"/>
  <c r="H581" i="1"/>
  <c r="I581" i="1"/>
  <c r="G582" i="1"/>
  <c r="H582" i="1"/>
  <c r="I582" i="1"/>
  <c r="G583" i="1"/>
  <c r="H583" i="1"/>
  <c r="I583" i="1"/>
  <c r="G584" i="1"/>
  <c r="H584" i="1"/>
  <c r="I584" i="1"/>
  <c r="G585" i="1"/>
  <c r="H585" i="1"/>
  <c r="I585" i="1"/>
  <c r="G586" i="1"/>
  <c r="H586" i="1"/>
  <c r="I586" i="1"/>
  <c r="G587" i="1"/>
  <c r="H587" i="1"/>
  <c r="I587" i="1"/>
  <c r="G588" i="1"/>
  <c r="H588" i="1"/>
  <c r="I588" i="1"/>
  <c r="G589" i="1"/>
  <c r="H589" i="1"/>
  <c r="I589" i="1"/>
  <c r="G590" i="1"/>
  <c r="H590" i="1"/>
  <c r="I590" i="1"/>
  <c r="G591" i="1"/>
  <c r="H591" i="1"/>
  <c r="I591" i="1"/>
  <c r="G592" i="1"/>
  <c r="H592" i="1"/>
  <c r="I592" i="1"/>
  <c r="G593" i="1"/>
  <c r="H593" i="1"/>
  <c r="I593" i="1"/>
  <c r="G594" i="1"/>
  <c r="H594" i="1"/>
  <c r="I594" i="1"/>
  <c r="G595" i="1"/>
  <c r="H595" i="1"/>
  <c r="I595" i="1"/>
  <c r="G596" i="1"/>
  <c r="H596" i="1"/>
  <c r="I596" i="1"/>
  <c r="G597" i="1"/>
  <c r="H597" i="1"/>
  <c r="I597" i="1"/>
  <c r="G598" i="1"/>
  <c r="H598" i="1"/>
  <c r="I598" i="1"/>
  <c r="G599" i="1"/>
  <c r="H599" i="1"/>
  <c r="I599" i="1"/>
  <c r="G600" i="1"/>
  <c r="H600" i="1"/>
  <c r="I600" i="1"/>
  <c r="G601" i="1"/>
  <c r="H601" i="1"/>
  <c r="I601" i="1"/>
  <c r="G602" i="1"/>
  <c r="H602" i="1"/>
  <c r="I602" i="1"/>
  <c r="G603" i="1"/>
  <c r="H603" i="1"/>
  <c r="I603" i="1"/>
  <c r="G604" i="1"/>
  <c r="H604" i="1"/>
  <c r="I604" i="1"/>
  <c r="G605" i="1"/>
  <c r="H605" i="1"/>
  <c r="I605" i="1"/>
  <c r="G606" i="1"/>
  <c r="H606" i="1"/>
  <c r="I606" i="1"/>
  <c r="G607" i="1"/>
  <c r="H607" i="1"/>
  <c r="I607" i="1"/>
  <c r="G608" i="1"/>
  <c r="H608" i="1"/>
  <c r="I608" i="1"/>
  <c r="G609" i="1"/>
  <c r="H609" i="1"/>
  <c r="I609" i="1"/>
  <c r="G610" i="1"/>
  <c r="H610" i="1"/>
  <c r="I610" i="1"/>
  <c r="G611" i="1"/>
  <c r="H611" i="1"/>
  <c r="I611" i="1"/>
  <c r="G612" i="1"/>
  <c r="H612" i="1"/>
  <c r="I612" i="1"/>
  <c r="G613" i="1"/>
  <c r="H613" i="1"/>
  <c r="I613" i="1"/>
  <c r="G614" i="1"/>
  <c r="H614" i="1"/>
  <c r="I614" i="1"/>
  <c r="G615" i="1"/>
  <c r="H615" i="1"/>
  <c r="I615" i="1"/>
  <c r="G616" i="1"/>
  <c r="H616" i="1"/>
  <c r="I616" i="1"/>
  <c r="G617" i="1"/>
  <c r="H617" i="1"/>
  <c r="I617" i="1"/>
  <c r="G618" i="1"/>
  <c r="H618" i="1"/>
  <c r="I618" i="1"/>
  <c r="G619" i="1"/>
  <c r="H619" i="1"/>
  <c r="I619" i="1"/>
  <c r="G620" i="1"/>
  <c r="H620" i="1"/>
  <c r="I620" i="1"/>
  <c r="G621" i="1"/>
  <c r="H621" i="1"/>
  <c r="I621" i="1"/>
  <c r="G622" i="1"/>
  <c r="H622" i="1"/>
  <c r="I622" i="1"/>
  <c r="G623" i="1"/>
  <c r="H623" i="1"/>
  <c r="I623" i="1"/>
  <c r="G624" i="1"/>
  <c r="H624" i="1"/>
  <c r="I624" i="1"/>
  <c r="G625" i="1"/>
  <c r="H625" i="1"/>
  <c r="I625" i="1"/>
  <c r="G626" i="1"/>
  <c r="H626" i="1"/>
  <c r="I626" i="1"/>
  <c r="G627" i="1"/>
  <c r="H627" i="1"/>
  <c r="I627" i="1"/>
  <c r="G628" i="1"/>
  <c r="H628" i="1"/>
  <c r="I628" i="1"/>
  <c r="G629" i="1"/>
  <c r="H629" i="1"/>
  <c r="I629" i="1"/>
  <c r="G630" i="1"/>
  <c r="H630" i="1"/>
  <c r="I630" i="1"/>
  <c r="G631" i="1"/>
  <c r="H631" i="1"/>
  <c r="I631" i="1"/>
  <c r="G632" i="1"/>
  <c r="H632" i="1"/>
  <c r="I632" i="1"/>
  <c r="G633" i="1"/>
  <c r="H633" i="1"/>
  <c r="I633" i="1"/>
  <c r="G634" i="1"/>
  <c r="H634" i="1"/>
  <c r="I634" i="1"/>
  <c r="G635" i="1"/>
  <c r="H635" i="1"/>
  <c r="I635" i="1"/>
  <c r="G636" i="1"/>
  <c r="H636" i="1"/>
  <c r="I636" i="1"/>
  <c r="G637" i="1"/>
  <c r="H637" i="1"/>
  <c r="I637" i="1"/>
  <c r="G638" i="1"/>
  <c r="H638" i="1"/>
  <c r="I638" i="1"/>
  <c r="G639" i="1"/>
  <c r="H639" i="1"/>
  <c r="I639" i="1"/>
  <c r="G640" i="1"/>
  <c r="H640" i="1"/>
  <c r="I640" i="1"/>
  <c r="G641" i="1"/>
  <c r="H641" i="1"/>
  <c r="I641" i="1"/>
  <c r="G642" i="1"/>
  <c r="H642" i="1"/>
  <c r="I642" i="1"/>
  <c r="G643" i="1"/>
  <c r="H643" i="1"/>
  <c r="I643" i="1"/>
  <c r="G644" i="1"/>
  <c r="H644" i="1"/>
  <c r="I644" i="1"/>
  <c r="G645" i="1"/>
  <c r="H645" i="1"/>
  <c r="I645" i="1"/>
  <c r="G646" i="1"/>
  <c r="H646" i="1"/>
  <c r="I646" i="1"/>
  <c r="G647" i="1"/>
  <c r="H647" i="1"/>
  <c r="I647" i="1"/>
  <c r="G648" i="1"/>
  <c r="H648" i="1"/>
  <c r="I648" i="1"/>
  <c r="G649" i="1"/>
  <c r="H649" i="1"/>
  <c r="I649" i="1"/>
  <c r="G650" i="1"/>
  <c r="H650" i="1"/>
  <c r="I650" i="1"/>
  <c r="G651" i="1"/>
  <c r="H651" i="1"/>
  <c r="I651" i="1"/>
  <c r="G652" i="1"/>
  <c r="H652" i="1"/>
  <c r="I652" i="1"/>
  <c r="G653" i="1"/>
  <c r="H653" i="1"/>
  <c r="I653" i="1"/>
  <c r="G654" i="1"/>
  <c r="H654" i="1"/>
  <c r="I654" i="1"/>
  <c r="G655" i="1"/>
  <c r="H655" i="1"/>
  <c r="I655" i="1"/>
  <c r="G656" i="1"/>
  <c r="H656" i="1"/>
  <c r="I656" i="1"/>
  <c r="G657" i="1"/>
  <c r="H657" i="1"/>
  <c r="I657" i="1"/>
  <c r="G658" i="1"/>
  <c r="H658" i="1"/>
  <c r="I658" i="1"/>
  <c r="G659" i="1"/>
  <c r="H659" i="1"/>
  <c r="I659" i="1"/>
  <c r="G660" i="1"/>
  <c r="H660" i="1"/>
  <c r="I660" i="1"/>
  <c r="G661" i="1"/>
  <c r="H661" i="1"/>
  <c r="I661" i="1"/>
  <c r="G662" i="1"/>
  <c r="H662" i="1"/>
  <c r="I662" i="1"/>
  <c r="G663" i="1"/>
  <c r="H663" i="1"/>
  <c r="I663" i="1"/>
  <c r="G664" i="1"/>
  <c r="H664" i="1"/>
  <c r="I664" i="1"/>
  <c r="G665" i="1"/>
  <c r="H665" i="1"/>
  <c r="I665" i="1"/>
  <c r="G666" i="1"/>
  <c r="H666" i="1"/>
  <c r="I666" i="1"/>
  <c r="G667" i="1"/>
  <c r="H667" i="1"/>
  <c r="I667" i="1"/>
  <c r="G668" i="1"/>
  <c r="H668" i="1"/>
  <c r="I668" i="1"/>
  <c r="G669" i="1"/>
  <c r="H669" i="1"/>
  <c r="I669" i="1"/>
  <c r="G670" i="1"/>
  <c r="H670" i="1"/>
  <c r="I670" i="1"/>
  <c r="G671" i="1"/>
  <c r="H671" i="1"/>
  <c r="I671" i="1"/>
  <c r="G672" i="1"/>
  <c r="H672" i="1"/>
  <c r="I672" i="1"/>
  <c r="G673" i="1"/>
  <c r="H673" i="1"/>
  <c r="I673" i="1"/>
  <c r="G674" i="1"/>
  <c r="H674" i="1"/>
  <c r="I674" i="1"/>
  <c r="G675" i="1"/>
  <c r="H675" i="1"/>
  <c r="I675" i="1"/>
  <c r="G676" i="1"/>
  <c r="H676" i="1"/>
  <c r="I676" i="1"/>
  <c r="G677" i="1"/>
  <c r="H677" i="1"/>
  <c r="I677" i="1"/>
  <c r="G678" i="1"/>
  <c r="H678" i="1"/>
  <c r="I678" i="1"/>
  <c r="G679" i="1"/>
  <c r="H679" i="1"/>
  <c r="I679" i="1"/>
  <c r="G680" i="1"/>
  <c r="H680" i="1"/>
  <c r="I680" i="1"/>
  <c r="G681" i="1"/>
  <c r="H681" i="1"/>
  <c r="I681" i="1"/>
  <c r="G682" i="1"/>
  <c r="H682" i="1"/>
  <c r="I682" i="1"/>
  <c r="G683" i="1"/>
  <c r="H683" i="1"/>
  <c r="I683" i="1"/>
  <c r="G684" i="1"/>
  <c r="H684" i="1"/>
  <c r="I684" i="1"/>
  <c r="G685" i="1"/>
  <c r="H685" i="1"/>
  <c r="I685" i="1"/>
  <c r="G686" i="1"/>
  <c r="H686" i="1"/>
  <c r="I686" i="1"/>
  <c r="G687" i="1"/>
  <c r="H687" i="1"/>
  <c r="I687" i="1"/>
  <c r="G688" i="1"/>
  <c r="H688" i="1"/>
  <c r="I688" i="1"/>
  <c r="G689" i="1"/>
  <c r="H689" i="1"/>
  <c r="I689" i="1"/>
  <c r="G690" i="1"/>
  <c r="H690" i="1"/>
  <c r="I690" i="1"/>
  <c r="G691" i="1"/>
  <c r="H691" i="1"/>
  <c r="I691" i="1"/>
  <c r="G692" i="1"/>
  <c r="H692" i="1"/>
  <c r="I692" i="1"/>
  <c r="G693" i="1"/>
  <c r="H693" i="1"/>
  <c r="I693" i="1"/>
  <c r="G694" i="1"/>
  <c r="H694" i="1"/>
  <c r="I694" i="1"/>
  <c r="G695" i="1"/>
  <c r="H695" i="1"/>
  <c r="I695" i="1"/>
  <c r="G696" i="1"/>
  <c r="H696" i="1"/>
  <c r="I696" i="1"/>
  <c r="G697" i="1"/>
  <c r="H697" i="1"/>
  <c r="I697" i="1"/>
  <c r="G698" i="1"/>
  <c r="H698" i="1"/>
  <c r="I698" i="1"/>
  <c r="G699" i="1"/>
  <c r="H699" i="1"/>
  <c r="I699" i="1"/>
  <c r="G700" i="1"/>
  <c r="H700" i="1"/>
  <c r="I700" i="1"/>
  <c r="G701" i="1"/>
  <c r="H701" i="1"/>
  <c r="I701" i="1"/>
  <c r="G702" i="1"/>
  <c r="H702" i="1"/>
  <c r="I702" i="1"/>
  <c r="G703" i="1"/>
  <c r="H703" i="1"/>
  <c r="I703" i="1"/>
  <c r="G704" i="1"/>
  <c r="H704" i="1"/>
  <c r="I704" i="1"/>
  <c r="G705" i="1"/>
  <c r="H705" i="1"/>
  <c r="I705" i="1"/>
  <c r="G706" i="1"/>
  <c r="H706" i="1"/>
  <c r="I706" i="1"/>
  <c r="G707" i="1"/>
  <c r="H707" i="1"/>
  <c r="I707" i="1"/>
  <c r="G708" i="1"/>
  <c r="H708" i="1"/>
  <c r="I708" i="1"/>
  <c r="G709" i="1"/>
  <c r="H709" i="1"/>
  <c r="I709" i="1"/>
  <c r="G710" i="1"/>
  <c r="H710" i="1"/>
  <c r="I710" i="1"/>
  <c r="G711" i="1"/>
  <c r="H711" i="1"/>
  <c r="I711" i="1"/>
  <c r="G712" i="1"/>
  <c r="H712" i="1"/>
  <c r="I712" i="1"/>
  <c r="G713" i="1"/>
  <c r="H713" i="1"/>
  <c r="I713" i="1"/>
  <c r="G714" i="1"/>
  <c r="H714" i="1"/>
  <c r="I714" i="1"/>
  <c r="G715" i="1"/>
  <c r="H715" i="1"/>
  <c r="I715" i="1"/>
  <c r="G716" i="1"/>
  <c r="H716" i="1"/>
  <c r="I716" i="1"/>
  <c r="G717" i="1"/>
  <c r="H717" i="1"/>
  <c r="I717" i="1"/>
  <c r="G718" i="1"/>
  <c r="H718" i="1"/>
  <c r="I718" i="1"/>
  <c r="G719" i="1"/>
  <c r="H719" i="1"/>
  <c r="I719" i="1"/>
  <c r="G720" i="1"/>
  <c r="H720" i="1"/>
  <c r="I720" i="1"/>
  <c r="G721" i="1"/>
  <c r="H721" i="1"/>
  <c r="I721" i="1"/>
  <c r="G722" i="1"/>
  <c r="H722" i="1"/>
  <c r="I722" i="1"/>
  <c r="G723" i="1"/>
  <c r="H723" i="1"/>
  <c r="I723" i="1"/>
  <c r="G724" i="1"/>
  <c r="H724" i="1"/>
  <c r="I724" i="1"/>
  <c r="G725" i="1"/>
  <c r="H725" i="1"/>
  <c r="I725" i="1"/>
  <c r="G726" i="1"/>
  <c r="H726" i="1"/>
  <c r="I726" i="1"/>
  <c r="G727" i="1"/>
  <c r="H727" i="1"/>
  <c r="I727" i="1"/>
  <c r="G728" i="1"/>
  <c r="H728" i="1"/>
  <c r="I728" i="1"/>
  <c r="G729" i="1"/>
  <c r="H729" i="1"/>
  <c r="I729" i="1"/>
  <c r="G730" i="1"/>
  <c r="H730" i="1"/>
  <c r="I730" i="1"/>
  <c r="G731" i="1"/>
  <c r="H731" i="1"/>
  <c r="I731" i="1"/>
  <c r="G732" i="1"/>
  <c r="H732" i="1"/>
  <c r="I732" i="1"/>
  <c r="G733" i="1"/>
  <c r="H733" i="1"/>
  <c r="I733" i="1"/>
  <c r="G734" i="1"/>
  <c r="H734" i="1"/>
  <c r="I734" i="1"/>
  <c r="G735" i="1"/>
  <c r="H735" i="1"/>
  <c r="I735" i="1"/>
  <c r="G736" i="1"/>
  <c r="H736" i="1"/>
  <c r="I736" i="1"/>
  <c r="G737" i="1"/>
  <c r="H737" i="1"/>
  <c r="I737" i="1"/>
  <c r="G738" i="1"/>
  <c r="H738" i="1"/>
  <c r="I738" i="1"/>
  <c r="G739" i="1"/>
  <c r="H739" i="1"/>
  <c r="I739" i="1"/>
  <c r="G740" i="1"/>
  <c r="H740" i="1"/>
  <c r="I740" i="1"/>
  <c r="G741" i="1"/>
  <c r="H741" i="1"/>
  <c r="I741" i="1"/>
  <c r="G742" i="1"/>
  <c r="H742" i="1"/>
  <c r="I742" i="1"/>
  <c r="G743" i="1"/>
  <c r="H743" i="1"/>
  <c r="I743" i="1"/>
  <c r="G744" i="1"/>
  <c r="H744" i="1"/>
  <c r="I744" i="1"/>
  <c r="G745" i="1"/>
  <c r="H745" i="1"/>
  <c r="I745" i="1"/>
  <c r="G746" i="1"/>
  <c r="H746" i="1"/>
  <c r="I746" i="1"/>
  <c r="G747" i="1"/>
  <c r="H747" i="1"/>
  <c r="I747" i="1"/>
  <c r="G748" i="1"/>
  <c r="H748" i="1"/>
  <c r="I748" i="1"/>
  <c r="G749" i="1"/>
  <c r="H749" i="1"/>
  <c r="I749" i="1"/>
  <c r="G750" i="1"/>
  <c r="H750" i="1"/>
  <c r="I750" i="1"/>
  <c r="G751" i="1"/>
  <c r="H751" i="1"/>
  <c r="I751" i="1"/>
  <c r="G752" i="1"/>
  <c r="H752" i="1"/>
  <c r="I752" i="1"/>
  <c r="G753" i="1"/>
  <c r="H753" i="1"/>
  <c r="I753" i="1"/>
  <c r="G754" i="1"/>
  <c r="H754" i="1"/>
  <c r="I754" i="1"/>
  <c r="G755" i="1"/>
  <c r="H755" i="1"/>
  <c r="I755" i="1"/>
  <c r="G756" i="1"/>
  <c r="H756" i="1"/>
  <c r="I756" i="1"/>
  <c r="G757" i="1"/>
  <c r="H757" i="1"/>
  <c r="I757" i="1"/>
  <c r="G758" i="1"/>
  <c r="H758" i="1"/>
  <c r="I758" i="1"/>
  <c r="G759" i="1"/>
  <c r="H759" i="1"/>
  <c r="I759" i="1"/>
  <c r="G760" i="1"/>
  <c r="H760" i="1"/>
  <c r="I760" i="1"/>
  <c r="G761" i="1"/>
  <c r="H761" i="1"/>
  <c r="I761" i="1"/>
  <c r="G762" i="1"/>
  <c r="H762" i="1"/>
  <c r="I762" i="1"/>
  <c r="G763" i="1"/>
  <c r="H763" i="1"/>
  <c r="I763" i="1"/>
  <c r="G764" i="1"/>
  <c r="H764" i="1"/>
  <c r="I764" i="1"/>
  <c r="G765" i="1"/>
  <c r="H765" i="1"/>
  <c r="I765" i="1"/>
  <c r="G766" i="1"/>
  <c r="H766" i="1"/>
  <c r="I766" i="1"/>
  <c r="G767" i="1"/>
  <c r="H767" i="1"/>
  <c r="I767" i="1"/>
  <c r="G768" i="1"/>
  <c r="H768" i="1"/>
  <c r="I768" i="1"/>
  <c r="G769" i="1"/>
  <c r="H769" i="1"/>
  <c r="I769" i="1"/>
  <c r="G770" i="1"/>
  <c r="H770" i="1"/>
  <c r="I770" i="1"/>
  <c r="I2" i="1"/>
  <c r="H2" i="1"/>
  <c r="G2"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2" i="1"/>
  <c r="C473" i="1" l="1"/>
  <c r="E473" i="1" s="1"/>
  <c r="K473" i="1"/>
  <c r="Q473" i="1"/>
  <c r="R473" i="1"/>
  <c r="C475" i="1"/>
  <c r="E475" i="1" s="1"/>
  <c r="K475" i="1"/>
  <c r="Q475" i="1"/>
  <c r="R475" i="1"/>
  <c r="C478" i="1"/>
  <c r="E478" i="1" s="1"/>
  <c r="K478" i="1"/>
  <c r="Q478" i="1"/>
  <c r="R478" i="1"/>
  <c r="C481" i="1"/>
  <c r="E481" i="1" s="1"/>
  <c r="K481" i="1"/>
  <c r="Q481" i="1"/>
  <c r="R481" i="1"/>
  <c r="C482" i="1"/>
  <c r="E482" i="1" s="1"/>
  <c r="K482" i="1"/>
  <c r="Q482" i="1"/>
  <c r="R482" i="1"/>
  <c r="C483" i="1"/>
  <c r="E483" i="1" s="1"/>
  <c r="K483" i="1"/>
  <c r="Q483" i="1"/>
  <c r="R483" i="1"/>
  <c r="C716" i="1"/>
  <c r="E716" i="1" s="1"/>
  <c r="K716" i="1"/>
  <c r="Q716" i="1"/>
  <c r="R716" i="1"/>
  <c r="C122" i="1"/>
  <c r="E122" i="1" s="1"/>
  <c r="K122" i="1"/>
  <c r="Q122" i="1"/>
  <c r="R122" i="1"/>
  <c r="C694" i="1"/>
  <c r="E694" i="1" s="1"/>
  <c r="K694" i="1"/>
  <c r="Q694" i="1"/>
  <c r="R694" i="1"/>
  <c r="C182" i="1"/>
  <c r="E182" i="1" s="1"/>
  <c r="K182" i="1"/>
  <c r="Q182" i="1"/>
  <c r="R182" i="1"/>
  <c r="C695" i="1"/>
  <c r="E695" i="1" s="1"/>
  <c r="K695" i="1"/>
  <c r="Q695" i="1"/>
  <c r="R695" i="1"/>
  <c r="C21" i="1"/>
  <c r="E21" i="1" s="1"/>
  <c r="K21" i="1"/>
  <c r="Q21" i="1"/>
  <c r="R21" i="1"/>
  <c r="C22" i="1"/>
  <c r="E22" i="1" s="1"/>
  <c r="K22" i="1"/>
  <c r="Q22" i="1"/>
  <c r="R22" i="1"/>
  <c r="C696" i="1"/>
  <c r="E696" i="1" s="1"/>
  <c r="K696" i="1"/>
  <c r="Q696" i="1"/>
  <c r="R696" i="1"/>
  <c r="C476" i="1"/>
  <c r="E476" i="1" s="1"/>
  <c r="K476" i="1"/>
  <c r="Q476" i="1"/>
  <c r="R476" i="1"/>
  <c r="C479" i="1"/>
  <c r="E479" i="1" s="1"/>
  <c r="K479" i="1"/>
  <c r="Q479" i="1"/>
  <c r="R479" i="1"/>
  <c r="C23" i="1"/>
  <c r="E23" i="1" s="1"/>
  <c r="K23" i="1"/>
  <c r="Q23" i="1"/>
  <c r="R23" i="1"/>
  <c r="C183" i="1"/>
  <c r="E183" i="1" s="1"/>
  <c r="K183" i="1"/>
  <c r="Q183" i="1"/>
  <c r="R183" i="1"/>
  <c r="C24" i="1"/>
  <c r="E24" i="1" s="1"/>
  <c r="K24" i="1"/>
  <c r="Q24" i="1"/>
  <c r="R24" i="1"/>
  <c r="C697" i="1"/>
  <c r="E697" i="1" s="1"/>
  <c r="K697" i="1"/>
  <c r="Q697" i="1"/>
  <c r="R697" i="1"/>
  <c r="C25" i="1"/>
  <c r="E25" i="1" s="1"/>
  <c r="K25" i="1"/>
  <c r="Q25" i="1"/>
  <c r="R25" i="1"/>
  <c r="C26" i="1"/>
  <c r="E26" i="1" s="1"/>
  <c r="K26" i="1"/>
  <c r="Q26" i="1"/>
  <c r="R26" i="1"/>
  <c r="C676" i="1"/>
  <c r="E676" i="1" s="1"/>
  <c r="K676" i="1"/>
  <c r="Q676" i="1"/>
  <c r="R676" i="1"/>
  <c r="C27" i="1"/>
  <c r="E27" i="1" s="1"/>
  <c r="K27" i="1"/>
  <c r="Q27" i="1"/>
  <c r="R27" i="1"/>
  <c r="C28" i="1"/>
  <c r="E28" i="1" s="1"/>
  <c r="K28" i="1"/>
  <c r="Q28" i="1"/>
  <c r="R28" i="1"/>
  <c r="C29" i="1"/>
  <c r="E29" i="1" s="1"/>
  <c r="K29" i="1"/>
  <c r="Q29" i="1"/>
  <c r="R29" i="1"/>
  <c r="C118" i="1"/>
  <c r="E118" i="1" s="1"/>
  <c r="K118" i="1"/>
  <c r="Q118" i="1"/>
  <c r="R118" i="1"/>
  <c r="C119" i="1"/>
  <c r="E119" i="1" s="1"/>
  <c r="K119" i="1"/>
  <c r="Q119" i="1"/>
  <c r="R119" i="1"/>
  <c r="C419" i="1"/>
  <c r="E419" i="1" s="1"/>
  <c r="K419" i="1"/>
  <c r="Q419" i="1"/>
  <c r="R419" i="1"/>
  <c r="C30" i="1"/>
  <c r="E30" i="1" s="1"/>
  <c r="K30" i="1"/>
  <c r="Q30" i="1"/>
  <c r="R30" i="1"/>
  <c r="C420" i="1"/>
  <c r="E420" i="1" s="1"/>
  <c r="K420" i="1"/>
  <c r="Q420" i="1"/>
  <c r="R420" i="1"/>
  <c r="C677" i="1"/>
  <c r="E677" i="1" s="1"/>
  <c r="K677" i="1"/>
  <c r="Q677" i="1"/>
  <c r="R677" i="1"/>
  <c r="C31" i="1"/>
  <c r="E31" i="1" s="1"/>
  <c r="K31" i="1"/>
  <c r="Q31" i="1"/>
  <c r="R31" i="1"/>
  <c r="C698" i="1"/>
  <c r="E698" i="1" s="1"/>
  <c r="K698" i="1"/>
  <c r="Q698" i="1"/>
  <c r="R698" i="1"/>
  <c r="C32" i="1"/>
  <c r="E32" i="1" s="1"/>
  <c r="K32" i="1"/>
  <c r="Q32" i="1"/>
  <c r="R32" i="1"/>
  <c r="C41" i="1"/>
  <c r="E41" i="1" s="1"/>
  <c r="K41" i="1"/>
  <c r="Q41" i="1"/>
  <c r="R41" i="1"/>
  <c r="C421" i="1"/>
  <c r="E421" i="1" s="1"/>
  <c r="K421" i="1"/>
  <c r="Q421" i="1"/>
  <c r="R421" i="1"/>
  <c r="C33" i="1"/>
  <c r="E33" i="1" s="1"/>
  <c r="K33" i="1"/>
  <c r="Q33" i="1"/>
  <c r="R33" i="1"/>
  <c r="C34" i="1"/>
  <c r="E34" i="1" s="1"/>
  <c r="K34" i="1"/>
  <c r="Q34" i="1"/>
  <c r="R34" i="1"/>
  <c r="C35" i="1"/>
  <c r="E35" i="1" s="1"/>
  <c r="K35" i="1"/>
  <c r="Q35" i="1"/>
  <c r="R35" i="1"/>
  <c r="C36" i="1"/>
  <c r="E36" i="1" s="1"/>
  <c r="K36" i="1"/>
  <c r="Q36" i="1"/>
  <c r="R36" i="1"/>
  <c r="C45" i="1"/>
  <c r="E45" i="1" s="1"/>
  <c r="K45" i="1"/>
  <c r="Q45" i="1"/>
  <c r="R45" i="1"/>
  <c r="C692" i="1"/>
  <c r="E692" i="1" s="1"/>
  <c r="K692" i="1"/>
  <c r="Q692" i="1"/>
  <c r="R692" i="1"/>
  <c r="C699" i="1"/>
  <c r="E699" i="1" s="1"/>
  <c r="K699" i="1"/>
  <c r="Q699" i="1"/>
  <c r="R699" i="1"/>
  <c r="C471" i="1"/>
  <c r="E471" i="1" s="1"/>
  <c r="K471" i="1"/>
  <c r="Q471" i="1"/>
  <c r="R471" i="1"/>
  <c r="C474" i="1"/>
  <c r="E474" i="1" s="1"/>
  <c r="K474" i="1"/>
  <c r="Q474" i="1"/>
  <c r="R474" i="1"/>
  <c r="C477" i="1"/>
  <c r="E477" i="1" s="1"/>
  <c r="K477" i="1"/>
  <c r="Q477" i="1"/>
  <c r="R477" i="1"/>
  <c r="C480" i="1"/>
  <c r="E480" i="1" s="1"/>
  <c r="K480" i="1"/>
  <c r="Q480" i="1"/>
  <c r="R480" i="1"/>
  <c r="C678" i="1"/>
  <c r="E678" i="1" s="1"/>
  <c r="K678" i="1"/>
  <c r="Q678" i="1"/>
  <c r="R678" i="1"/>
  <c r="C37" i="1"/>
  <c r="E37" i="1" s="1"/>
  <c r="K37" i="1"/>
  <c r="Q37" i="1"/>
  <c r="R37" i="1"/>
  <c r="C42" i="1"/>
  <c r="E42" i="1" s="1"/>
  <c r="K42" i="1"/>
  <c r="Q42" i="1"/>
  <c r="R42" i="1"/>
  <c r="C422" i="1"/>
  <c r="E422" i="1" s="1"/>
  <c r="K422" i="1"/>
  <c r="Q422" i="1"/>
  <c r="R422" i="1"/>
  <c r="C238" i="1"/>
  <c r="E238" i="1" s="1"/>
  <c r="K238" i="1"/>
  <c r="Q238" i="1"/>
  <c r="R238" i="1"/>
  <c r="C700" i="1"/>
  <c r="E700" i="1" s="1"/>
  <c r="K700" i="1"/>
  <c r="Q700" i="1"/>
  <c r="R700" i="1"/>
  <c r="C38" i="1"/>
  <c r="E38" i="1" s="1"/>
  <c r="K38" i="1"/>
  <c r="Q38" i="1"/>
  <c r="R38" i="1"/>
  <c r="C184" i="1"/>
  <c r="E184" i="1" s="1"/>
  <c r="K184" i="1"/>
  <c r="Q184" i="1"/>
  <c r="R184" i="1"/>
  <c r="C39" i="1"/>
  <c r="E39" i="1" s="1"/>
  <c r="K39" i="1"/>
  <c r="Q39" i="1"/>
  <c r="R39" i="1"/>
  <c r="C43" i="1"/>
  <c r="E43" i="1" s="1"/>
  <c r="K43" i="1"/>
  <c r="Q43" i="1"/>
  <c r="R43" i="1"/>
  <c r="C423" i="1"/>
  <c r="E423" i="1" s="1"/>
  <c r="K423" i="1"/>
  <c r="Q423" i="1"/>
  <c r="R423" i="1"/>
  <c r="C679" i="1"/>
  <c r="E679" i="1" s="1"/>
  <c r="K679" i="1"/>
  <c r="Q679" i="1"/>
  <c r="R679" i="1"/>
  <c r="C40" i="1"/>
  <c r="E40" i="1" s="1"/>
  <c r="K40" i="1"/>
  <c r="Q40" i="1"/>
  <c r="R40" i="1"/>
  <c r="C44" i="1"/>
  <c r="E44" i="1" s="1"/>
  <c r="K44" i="1"/>
  <c r="Q44" i="1"/>
  <c r="R44" i="1"/>
  <c r="C424" i="1"/>
  <c r="E424" i="1" s="1"/>
  <c r="K424" i="1"/>
  <c r="Q424" i="1"/>
  <c r="R424" i="1"/>
  <c r="C701" i="1"/>
  <c r="E701" i="1" s="1"/>
  <c r="K701" i="1"/>
  <c r="Q701" i="1"/>
  <c r="R701" i="1"/>
  <c r="C185" i="1"/>
  <c r="E185" i="1" s="1"/>
  <c r="K185" i="1"/>
  <c r="Q185" i="1"/>
  <c r="R185" i="1"/>
  <c r="C239" i="1"/>
  <c r="E239" i="1" s="1"/>
  <c r="K239" i="1"/>
  <c r="Q239" i="1"/>
  <c r="R239" i="1"/>
  <c r="C693" i="1"/>
  <c r="E693" i="1" s="1"/>
  <c r="K693" i="1"/>
  <c r="Q693" i="1"/>
  <c r="R693" i="1"/>
  <c r="C702" i="1"/>
  <c r="E702" i="1" s="1"/>
  <c r="K702" i="1"/>
  <c r="Q702" i="1"/>
  <c r="R702" i="1"/>
  <c r="C120" i="1"/>
  <c r="E120" i="1" s="1"/>
  <c r="K120" i="1"/>
  <c r="Q120" i="1"/>
  <c r="R120" i="1"/>
  <c r="C123" i="1"/>
  <c r="E123" i="1" s="1"/>
  <c r="K123" i="1"/>
  <c r="Q123" i="1"/>
  <c r="R123" i="1"/>
  <c r="C470" i="1"/>
  <c r="E470" i="1" s="1"/>
  <c r="K470" i="1"/>
  <c r="Q470" i="1"/>
  <c r="R470" i="1"/>
  <c r="C472" i="1"/>
  <c r="E472" i="1" s="1"/>
  <c r="K472" i="1"/>
  <c r="Q472" i="1"/>
  <c r="R472" i="1"/>
  <c r="C126" i="1"/>
  <c r="E126" i="1" s="1"/>
  <c r="K126" i="1"/>
  <c r="Q126" i="1"/>
  <c r="R126" i="1"/>
  <c r="C217" i="1"/>
  <c r="E217" i="1" s="1"/>
  <c r="K217" i="1"/>
  <c r="Q217" i="1"/>
  <c r="R217" i="1"/>
  <c r="C14" i="1"/>
  <c r="E14" i="1" s="1"/>
  <c r="K14" i="1"/>
  <c r="Q14" i="1"/>
  <c r="R14" i="1"/>
  <c r="C15" i="1"/>
  <c r="E15" i="1" s="1"/>
  <c r="K15" i="1"/>
  <c r="Q15" i="1"/>
  <c r="R15" i="1"/>
  <c r="C720" i="1"/>
  <c r="E720" i="1" s="1"/>
  <c r="K720" i="1"/>
  <c r="Q720" i="1"/>
  <c r="R720" i="1"/>
  <c r="C19" i="1"/>
  <c r="E19" i="1" s="1"/>
  <c r="K19" i="1"/>
  <c r="Q19" i="1"/>
  <c r="R19" i="1"/>
  <c r="C415" i="1"/>
  <c r="E415" i="1" s="1"/>
  <c r="K415" i="1"/>
  <c r="Q415" i="1"/>
  <c r="R415" i="1"/>
  <c r="C410" i="1"/>
  <c r="E410" i="1" s="1"/>
  <c r="K410" i="1"/>
  <c r="Q410" i="1"/>
  <c r="R410" i="1"/>
  <c r="C265" i="1"/>
  <c r="E265" i="1" s="1"/>
  <c r="K265" i="1"/>
  <c r="Q265" i="1"/>
  <c r="R265" i="1"/>
  <c r="C274" i="1"/>
  <c r="E274" i="1" s="1"/>
  <c r="K274" i="1"/>
  <c r="Q274" i="1"/>
  <c r="R274" i="1"/>
  <c r="C284" i="1"/>
  <c r="E284" i="1" s="1"/>
  <c r="K284" i="1"/>
  <c r="Q284" i="1"/>
  <c r="R284" i="1"/>
  <c r="C734" i="1"/>
  <c r="E734" i="1" s="1"/>
  <c r="K734" i="1"/>
  <c r="Q734" i="1"/>
  <c r="R734" i="1"/>
  <c r="C770" i="1"/>
  <c r="E770" i="1" s="1"/>
  <c r="K770" i="1"/>
  <c r="Q770" i="1"/>
  <c r="R770" i="1"/>
  <c r="C16" i="1"/>
  <c r="E16" i="1" s="1"/>
  <c r="K16" i="1"/>
  <c r="Q16" i="1"/>
  <c r="R16" i="1"/>
  <c r="C275" i="1"/>
  <c r="E275" i="1" s="1"/>
  <c r="K275" i="1"/>
  <c r="Q275" i="1"/>
  <c r="R275" i="1"/>
  <c r="C411" i="1"/>
  <c r="E411" i="1" s="1"/>
  <c r="K411" i="1"/>
  <c r="Q411" i="1"/>
  <c r="R411" i="1"/>
  <c r="C56" i="1"/>
  <c r="E56" i="1" s="1"/>
  <c r="K56" i="1"/>
  <c r="Q56" i="1"/>
  <c r="R56" i="1"/>
  <c r="C57" i="1"/>
  <c r="E57" i="1" s="1"/>
  <c r="K57" i="1"/>
  <c r="Q57" i="1"/>
  <c r="R57" i="1"/>
  <c r="C58" i="1"/>
  <c r="E58" i="1" s="1"/>
  <c r="K58" i="1"/>
  <c r="Q58" i="1"/>
  <c r="R58" i="1"/>
  <c r="C59" i="1"/>
  <c r="E59" i="1" s="1"/>
  <c r="K59" i="1"/>
  <c r="Q59" i="1"/>
  <c r="R59" i="1"/>
  <c r="C13" i="1"/>
  <c r="E13" i="1" s="1"/>
  <c r="K13" i="1"/>
  <c r="Q13" i="1"/>
  <c r="R13" i="1"/>
  <c r="C20" i="1"/>
  <c r="E20" i="1" s="1"/>
  <c r="K20" i="1"/>
  <c r="Q20" i="1"/>
  <c r="R20" i="1"/>
  <c r="C266" i="1"/>
  <c r="E266" i="1" s="1"/>
  <c r="K266" i="1"/>
  <c r="Q266" i="1"/>
  <c r="R266" i="1"/>
  <c r="C276" i="1"/>
  <c r="E276" i="1" s="1"/>
  <c r="K276" i="1"/>
  <c r="Q276" i="1"/>
  <c r="R276" i="1"/>
  <c r="C285" i="1"/>
  <c r="E285" i="1" s="1"/>
  <c r="K285" i="1"/>
  <c r="Q285" i="1"/>
  <c r="R285" i="1"/>
  <c r="C735" i="1"/>
  <c r="E735" i="1" s="1"/>
  <c r="K735" i="1"/>
  <c r="Q735" i="1"/>
  <c r="R735" i="1"/>
  <c r="C412" i="1"/>
  <c r="E412" i="1" s="1"/>
  <c r="K412" i="1"/>
  <c r="Q412" i="1"/>
  <c r="R412" i="1"/>
  <c r="C17" i="1"/>
  <c r="E17" i="1" s="1"/>
  <c r="K17" i="1"/>
  <c r="Q17" i="1"/>
  <c r="R17" i="1"/>
  <c r="C18" i="1"/>
  <c r="E18" i="1" s="1"/>
  <c r="K18" i="1"/>
  <c r="Q18" i="1"/>
  <c r="R18" i="1"/>
  <c r="C60" i="1"/>
  <c r="E60" i="1" s="1"/>
  <c r="K60" i="1"/>
  <c r="Q60" i="1"/>
  <c r="R60" i="1"/>
  <c r="C237" i="1"/>
  <c r="E237" i="1" s="1"/>
  <c r="K237" i="1"/>
  <c r="Q237" i="1"/>
  <c r="R237" i="1"/>
  <c r="C414" i="1"/>
  <c r="E414" i="1" s="1"/>
  <c r="K414" i="1"/>
  <c r="Q414" i="1"/>
  <c r="R414" i="1"/>
  <c r="C416" i="1"/>
  <c r="E416" i="1" s="1"/>
  <c r="K416" i="1"/>
  <c r="Q416" i="1"/>
  <c r="R416" i="1"/>
  <c r="C425" i="1"/>
  <c r="E425" i="1" s="1"/>
  <c r="K425" i="1"/>
  <c r="Q425" i="1"/>
  <c r="R425" i="1"/>
  <c r="C721" i="1"/>
  <c r="E721" i="1" s="1"/>
  <c r="K721" i="1"/>
  <c r="Q721" i="1"/>
  <c r="R721" i="1"/>
  <c r="C413" i="1"/>
  <c r="E413" i="1" s="1"/>
  <c r="K413" i="1"/>
  <c r="Q413" i="1"/>
  <c r="R413" i="1"/>
  <c r="C719" i="1"/>
  <c r="E719" i="1" s="1"/>
  <c r="K719" i="1"/>
  <c r="Q719" i="1"/>
  <c r="R719" i="1"/>
  <c r="C109" i="1"/>
  <c r="E109" i="1" s="1"/>
  <c r="K109" i="1"/>
  <c r="Q109" i="1"/>
  <c r="R109" i="1"/>
  <c r="C127" i="1"/>
  <c r="E127" i="1" s="1"/>
  <c r="K127" i="1"/>
  <c r="Q127" i="1"/>
  <c r="R127" i="1"/>
  <c r="C218" i="1"/>
  <c r="E218" i="1" s="1"/>
  <c r="K218" i="1"/>
  <c r="Q218" i="1"/>
  <c r="R218" i="1"/>
  <c r="C746" i="1"/>
  <c r="E746" i="1" s="1"/>
  <c r="K746" i="1"/>
  <c r="Q746" i="1"/>
  <c r="R746" i="1"/>
  <c r="C747" i="1"/>
  <c r="E747" i="1" s="1"/>
  <c r="K747" i="1"/>
  <c r="Q747" i="1"/>
  <c r="R747" i="1"/>
  <c r="C296" i="1"/>
  <c r="E296" i="1" s="1"/>
  <c r="K296" i="1"/>
  <c r="Q296" i="1"/>
  <c r="R296" i="1"/>
  <c r="C308" i="1"/>
  <c r="E308" i="1" s="1"/>
  <c r="K308" i="1"/>
  <c r="Q308" i="1"/>
  <c r="R308" i="1"/>
  <c r="C279" i="1"/>
  <c r="E279" i="1" s="1"/>
  <c r="K279" i="1"/>
  <c r="Q279" i="1"/>
  <c r="R279" i="1"/>
  <c r="C281" i="1"/>
  <c r="E281" i="1" s="1"/>
  <c r="K281" i="1"/>
  <c r="Q281" i="1"/>
  <c r="R281" i="1"/>
  <c r="C728" i="1"/>
  <c r="E728" i="1" s="1"/>
  <c r="K728" i="1"/>
  <c r="Q728" i="1"/>
  <c r="R728" i="1"/>
  <c r="C297" i="1"/>
  <c r="E297" i="1" s="1"/>
  <c r="K297" i="1"/>
  <c r="Q297" i="1"/>
  <c r="R297" i="1"/>
  <c r="C300" i="1"/>
  <c r="E300" i="1" s="1"/>
  <c r="K300" i="1"/>
  <c r="Q300" i="1"/>
  <c r="R300" i="1"/>
  <c r="C730" i="1"/>
  <c r="E730" i="1" s="1"/>
  <c r="K730" i="1"/>
  <c r="Q730" i="1"/>
  <c r="R730" i="1"/>
  <c r="C732" i="1"/>
  <c r="E732" i="1" s="1"/>
  <c r="K732" i="1"/>
  <c r="Q732" i="1"/>
  <c r="R732" i="1"/>
  <c r="C748" i="1"/>
  <c r="E748" i="1" s="1"/>
  <c r="K748" i="1"/>
  <c r="Q748" i="1"/>
  <c r="R748" i="1"/>
  <c r="C749" i="1"/>
  <c r="E749" i="1" s="1"/>
  <c r="K749" i="1"/>
  <c r="Q749" i="1"/>
  <c r="R749" i="1"/>
  <c r="C750" i="1"/>
  <c r="E750" i="1" s="1"/>
  <c r="K750" i="1"/>
  <c r="Q750" i="1"/>
  <c r="R750" i="1"/>
  <c r="C751" i="1"/>
  <c r="E751" i="1" s="1"/>
  <c r="K751" i="1"/>
  <c r="Q751" i="1"/>
  <c r="R751" i="1"/>
  <c r="C752" i="1"/>
  <c r="E752" i="1" s="1"/>
  <c r="K752" i="1"/>
  <c r="Q752" i="1"/>
  <c r="R752" i="1"/>
  <c r="C753" i="1"/>
  <c r="E753" i="1" s="1"/>
  <c r="K753" i="1"/>
  <c r="Q753" i="1"/>
  <c r="R753" i="1"/>
  <c r="C754" i="1"/>
  <c r="E754" i="1" s="1"/>
  <c r="K754" i="1"/>
  <c r="Q754" i="1"/>
  <c r="R754" i="1"/>
  <c r="C755" i="1"/>
  <c r="E755" i="1" s="1"/>
  <c r="K755" i="1"/>
  <c r="Q755" i="1"/>
  <c r="R755" i="1"/>
  <c r="C756" i="1"/>
  <c r="E756" i="1" s="1"/>
  <c r="K756" i="1"/>
  <c r="Q756" i="1"/>
  <c r="R756" i="1"/>
  <c r="C757" i="1"/>
  <c r="E757" i="1" s="1"/>
  <c r="K757" i="1"/>
  <c r="Q757" i="1"/>
  <c r="R757" i="1"/>
  <c r="C717" i="1"/>
  <c r="E717" i="1" s="1"/>
  <c r="K717" i="1"/>
  <c r="Q717" i="1"/>
  <c r="R717" i="1"/>
  <c r="C758" i="1"/>
  <c r="E758" i="1" s="1"/>
  <c r="K758" i="1"/>
  <c r="Q758" i="1"/>
  <c r="R758" i="1"/>
  <c r="C759" i="1"/>
  <c r="E759" i="1" s="1"/>
  <c r="K759" i="1"/>
  <c r="Q759" i="1"/>
  <c r="R759" i="1"/>
  <c r="C760" i="1"/>
  <c r="E760" i="1" s="1"/>
  <c r="K760" i="1"/>
  <c r="Q760" i="1"/>
  <c r="R760" i="1"/>
  <c r="C761" i="1"/>
  <c r="E761" i="1" s="1"/>
  <c r="K761" i="1"/>
  <c r="Q761" i="1"/>
  <c r="R761" i="1"/>
  <c r="C729" i="1"/>
  <c r="E729" i="1" s="1"/>
  <c r="K729" i="1"/>
  <c r="Q729" i="1"/>
  <c r="R729" i="1"/>
  <c r="C731" i="1"/>
  <c r="E731" i="1" s="1"/>
  <c r="K731" i="1"/>
  <c r="Q731" i="1"/>
  <c r="R731" i="1"/>
  <c r="C733" i="1"/>
  <c r="E733" i="1" s="1"/>
  <c r="K733" i="1"/>
  <c r="Q733" i="1"/>
  <c r="R733" i="1"/>
  <c r="C624" i="1"/>
  <c r="E624" i="1" s="1"/>
  <c r="K624" i="1"/>
  <c r="Q624" i="1"/>
  <c r="R624" i="1"/>
  <c r="C718" i="1"/>
  <c r="E718" i="1" s="1"/>
  <c r="K718" i="1"/>
  <c r="Q718" i="1"/>
  <c r="R718" i="1"/>
  <c r="C295" i="1"/>
  <c r="E295" i="1" s="1"/>
  <c r="K295" i="1"/>
  <c r="Q295" i="1"/>
  <c r="R295" i="1"/>
  <c r="C298" i="1"/>
  <c r="E298" i="1" s="1"/>
  <c r="K298" i="1"/>
  <c r="Q298" i="1"/>
  <c r="R298" i="1"/>
  <c r="C301" i="1"/>
  <c r="E301" i="1" s="1"/>
  <c r="K301" i="1"/>
  <c r="Q301" i="1"/>
  <c r="R301" i="1"/>
  <c r="C309" i="1"/>
  <c r="E309" i="1" s="1"/>
  <c r="K309" i="1"/>
  <c r="Q309" i="1"/>
  <c r="R309" i="1"/>
  <c r="C280" i="1"/>
  <c r="E280" i="1" s="1"/>
  <c r="K280" i="1"/>
  <c r="Q280" i="1"/>
  <c r="R280" i="1"/>
  <c r="C282" i="1"/>
  <c r="E282" i="1" s="1"/>
  <c r="K282" i="1"/>
  <c r="Q282" i="1"/>
  <c r="R282" i="1"/>
  <c r="C299" i="1"/>
  <c r="E299" i="1" s="1"/>
  <c r="K299" i="1"/>
  <c r="Q299" i="1"/>
  <c r="R299" i="1"/>
  <c r="C762" i="1"/>
  <c r="E762" i="1" s="1"/>
  <c r="K762" i="1"/>
  <c r="Q762" i="1"/>
  <c r="R762" i="1"/>
  <c r="C2" i="1"/>
  <c r="E2" i="1" s="1"/>
  <c r="K2" i="1"/>
  <c r="Q2" i="1"/>
  <c r="R2" i="1"/>
  <c r="C402" i="1"/>
  <c r="E402" i="1" s="1"/>
  <c r="K402" i="1"/>
  <c r="Q402" i="1"/>
  <c r="R402" i="1"/>
  <c r="C3" i="1"/>
  <c r="E3" i="1" s="1"/>
  <c r="K3" i="1"/>
  <c r="Q3" i="1"/>
  <c r="R3" i="1"/>
  <c r="C379" i="1"/>
  <c r="E379" i="1" s="1"/>
  <c r="K379" i="1"/>
  <c r="Q379" i="1"/>
  <c r="R379" i="1"/>
  <c r="C767" i="1"/>
  <c r="E767" i="1" s="1"/>
  <c r="K767" i="1"/>
  <c r="Q767" i="1"/>
  <c r="R767" i="1"/>
  <c r="C401" i="1"/>
  <c r="E401" i="1" s="1"/>
  <c r="K401" i="1"/>
  <c r="Q401" i="1"/>
  <c r="R401" i="1"/>
  <c r="C4" i="1"/>
  <c r="E4" i="1" s="1"/>
  <c r="K4" i="1"/>
  <c r="Q4" i="1"/>
  <c r="R4" i="1"/>
  <c r="C404" i="1"/>
  <c r="E404" i="1" s="1"/>
  <c r="K404" i="1"/>
  <c r="Q404" i="1"/>
  <c r="R404" i="1"/>
  <c r="C382" i="1"/>
  <c r="E382" i="1" s="1"/>
  <c r="K382" i="1"/>
  <c r="Q382" i="1"/>
  <c r="R382" i="1"/>
  <c r="C384" i="1"/>
  <c r="E384" i="1" s="1"/>
  <c r="K384" i="1"/>
  <c r="Q384" i="1"/>
  <c r="R384" i="1"/>
  <c r="C403" i="1"/>
  <c r="E403" i="1" s="1"/>
  <c r="K403" i="1"/>
  <c r="Q403" i="1"/>
  <c r="R403" i="1"/>
  <c r="C358" i="1"/>
  <c r="E358" i="1" s="1"/>
  <c r="K358" i="1"/>
  <c r="Q358" i="1"/>
  <c r="R358" i="1"/>
  <c r="C769" i="1"/>
  <c r="E769" i="1" s="1"/>
  <c r="K769" i="1"/>
  <c r="Q769" i="1"/>
  <c r="R769" i="1"/>
  <c r="C768" i="1"/>
  <c r="E768" i="1" s="1"/>
  <c r="K768" i="1"/>
  <c r="Q768" i="1"/>
  <c r="R768" i="1"/>
  <c r="C405" i="1"/>
  <c r="E405" i="1" s="1"/>
  <c r="K405" i="1"/>
  <c r="Q405" i="1"/>
  <c r="R405" i="1"/>
  <c r="C766" i="1"/>
  <c r="E766" i="1" s="1"/>
  <c r="K766" i="1"/>
  <c r="Q766" i="1"/>
  <c r="R766" i="1"/>
  <c r="C359" i="1"/>
  <c r="E359" i="1" s="1"/>
  <c r="K359" i="1"/>
  <c r="Q359" i="1"/>
  <c r="R359" i="1"/>
  <c r="C387" i="1"/>
  <c r="E387" i="1" s="1"/>
  <c r="K387" i="1"/>
  <c r="Q387" i="1"/>
  <c r="R387" i="1"/>
  <c r="C763" i="1"/>
  <c r="E763" i="1" s="1"/>
  <c r="K763" i="1"/>
  <c r="Q763" i="1"/>
  <c r="R763" i="1"/>
  <c r="C385" i="1"/>
  <c r="E385" i="1" s="1"/>
  <c r="K385" i="1"/>
  <c r="Q385" i="1"/>
  <c r="R385" i="1"/>
  <c r="C344" i="1"/>
  <c r="E344" i="1" s="1"/>
  <c r="K344" i="1"/>
  <c r="Q344" i="1"/>
  <c r="R344" i="1"/>
  <c r="C390" i="1"/>
  <c r="E390" i="1" s="1"/>
  <c r="K390" i="1"/>
  <c r="Q390" i="1"/>
  <c r="R390" i="1"/>
  <c r="C391" i="1"/>
  <c r="E391" i="1" s="1"/>
  <c r="K391" i="1"/>
  <c r="Q391" i="1"/>
  <c r="R391" i="1"/>
  <c r="C389" i="1"/>
  <c r="E389" i="1" s="1"/>
  <c r="K389" i="1"/>
  <c r="Q389" i="1"/>
  <c r="R389" i="1"/>
  <c r="C398" i="1"/>
  <c r="E398" i="1" s="1"/>
  <c r="K398" i="1"/>
  <c r="Q398" i="1"/>
  <c r="R398" i="1"/>
  <c r="C378" i="1"/>
  <c r="E378" i="1" s="1"/>
  <c r="K378" i="1"/>
  <c r="Q378" i="1"/>
  <c r="R378" i="1"/>
  <c r="C394" i="1"/>
  <c r="E394" i="1" s="1"/>
  <c r="K394" i="1"/>
  <c r="Q394" i="1"/>
  <c r="R394" i="1"/>
  <c r="C383" i="1"/>
  <c r="E383" i="1" s="1"/>
  <c r="K383" i="1"/>
  <c r="Q383" i="1"/>
  <c r="R383" i="1"/>
  <c r="C393" i="1"/>
  <c r="E393" i="1" s="1"/>
  <c r="K393" i="1"/>
  <c r="Q393" i="1"/>
  <c r="R393" i="1"/>
  <c r="C395" i="1"/>
  <c r="E395" i="1" s="1"/>
  <c r="K395" i="1"/>
  <c r="Q395" i="1"/>
  <c r="R395" i="1"/>
  <c r="C352" i="1"/>
  <c r="E352" i="1" s="1"/>
  <c r="K352" i="1"/>
  <c r="Q352" i="1"/>
  <c r="R352" i="1"/>
  <c r="C353" i="1"/>
  <c r="E353" i="1" s="1"/>
  <c r="K353" i="1"/>
  <c r="Q353" i="1"/>
  <c r="R353" i="1"/>
  <c r="C354" i="1"/>
  <c r="E354" i="1" s="1"/>
  <c r="K354" i="1"/>
  <c r="Q354" i="1"/>
  <c r="R354" i="1"/>
  <c r="C355" i="1"/>
  <c r="E355" i="1" s="1"/>
  <c r="K355" i="1"/>
  <c r="Q355" i="1"/>
  <c r="R355" i="1"/>
  <c r="C357" i="1"/>
  <c r="E357" i="1" s="1"/>
  <c r="K357" i="1"/>
  <c r="Q357" i="1"/>
  <c r="R357" i="1"/>
  <c r="C386" i="1"/>
  <c r="E386" i="1" s="1"/>
  <c r="K386" i="1"/>
  <c r="Q386" i="1"/>
  <c r="R386" i="1"/>
  <c r="C388" i="1"/>
  <c r="E388" i="1" s="1"/>
  <c r="K388" i="1"/>
  <c r="Q388" i="1"/>
  <c r="R388" i="1"/>
  <c r="C396" i="1"/>
  <c r="E396" i="1" s="1"/>
  <c r="K396" i="1"/>
  <c r="Q396" i="1"/>
  <c r="R396" i="1"/>
  <c r="C356" i="1"/>
  <c r="E356" i="1" s="1"/>
  <c r="K356" i="1"/>
  <c r="Q356" i="1"/>
  <c r="R356" i="1"/>
  <c r="C392" i="1"/>
  <c r="E392" i="1" s="1"/>
  <c r="K392" i="1"/>
  <c r="Q392" i="1"/>
  <c r="R392" i="1"/>
  <c r="C764" i="1"/>
  <c r="E764" i="1" s="1"/>
  <c r="K764" i="1"/>
  <c r="Q764" i="1"/>
  <c r="R764" i="1"/>
  <c r="C397" i="1"/>
  <c r="E397" i="1" s="1"/>
  <c r="K397" i="1"/>
  <c r="Q397" i="1"/>
  <c r="R397" i="1"/>
  <c r="C5" i="1"/>
  <c r="E5" i="1" s="1"/>
  <c r="K5" i="1"/>
  <c r="Q5" i="1"/>
  <c r="R5" i="1"/>
  <c r="C495" i="1"/>
  <c r="E495" i="1" s="1"/>
  <c r="K495" i="1"/>
  <c r="Q495" i="1"/>
  <c r="R495" i="1"/>
  <c r="C531" i="1"/>
  <c r="E531" i="1" s="1"/>
  <c r="K531" i="1"/>
  <c r="Q531" i="1"/>
  <c r="R531" i="1"/>
  <c r="C532" i="1"/>
  <c r="E532" i="1" s="1"/>
  <c r="K532" i="1"/>
  <c r="Q532" i="1"/>
  <c r="R532" i="1"/>
  <c r="C579" i="1"/>
  <c r="E579" i="1" s="1"/>
  <c r="K579" i="1"/>
  <c r="Q579" i="1"/>
  <c r="R579" i="1"/>
  <c r="C580" i="1"/>
  <c r="E580" i="1" s="1"/>
  <c r="K580" i="1"/>
  <c r="Q580" i="1"/>
  <c r="R580" i="1"/>
  <c r="C581" i="1"/>
  <c r="E581" i="1" s="1"/>
  <c r="K581" i="1"/>
  <c r="Q581" i="1"/>
  <c r="R581" i="1"/>
  <c r="C582" i="1"/>
  <c r="E582" i="1" s="1"/>
  <c r="K582" i="1"/>
  <c r="Q582" i="1"/>
  <c r="R582" i="1"/>
  <c r="C574" i="1"/>
  <c r="E574" i="1" s="1"/>
  <c r="K574" i="1"/>
  <c r="Q574" i="1"/>
  <c r="R574" i="1"/>
  <c r="C417" i="1"/>
  <c r="E417" i="1" s="1"/>
  <c r="K417" i="1"/>
  <c r="Q417" i="1"/>
  <c r="R417" i="1"/>
  <c r="C549" i="1"/>
  <c r="E549" i="1" s="1"/>
  <c r="K549" i="1"/>
  <c r="Q549" i="1"/>
  <c r="R549" i="1"/>
  <c r="C552" i="1"/>
  <c r="E552" i="1" s="1"/>
  <c r="K552" i="1"/>
  <c r="Q552" i="1"/>
  <c r="R552" i="1"/>
  <c r="C550" i="1"/>
  <c r="E550" i="1" s="1"/>
  <c r="K550" i="1"/>
  <c r="Q550" i="1"/>
  <c r="R550" i="1"/>
  <c r="C533" i="1"/>
  <c r="E533" i="1" s="1"/>
  <c r="K533" i="1"/>
  <c r="Q533" i="1"/>
  <c r="R533" i="1"/>
  <c r="C553" i="1"/>
  <c r="E553" i="1" s="1"/>
  <c r="K553" i="1"/>
  <c r="Q553" i="1"/>
  <c r="R553" i="1"/>
  <c r="C554" i="1"/>
  <c r="E554" i="1" s="1"/>
  <c r="K554" i="1"/>
  <c r="Q554" i="1"/>
  <c r="R554" i="1"/>
  <c r="C555" i="1"/>
  <c r="E555" i="1" s="1"/>
  <c r="K555" i="1"/>
  <c r="Q555" i="1"/>
  <c r="R555" i="1"/>
  <c r="C556" i="1"/>
  <c r="E556" i="1" s="1"/>
  <c r="K556" i="1"/>
  <c r="Q556" i="1"/>
  <c r="R556" i="1"/>
  <c r="C743" i="1"/>
  <c r="E743" i="1" s="1"/>
  <c r="K743" i="1"/>
  <c r="Q743" i="1"/>
  <c r="R743" i="1"/>
  <c r="C557" i="1"/>
  <c r="E557" i="1" s="1"/>
  <c r="K557" i="1"/>
  <c r="Q557" i="1"/>
  <c r="R557" i="1"/>
  <c r="C575" i="1"/>
  <c r="E575" i="1" s="1"/>
  <c r="K575" i="1"/>
  <c r="Q575" i="1"/>
  <c r="R575" i="1"/>
  <c r="C558" i="1"/>
  <c r="E558" i="1" s="1"/>
  <c r="K558" i="1"/>
  <c r="Q558" i="1"/>
  <c r="R558" i="1"/>
  <c r="C534" i="1"/>
  <c r="E534" i="1" s="1"/>
  <c r="K534" i="1"/>
  <c r="Q534" i="1"/>
  <c r="R534" i="1"/>
  <c r="C559" i="1"/>
  <c r="E559" i="1" s="1"/>
  <c r="K559" i="1"/>
  <c r="Q559" i="1"/>
  <c r="R559" i="1"/>
  <c r="C551" i="1"/>
  <c r="E551" i="1" s="1"/>
  <c r="K551" i="1"/>
  <c r="Q551" i="1"/>
  <c r="R551" i="1"/>
  <c r="C737" i="1"/>
  <c r="E737" i="1" s="1"/>
  <c r="K737" i="1"/>
  <c r="Q737" i="1"/>
  <c r="R737" i="1"/>
  <c r="C277" i="1"/>
  <c r="E277" i="1" s="1"/>
  <c r="K277" i="1"/>
  <c r="Q277" i="1"/>
  <c r="R277" i="1"/>
  <c r="C496" i="1"/>
  <c r="E496" i="1" s="1"/>
  <c r="K496" i="1"/>
  <c r="Q496" i="1"/>
  <c r="R496" i="1"/>
  <c r="C504" i="1"/>
  <c r="E504" i="1" s="1"/>
  <c r="K504" i="1"/>
  <c r="Q504" i="1"/>
  <c r="R504" i="1"/>
  <c r="C530" i="1"/>
  <c r="E530" i="1" s="1"/>
  <c r="K530" i="1"/>
  <c r="Q530" i="1"/>
  <c r="R530" i="1"/>
  <c r="C535" i="1"/>
  <c r="E535" i="1" s="1"/>
  <c r="K535" i="1"/>
  <c r="Q535" i="1"/>
  <c r="R535" i="1"/>
  <c r="C545" i="1"/>
  <c r="E545" i="1" s="1"/>
  <c r="K545" i="1"/>
  <c r="Q545" i="1"/>
  <c r="R545" i="1"/>
  <c r="C567" i="1"/>
  <c r="E567" i="1" s="1"/>
  <c r="K567" i="1"/>
  <c r="Q567" i="1"/>
  <c r="R567" i="1"/>
  <c r="C588" i="1"/>
  <c r="E588" i="1" s="1"/>
  <c r="K588" i="1"/>
  <c r="Q588" i="1"/>
  <c r="R588" i="1"/>
  <c r="C736" i="1"/>
  <c r="E736" i="1" s="1"/>
  <c r="K736" i="1"/>
  <c r="Q736" i="1"/>
  <c r="R736" i="1"/>
  <c r="C738" i="1"/>
  <c r="E738" i="1" s="1"/>
  <c r="K738" i="1"/>
  <c r="Q738" i="1"/>
  <c r="R738" i="1"/>
  <c r="C740" i="1"/>
  <c r="E740" i="1" s="1"/>
  <c r="K740" i="1"/>
  <c r="Q740" i="1"/>
  <c r="R740" i="1"/>
  <c r="C741" i="1"/>
  <c r="E741" i="1" s="1"/>
  <c r="K741" i="1"/>
  <c r="Q741" i="1"/>
  <c r="R741" i="1"/>
  <c r="C739" i="1"/>
  <c r="E739" i="1" s="1"/>
  <c r="K739" i="1"/>
  <c r="Q739" i="1"/>
  <c r="R739" i="1"/>
  <c r="C278" i="1"/>
  <c r="E278" i="1" s="1"/>
  <c r="K278" i="1"/>
  <c r="Q278" i="1"/>
  <c r="R278" i="1"/>
  <c r="C592" i="1"/>
  <c r="E592" i="1" s="1"/>
  <c r="K592" i="1"/>
  <c r="Q592" i="1"/>
  <c r="R592" i="1"/>
  <c r="C418" i="1"/>
  <c r="E418" i="1" s="1"/>
  <c r="K418" i="1"/>
  <c r="Q418" i="1"/>
  <c r="R418" i="1"/>
  <c r="C571" i="1"/>
  <c r="E571" i="1" s="1"/>
  <c r="K571" i="1"/>
  <c r="Q571" i="1"/>
  <c r="R571" i="1"/>
  <c r="C572" i="1"/>
  <c r="E572" i="1" s="1"/>
  <c r="K572" i="1"/>
  <c r="Q572" i="1"/>
  <c r="R572" i="1"/>
  <c r="C573" i="1"/>
  <c r="E573" i="1" s="1"/>
  <c r="K573" i="1"/>
  <c r="Q573" i="1"/>
  <c r="R573" i="1"/>
  <c r="C744" i="1"/>
  <c r="E744" i="1" s="1"/>
  <c r="K744" i="1"/>
  <c r="Q744" i="1"/>
  <c r="R744" i="1"/>
  <c r="C722" i="1"/>
  <c r="E722" i="1" s="1"/>
  <c r="K722" i="1"/>
  <c r="Q722" i="1"/>
  <c r="R722" i="1"/>
  <c r="C560" i="1"/>
  <c r="E560" i="1" s="1"/>
  <c r="K560" i="1"/>
  <c r="Q560" i="1"/>
  <c r="R560" i="1"/>
  <c r="C583" i="1"/>
  <c r="E583" i="1" s="1"/>
  <c r="K583" i="1"/>
  <c r="Q583" i="1"/>
  <c r="R583" i="1"/>
  <c r="C745" i="1"/>
  <c r="E745" i="1" s="1"/>
  <c r="K745" i="1"/>
  <c r="Q745" i="1"/>
  <c r="R745" i="1"/>
  <c r="C570" i="1"/>
  <c r="E570" i="1" s="1"/>
  <c r="K570" i="1"/>
  <c r="Q570" i="1"/>
  <c r="R570" i="1"/>
  <c r="C494" i="1"/>
  <c r="E494" i="1" s="1"/>
  <c r="K494" i="1"/>
  <c r="Q494" i="1"/>
  <c r="R494" i="1"/>
  <c r="C742" i="1"/>
  <c r="E742" i="1" s="1"/>
  <c r="K742" i="1"/>
  <c r="Q742" i="1"/>
  <c r="R742" i="1"/>
  <c r="C519" i="1"/>
  <c r="E519" i="1" s="1"/>
  <c r="K519" i="1"/>
  <c r="Q519" i="1"/>
  <c r="R519" i="1"/>
  <c r="C446" i="1"/>
  <c r="E446" i="1" s="1"/>
  <c r="K446" i="1"/>
  <c r="Q446" i="1"/>
  <c r="R446" i="1"/>
  <c r="C407" i="1"/>
  <c r="E407" i="1" s="1"/>
  <c r="K407" i="1"/>
  <c r="Q407" i="1"/>
  <c r="R407" i="1"/>
  <c r="C520" i="1"/>
  <c r="E520" i="1" s="1"/>
  <c r="K520" i="1"/>
  <c r="Q520" i="1"/>
  <c r="R520" i="1"/>
  <c r="C447" i="1"/>
  <c r="E447" i="1" s="1"/>
  <c r="K447" i="1"/>
  <c r="Q447" i="1"/>
  <c r="R447" i="1"/>
  <c r="C448" i="1"/>
  <c r="E448" i="1" s="1"/>
  <c r="K448" i="1"/>
  <c r="Q448" i="1"/>
  <c r="R448" i="1"/>
  <c r="C449" i="1"/>
  <c r="E449" i="1" s="1"/>
  <c r="K449" i="1"/>
  <c r="Q449" i="1"/>
  <c r="R449" i="1"/>
  <c r="C450" i="1"/>
  <c r="E450" i="1" s="1"/>
  <c r="K450" i="1"/>
  <c r="Q450" i="1"/>
  <c r="R450" i="1"/>
  <c r="C521" i="1"/>
  <c r="E521" i="1" s="1"/>
  <c r="K521" i="1"/>
  <c r="Q521" i="1"/>
  <c r="R521" i="1"/>
  <c r="C522" i="1"/>
  <c r="E522" i="1" s="1"/>
  <c r="K522" i="1"/>
  <c r="Q522" i="1"/>
  <c r="R522" i="1"/>
  <c r="C451" i="1"/>
  <c r="E451" i="1" s="1"/>
  <c r="K451" i="1"/>
  <c r="Q451" i="1"/>
  <c r="R451" i="1"/>
  <c r="C452" i="1"/>
  <c r="E452" i="1" s="1"/>
  <c r="K452" i="1"/>
  <c r="Q452" i="1"/>
  <c r="R452" i="1"/>
  <c r="C453" i="1"/>
  <c r="E453" i="1" s="1"/>
  <c r="K453" i="1"/>
  <c r="Q453" i="1"/>
  <c r="R453" i="1"/>
  <c r="C408" i="1"/>
  <c r="E408" i="1" s="1"/>
  <c r="K408" i="1"/>
  <c r="Q408" i="1"/>
  <c r="R408" i="1"/>
  <c r="C523" i="1"/>
  <c r="E523" i="1" s="1"/>
  <c r="K523" i="1"/>
  <c r="Q523" i="1"/>
  <c r="R523" i="1"/>
  <c r="C340" i="1"/>
  <c r="E340" i="1" s="1"/>
  <c r="K340" i="1"/>
  <c r="Q340" i="1"/>
  <c r="R340" i="1"/>
  <c r="C454" i="1"/>
  <c r="E454" i="1" s="1"/>
  <c r="K454" i="1"/>
  <c r="Q454" i="1"/>
  <c r="R454" i="1"/>
  <c r="C455" i="1"/>
  <c r="E455" i="1" s="1"/>
  <c r="K455" i="1"/>
  <c r="Q455" i="1"/>
  <c r="R455" i="1"/>
  <c r="C456" i="1"/>
  <c r="E456" i="1" s="1"/>
  <c r="K456" i="1"/>
  <c r="Q456" i="1"/>
  <c r="R456" i="1"/>
  <c r="C457" i="1"/>
  <c r="E457" i="1" s="1"/>
  <c r="K457" i="1"/>
  <c r="Q457" i="1"/>
  <c r="R457" i="1"/>
  <c r="C586" i="1"/>
  <c r="E586" i="1" s="1"/>
  <c r="K586" i="1"/>
  <c r="Q586" i="1"/>
  <c r="R586" i="1"/>
  <c r="C409" i="1"/>
  <c r="E409" i="1" s="1"/>
  <c r="K409" i="1"/>
  <c r="Q409" i="1"/>
  <c r="R409" i="1"/>
  <c r="C524" i="1"/>
  <c r="E524" i="1" s="1"/>
  <c r="K524" i="1"/>
  <c r="Q524" i="1"/>
  <c r="R524" i="1"/>
  <c r="C341" i="1"/>
  <c r="E341" i="1" s="1"/>
  <c r="K341" i="1"/>
  <c r="Q341" i="1"/>
  <c r="R341" i="1"/>
  <c r="C399" i="1"/>
  <c r="E399" i="1" s="1"/>
  <c r="K399" i="1"/>
  <c r="Q399" i="1"/>
  <c r="R399" i="1"/>
  <c r="C587" i="1"/>
  <c r="E587" i="1" s="1"/>
  <c r="K587" i="1"/>
  <c r="Q587" i="1"/>
  <c r="R587" i="1"/>
  <c r="C525" i="1"/>
  <c r="E525" i="1" s="1"/>
  <c r="K525" i="1"/>
  <c r="Q525" i="1"/>
  <c r="R525" i="1"/>
  <c r="C197" i="1"/>
  <c r="E197" i="1" s="1"/>
  <c r="K197" i="1"/>
  <c r="Q197" i="1"/>
  <c r="R197" i="1"/>
  <c r="C76" i="1"/>
  <c r="E76" i="1" s="1"/>
  <c r="K76" i="1"/>
  <c r="Q76" i="1"/>
  <c r="R76" i="1"/>
  <c r="C138" i="1"/>
  <c r="E138" i="1" s="1"/>
  <c r="K138" i="1"/>
  <c r="Q138" i="1"/>
  <c r="R138" i="1"/>
  <c r="C602" i="1"/>
  <c r="E602" i="1" s="1"/>
  <c r="K602" i="1"/>
  <c r="Q602" i="1"/>
  <c r="R602" i="1"/>
  <c r="C91" i="1"/>
  <c r="E91" i="1" s="1"/>
  <c r="K91" i="1"/>
  <c r="Q91" i="1"/>
  <c r="R91" i="1"/>
  <c r="C92" i="1"/>
  <c r="E92" i="1" s="1"/>
  <c r="K92" i="1"/>
  <c r="Q92" i="1"/>
  <c r="R92" i="1"/>
  <c r="C77" i="1"/>
  <c r="E77" i="1" s="1"/>
  <c r="K77" i="1"/>
  <c r="Q77" i="1"/>
  <c r="R77" i="1"/>
  <c r="C93" i="1"/>
  <c r="E93" i="1" s="1"/>
  <c r="K93" i="1"/>
  <c r="Q93" i="1"/>
  <c r="R93" i="1"/>
  <c r="C94" i="1"/>
  <c r="E94" i="1" s="1"/>
  <c r="K94" i="1"/>
  <c r="Q94" i="1"/>
  <c r="R94" i="1"/>
  <c r="C95" i="1"/>
  <c r="E95" i="1" s="1"/>
  <c r="K95" i="1"/>
  <c r="Q95" i="1"/>
  <c r="R95" i="1"/>
  <c r="C269" i="1"/>
  <c r="E269" i="1" s="1"/>
  <c r="K269" i="1"/>
  <c r="Q269" i="1"/>
  <c r="R269" i="1"/>
  <c r="C270" i="1"/>
  <c r="E270" i="1" s="1"/>
  <c r="K270" i="1"/>
  <c r="Q270" i="1"/>
  <c r="R270" i="1"/>
  <c r="C212" i="1"/>
  <c r="E212" i="1" s="1"/>
  <c r="K212" i="1"/>
  <c r="Q212" i="1"/>
  <c r="R212" i="1"/>
  <c r="C214" i="1"/>
  <c r="E214" i="1" s="1"/>
  <c r="K214" i="1"/>
  <c r="Q214" i="1"/>
  <c r="R214" i="1"/>
  <c r="C606" i="1"/>
  <c r="E606" i="1" s="1"/>
  <c r="K606" i="1"/>
  <c r="Q606" i="1"/>
  <c r="R606" i="1"/>
  <c r="C124" i="1"/>
  <c r="E124" i="1" s="1"/>
  <c r="K124" i="1"/>
  <c r="Q124" i="1"/>
  <c r="R124" i="1"/>
  <c r="C96" i="1"/>
  <c r="E96" i="1" s="1"/>
  <c r="K96" i="1"/>
  <c r="Q96" i="1"/>
  <c r="R96" i="1"/>
  <c r="C130" i="1"/>
  <c r="E130" i="1" s="1"/>
  <c r="K130" i="1"/>
  <c r="Q130" i="1"/>
  <c r="R130" i="1"/>
  <c r="C97" i="1"/>
  <c r="E97" i="1" s="1"/>
  <c r="K97" i="1"/>
  <c r="Q97" i="1"/>
  <c r="R97" i="1"/>
  <c r="C222" i="1"/>
  <c r="E222" i="1" s="1"/>
  <c r="K222" i="1"/>
  <c r="Q222" i="1"/>
  <c r="R222" i="1"/>
  <c r="C98" i="1"/>
  <c r="E98" i="1" s="1"/>
  <c r="K98" i="1"/>
  <c r="Q98" i="1"/>
  <c r="R98" i="1"/>
  <c r="C131" i="1"/>
  <c r="E131" i="1" s="1"/>
  <c r="K131" i="1"/>
  <c r="Q131" i="1"/>
  <c r="R131" i="1"/>
  <c r="C186" i="1"/>
  <c r="E186" i="1" s="1"/>
  <c r="K186" i="1"/>
  <c r="Q186" i="1"/>
  <c r="R186" i="1"/>
  <c r="C215" i="1"/>
  <c r="E215" i="1" s="1"/>
  <c r="K215" i="1"/>
  <c r="Q215" i="1"/>
  <c r="R215" i="1"/>
  <c r="C603" i="1"/>
  <c r="E603" i="1" s="1"/>
  <c r="K603" i="1"/>
  <c r="Q603" i="1"/>
  <c r="R603" i="1"/>
  <c r="C607" i="1"/>
  <c r="E607" i="1" s="1"/>
  <c r="K607" i="1"/>
  <c r="Q607" i="1"/>
  <c r="R607" i="1"/>
  <c r="C223" i="1"/>
  <c r="E223" i="1" s="1"/>
  <c r="K223" i="1"/>
  <c r="Q223" i="1"/>
  <c r="R223" i="1"/>
  <c r="C224" i="1"/>
  <c r="E224" i="1" s="1"/>
  <c r="K224" i="1"/>
  <c r="Q224" i="1"/>
  <c r="R224" i="1"/>
  <c r="C225" i="1"/>
  <c r="E225" i="1" s="1"/>
  <c r="K225" i="1"/>
  <c r="Q225" i="1"/>
  <c r="R225" i="1"/>
  <c r="C226" i="1"/>
  <c r="E226" i="1" s="1"/>
  <c r="K226" i="1"/>
  <c r="Q226" i="1"/>
  <c r="R226" i="1"/>
  <c r="C227" i="1"/>
  <c r="E227" i="1" s="1"/>
  <c r="K227" i="1"/>
  <c r="Q227" i="1"/>
  <c r="R227" i="1"/>
  <c r="C228" i="1"/>
  <c r="E228" i="1" s="1"/>
  <c r="K228" i="1"/>
  <c r="Q228" i="1"/>
  <c r="R228" i="1"/>
  <c r="C271" i="1"/>
  <c r="E271" i="1" s="1"/>
  <c r="K271" i="1"/>
  <c r="Q271" i="1"/>
  <c r="R271" i="1"/>
  <c r="C128" i="1"/>
  <c r="E128" i="1" s="1"/>
  <c r="K128" i="1"/>
  <c r="Q128" i="1"/>
  <c r="R128" i="1"/>
  <c r="C114" i="1"/>
  <c r="E114" i="1" s="1"/>
  <c r="K114" i="1"/>
  <c r="Q114" i="1"/>
  <c r="R114" i="1"/>
  <c r="C139" i="1"/>
  <c r="E139" i="1" s="1"/>
  <c r="K139" i="1"/>
  <c r="Q139" i="1"/>
  <c r="R139" i="1"/>
  <c r="C604" i="1"/>
  <c r="E604" i="1" s="1"/>
  <c r="K604" i="1"/>
  <c r="Q604" i="1"/>
  <c r="R604" i="1"/>
  <c r="C78" i="1"/>
  <c r="E78" i="1" s="1"/>
  <c r="K78" i="1"/>
  <c r="Q78" i="1"/>
  <c r="R78" i="1"/>
  <c r="C229" i="1"/>
  <c r="E229" i="1" s="1"/>
  <c r="K229" i="1"/>
  <c r="Q229" i="1"/>
  <c r="R229" i="1"/>
  <c r="C230" i="1"/>
  <c r="E230" i="1" s="1"/>
  <c r="K230" i="1"/>
  <c r="Q230" i="1"/>
  <c r="R230" i="1"/>
  <c r="C99" i="1"/>
  <c r="E99" i="1" s="1"/>
  <c r="K99" i="1"/>
  <c r="Q99" i="1"/>
  <c r="R99" i="1"/>
  <c r="C100" i="1"/>
  <c r="E100" i="1" s="1"/>
  <c r="K100" i="1"/>
  <c r="Q100" i="1"/>
  <c r="R100" i="1"/>
  <c r="C115" i="1"/>
  <c r="E115" i="1" s="1"/>
  <c r="K115" i="1"/>
  <c r="Q115" i="1"/>
  <c r="R115" i="1"/>
  <c r="C125" i="1"/>
  <c r="E125" i="1" s="1"/>
  <c r="K125" i="1"/>
  <c r="Q125" i="1"/>
  <c r="R125" i="1"/>
  <c r="C129" i="1"/>
  <c r="E129" i="1" s="1"/>
  <c r="K129" i="1"/>
  <c r="Q129" i="1"/>
  <c r="R129" i="1"/>
  <c r="C132" i="1"/>
  <c r="E132" i="1" s="1"/>
  <c r="K132" i="1"/>
  <c r="Q132" i="1"/>
  <c r="R132" i="1"/>
  <c r="C140" i="1"/>
  <c r="E140" i="1" s="1"/>
  <c r="K140" i="1"/>
  <c r="Q140" i="1"/>
  <c r="R140" i="1"/>
  <c r="C164" i="1"/>
  <c r="E164" i="1" s="1"/>
  <c r="K164" i="1"/>
  <c r="Q164" i="1"/>
  <c r="R164" i="1"/>
  <c r="C187" i="1"/>
  <c r="E187" i="1" s="1"/>
  <c r="K187" i="1"/>
  <c r="Q187" i="1"/>
  <c r="R187" i="1"/>
  <c r="C213" i="1"/>
  <c r="E213" i="1" s="1"/>
  <c r="K213" i="1"/>
  <c r="Q213" i="1"/>
  <c r="R213" i="1"/>
  <c r="C216" i="1"/>
  <c r="E216" i="1" s="1"/>
  <c r="K216" i="1"/>
  <c r="Q216" i="1"/>
  <c r="R216" i="1"/>
  <c r="C231" i="1"/>
  <c r="E231" i="1" s="1"/>
  <c r="K231" i="1"/>
  <c r="Q231" i="1"/>
  <c r="R231" i="1"/>
  <c r="C258" i="1"/>
  <c r="E258" i="1" s="1"/>
  <c r="K258" i="1"/>
  <c r="Q258" i="1"/>
  <c r="R258" i="1"/>
  <c r="C267" i="1"/>
  <c r="E267" i="1" s="1"/>
  <c r="K267" i="1"/>
  <c r="Q267" i="1"/>
  <c r="R267" i="1"/>
  <c r="C268" i="1"/>
  <c r="E268" i="1" s="1"/>
  <c r="K268" i="1"/>
  <c r="Q268" i="1"/>
  <c r="R268" i="1"/>
  <c r="C273" i="1"/>
  <c r="E273" i="1" s="1"/>
  <c r="K273" i="1"/>
  <c r="Q273" i="1"/>
  <c r="R273" i="1"/>
  <c r="C342" i="1"/>
  <c r="E342" i="1" s="1"/>
  <c r="K342" i="1"/>
  <c r="Q342" i="1"/>
  <c r="R342" i="1"/>
  <c r="C343" i="1"/>
  <c r="E343" i="1" s="1"/>
  <c r="K343" i="1"/>
  <c r="Q343" i="1"/>
  <c r="R343" i="1"/>
  <c r="C600" i="1"/>
  <c r="E600" i="1" s="1"/>
  <c r="K600" i="1"/>
  <c r="Q600" i="1"/>
  <c r="R600" i="1"/>
  <c r="C605" i="1"/>
  <c r="E605" i="1" s="1"/>
  <c r="K605" i="1"/>
  <c r="Q605" i="1"/>
  <c r="R605" i="1"/>
  <c r="C608" i="1"/>
  <c r="E608" i="1" s="1"/>
  <c r="K608" i="1"/>
  <c r="Q608" i="1"/>
  <c r="R608" i="1"/>
  <c r="C272" i="1"/>
  <c r="E272" i="1" s="1"/>
  <c r="K272" i="1"/>
  <c r="Q272" i="1"/>
  <c r="R272" i="1"/>
  <c r="C290" i="1"/>
  <c r="E290" i="1" s="1"/>
  <c r="K290" i="1"/>
  <c r="Q290" i="1"/>
  <c r="R290" i="1"/>
  <c r="C79" i="1"/>
  <c r="E79" i="1" s="1"/>
  <c r="K79" i="1"/>
  <c r="Q79" i="1"/>
  <c r="R79" i="1"/>
  <c r="C165" i="1"/>
  <c r="E165" i="1" s="1"/>
  <c r="K165" i="1"/>
  <c r="Q165" i="1"/>
  <c r="R165" i="1"/>
  <c r="C141" i="1"/>
  <c r="E141" i="1" s="1"/>
  <c r="K141" i="1"/>
  <c r="Q141" i="1"/>
  <c r="R141" i="1"/>
  <c r="C518" i="1"/>
  <c r="E518" i="1" s="1"/>
  <c r="K518" i="1"/>
  <c r="Q518" i="1"/>
  <c r="R518" i="1"/>
  <c r="C142" i="1"/>
  <c r="E142" i="1" s="1"/>
  <c r="K142" i="1"/>
  <c r="Q142" i="1"/>
  <c r="R142" i="1"/>
  <c r="C159" i="1"/>
  <c r="E159" i="1" s="1"/>
  <c r="K159" i="1"/>
  <c r="Q159" i="1"/>
  <c r="R159" i="1"/>
  <c r="C160" i="1"/>
  <c r="E160" i="1" s="1"/>
  <c r="K160" i="1"/>
  <c r="Q160" i="1"/>
  <c r="R160" i="1"/>
  <c r="C161" i="1"/>
  <c r="E161" i="1" s="1"/>
  <c r="K161" i="1"/>
  <c r="Q161" i="1"/>
  <c r="R161" i="1"/>
  <c r="C143" i="1"/>
  <c r="E143" i="1" s="1"/>
  <c r="K143" i="1"/>
  <c r="Q143" i="1"/>
  <c r="R143" i="1"/>
  <c r="C162" i="1"/>
  <c r="E162" i="1" s="1"/>
  <c r="K162" i="1"/>
  <c r="Q162" i="1"/>
  <c r="R162" i="1"/>
  <c r="C291" i="1"/>
  <c r="E291" i="1" s="1"/>
  <c r="K291" i="1"/>
  <c r="Q291" i="1"/>
  <c r="R291" i="1"/>
  <c r="C163" i="1"/>
  <c r="E163" i="1" s="1"/>
  <c r="K163" i="1"/>
  <c r="Q163" i="1"/>
  <c r="R163" i="1"/>
  <c r="C609" i="1"/>
  <c r="E609" i="1" s="1"/>
  <c r="K609" i="1"/>
  <c r="Q609" i="1"/>
  <c r="R609" i="1"/>
  <c r="C529" i="1"/>
  <c r="E529" i="1" s="1"/>
  <c r="K529" i="1"/>
  <c r="Q529" i="1"/>
  <c r="R529" i="1"/>
  <c r="C576" i="1"/>
  <c r="E576" i="1" s="1"/>
  <c r="K576" i="1"/>
  <c r="Q576" i="1"/>
  <c r="R576" i="1"/>
  <c r="C200" i="1"/>
  <c r="E200" i="1" s="1"/>
  <c r="K200" i="1"/>
  <c r="Q200" i="1"/>
  <c r="R200" i="1"/>
  <c r="C517" i="1"/>
  <c r="E517" i="1" s="1"/>
  <c r="K517" i="1"/>
  <c r="Q517" i="1"/>
  <c r="R517" i="1"/>
  <c r="C601" i="1"/>
  <c r="E601" i="1" s="1"/>
  <c r="K601" i="1"/>
  <c r="Q601" i="1"/>
  <c r="R601" i="1"/>
  <c r="C577" i="1"/>
  <c r="E577" i="1" s="1"/>
  <c r="K577" i="1"/>
  <c r="Q577" i="1"/>
  <c r="R577" i="1"/>
  <c r="C578" i="1"/>
  <c r="E578" i="1" s="1"/>
  <c r="K578" i="1"/>
  <c r="Q578" i="1"/>
  <c r="R578" i="1"/>
  <c r="C584" i="1"/>
  <c r="E584" i="1" s="1"/>
  <c r="K584" i="1"/>
  <c r="Q584" i="1"/>
  <c r="R584" i="1"/>
  <c r="C585" i="1"/>
  <c r="E585" i="1" s="1"/>
  <c r="K585" i="1"/>
  <c r="Q585" i="1"/>
  <c r="R585" i="1"/>
  <c r="C593" i="1"/>
  <c r="E593" i="1" s="1"/>
  <c r="K593" i="1"/>
  <c r="Q593" i="1"/>
  <c r="R593" i="1"/>
  <c r="C594" i="1"/>
  <c r="E594" i="1" s="1"/>
  <c r="K594" i="1"/>
  <c r="Q594" i="1"/>
  <c r="R594" i="1"/>
  <c r="C595" i="1"/>
  <c r="E595" i="1" s="1"/>
  <c r="K595" i="1"/>
  <c r="Q595" i="1"/>
  <c r="R595" i="1"/>
  <c r="C596" i="1"/>
  <c r="E596" i="1" s="1"/>
  <c r="K596" i="1"/>
  <c r="Q596" i="1"/>
  <c r="R596" i="1"/>
  <c r="C619" i="1"/>
  <c r="E619" i="1" s="1"/>
  <c r="K619" i="1"/>
  <c r="Q619" i="1"/>
  <c r="R619" i="1"/>
  <c r="C620" i="1"/>
  <c r="E620" i="1" s="1"/>
  <c r="K620" i="1"/>
  <c r="Q620" i="1"/>
  <c r="R620" i="1"/>
  <c r="C621" i="1"/>
  <c r="E621" i="1" s="1"/>
  <c r="K621" i="1"/>
  <c r="Q621" i="1"/>
  <c r="R621" i="1"/>
  <c r="C202" i="1"/>
  <c r="E202" i="1" s="1"/>
  <c r="K202" i="1"/>
  <c r="Q202" i="1"/>
  <c r="R202" i="1"/>
  <c r="C526" i="1"/>
  <c r="E526" i="1" s="1"/>
  <c r="K526" i="1"/>
  <c r="Q526" i="1"/>
  <c r="R526" i="1"/>
  <c r="C136" i="1"/>
  <c r="E136" i="1" s="1"/>
  <c r="K136" i="1"/>
  <c r="Q136" i="1"/>
  <c r="R136" i="1"/>
  <c r="C137" i="1"/>
  <c r="E137" i="1" s="1"/>
  <c r="K137" i="1"/>
  <c r="Q137" i="1"/>
  <c r="R137" i="1"/>
  <c r="C144" i="1"/>
  <c r="E144" i="1" s="1"/>
  <c r="K144" i="1"/>
  <c r="Q144" i="1"/>
  <c r="R144" i="1"/>
  <c r="C146" i="1"/>
  <c r="E146" i="1" s="1"/>
  <c r="K146" i="1"/>
  <c r="Q146" i="1"/>
  <c r="R146" i="1"/>
  <c r="C133" i="1"/>
  <c r="E133" i="1" s="1"/>
  <c r="K133" i="1"/>
  <c r="Q133" i="1"/>
  <c r="R133" i="1"/>
  <c r="C134" i="1"/>
  <c r="E134" i="1" s="1"/>
  <c r="K134" i="1"/>
  <c r="Q134" i="1"/>
  <c r="R134" i="1"/>
  <c r="C135" i="1"/>
  <c r="E135" i="1" s="1"/>
  <c r="K135" i="1"/>
  <c r="Q135" i="1"/>
  <c r="R135" i="1"/>
  <c r="C294" i="1"/>
  <c r="E294" i="1" s="1"/>
  <c r="K294" i="1"/>
  <c r="Q294" i="1"/>
  <c r="R294" i="1"/>
  <c r="C610" i="1"/>
  <c r="E610" i="1" s="1"/>
  <c r="K610" i="1"/>
  <c r="Q610" i="1"/>
  <c r="R610" i="1"/>
  <c r="C527" i="1"/>
  <c r="E527" i="1" s="1"/>
  <c r="K527" i="1"/>
  <c r="Q527" i="1"/>
  <c r="R527" i="1"/>
  <c r="C528" i="1"/>
  <c r="E528" i="1" s="1"/>
  <c r="K528" i="1"/>
  <c r="Q528" i="1"/>
  <c r="R528" i="1"/>
  <c r="C622" i="1"/>
  <c r="E622" i="1" s="1"/>
  <c r="K622" i="1"/>
  <c r="Q622" i="1"/>
  <c r="R622" i="1"/>
  <c r="C145" i="1"/>
  <c r="E145" i="1" s="1"/>
  <c r="K145" i="1"/>
  <c r="Q145" i="1"/>
  <c r="R145" i="1"/>
  <c r="C505" i="1"/>
  <c r="E505" i="1" s="1"/>
  <c r="K505" i="1"/>
  <c r="Q505" i="1"/>
  <c r="R505" i="1"/>
  <c r="C708" i="1"/>
  <c r="E708" i="1" s="1"/>
  <c r="K708" i="1"/>
  <c r="Q708" i="1"/>
  <c r="R708" i="1"/>
  <c r="C498" i="1"/>
  <c r="E498" i="1" s="1"/>
  <c r="K498" i="1"/>
  <c r="Q498" i="1"/>
  <c r="R498" i="1"/>
  <c r="C709" i="1"/>
  <c r="E709" i="1" s="1"/>
  <c r="K709" i="1"/>
  <c r="Q709" i="1"/>
  <c r="R709" i="1"/>
  <c r="C669" i="1"/>
  <c r="E669" i="1" s="1"/>
  <c r="K669" i="1"/>
  <c r="Q669" i="1"/>
  <c r="R669" i="1"/>
  <c r="C710" i="1"/>
  <c r="E710" i="1" s="1"/>
  <c r="K710" i="1"/>
  <c r="Q710" i="1"/>
  <c r="R710" i="1"/>
  <c r="C680" i="1"/>
  <c r="E680" i="1" s="1"/>
  <c r="K680" i="1"/>
  <c r="Q680" i="1"/>
  <c r="R680" i="1"/>
  <c r="C515" i="1"/>
  <c r="E515" i="1" s="1"/>
  <c r="K515" i="1"/>
  <c r="Q515" i="1"/>
  <c r="R515" i="1"/>
  <c r="C292" i="1"/>
  <c r="E292" i="1" s="1"/>
  <c r="K292" i="1"/>
  <c r="Q292" i="1"/>
  <c r="R292" i="1"/>
  <c r="C685" i="1"/>
  <c r="E685" i="1" s="1"/>
  <c r="K685" i="1"/>
  <c r="Q685" i="1"/>
  <c r="R685" i="1"/>
  <c r="C711" i="1"/>
  <c r="E711" i="1" s="1"/>
  <c r="K711" i="1"/>
  <c r="Q711" i="1"/>
  <c r="R711" i="1"/>
  <c r="C310" i="1"/>
  <c r="E310" i="1" s="1"/>
  <c r="K310" i="1"/>
  <c r="Q310" i="1"/>
  <c r="R310" i="1"/>
  <c r="C681" i="1"/>
  <c r="E681" i="1" s="1"/>
  <c r="K681" i="1"/>
  <c r="Q681" i="1"/>
  <c r="R681" i="1"/>
  <c r="C499" i="1"/>
  <c r="E499" i="1" s="1"/>
  <c r="K499" i="1"/>
  <c r="Q499" i="1"/>
  <c r="R499" i="1"/>
  <c r="C546" i="1"/>
  <c r="E546" i="1" s="1"/>
  <c r="K546" i="1"/>
  <c r="Q546" i="1"/>
  <c r="R546" i="1"/>
  <c r="C500" i="1"/>
  <c r="E500" i="1" s="1"/>
  <c r="K500" i="1"/>
  <c r="Q500" i="1"/>
  <c r="R500" i="1"/>
  <c r="C712" i="1"/>
  <c r="E712" i="1" s="1"/>
  <c r="K712" i="1"/>
  <c r="Q712" i="1"/>
  <c r="R712" i="1"/>
  <c r="C501" i="1"/>
  <c r="E501" i="1" s="1"/>
  <c r="K501" i="1"/>
  <c r="Q501" i="1"/>
  <c r="R501" i="1"/>
  <c r="C713" i="1"/>
  <c r="E713" i="1" s="1"/>
  <c r="K713" i="1"/>
  <c r="Q713" i="1"/>
  <c r="R713" i="1"/>
  <c r="C506" i="1"/>
  <c r="E506" i="1" s="1"/>
  <c r="K506" i="1"/>
  <c r="Q506" i="1"/>
  <c r="R506" i="1"/>
  <c r="C502" i="1"/>
  <c r="E502" i="1" s="1"/>
  <c r="K502" i="1"/>
  <c r="Q502" i="1"/>
  <c r="R502" i="1"/>
  <c r="C682" i="1"/>
  <c r="E682" i="1" s="1"/>
  <c r="K682" i="1"/>
  <c r="Q682" i="1"/>
  <c r="R682" i="1"/>
  <c r="C686" i="1"/>
  <c r="E686" i="1" s="1"/>
  <c r="K686" i="1"/>
  <c r="Q686" i="1"/>
  <c r="R686" i="1"/>
  <c r="C714" i="1"/>
  <c r="E714" i="1" s="1"/>
  <c r="K714" i="1"/>
  <c r="Q714" i="1"/>
  <c r="R714" i="1"/>
  <c r="C312" i="1"/>
  <c r="E312" i="1" s="1"/>
  <c r="K312" i="1"/>
  <c r="Q312" i="1"/>
  <c r="R312" i="1"/>
  <c r="C670" i="1"/>
  <c r="E670" i="1" s="1"/>
  <c r="K670" i="1"/>
  <c r="Q670" i="1"/>
  <c r="R670" i="1"/>
  <c r="C673" i="1"/>
  <c r="E673" i="1" s="1"/>
  <c r="K673" i="1"/>
  <c r="Q673" i="1"/>
  <c r="R673" i="1"/>
  <c r="C629" i="1"/>
  <c r="E629" i="1" s="1"/>
  <c r="K629" i="1"/>
  <c r="Q629" i="1"/>
  <c r="R629" i="1"/>
  <c r="C630" i="1"/>
  <c r="E630" i="1" s="1"/>
  <c r="K630" i="1"/>
  <c r="Q630" i="1"/>
  <c r="R630" i="1"/>
  <c r="C315" i="1"/>
  <c r="E315" i="1" s="1"/>
  <c r="K315" i="1"/>
  <c r="Q315" i="1"/>
  <c r="R315" i="1"/>
  <c r="C507" i="1"/>
  <c r="E507" i="1" s="1"/>
  <c r="K507" i="1"/>
  <c r="Q507" i="1"/>
  <c r="R507" i="1"/>
  <c r="C683" i="1"/>
  <c r="E683" i="1" s="1"/>
  <c r="K683" i="1"/>
  <c r="Q683" i="1"/>
  <c r="R683" i="1"/>
  <c r="C671" i="1"/>
  <c r="E671" i="1" s="1"/>
  <c r="K671" i="1"/>
  <c r="Q671" i="1"/>
  <c r="R671" i="1"/>
  <c r="C547" i="1"/>
  <c r="E547" i="1" s="1"/>
  <c r="K547" i="1"/>
  <c r="Q547" i="1"/>
  <c r="R547" i="1"/>
  <c r="C715" i="1"/>
  <c r="E715" i="1" s="1"/>
  <c r="K715" i="1"/>
  <c r="Q715" i="1"/>
  <c r="R715" i="1"/>
  <c r="C313" i="1"/>
  <c r="E313" i="1" s="1"/>
  <c r="K313" i="1"/>
  <c r="Q313" i="1"/>
  <c r="R313" i="1"/>
  <c r="C674" i="1"/>
  <c r="E674" i="1" s="1"/>
  <c r="K674" i="1"/>
  <c r="Q674" i="1"/>
  <c r="R674" i="1"/>
  <c r="C311" i="1"/>
  <c r="E311" i="1" s="1"/>
  <c r="K311" i="1"/>
  <c r="Q311" i="1"/>
  <c r="R311" i="1"/>
  <c r="C314" i="1"/>
  <c r="E314" i="1" s="1"/>
  <c r="K314" i="1"/>
  <c r="Q314" i="1"/>
  <c r="R314" i="1"/>
  <c r="C503" i="1"/>
  <c r="E503" i="1" s="1"/>
  <c r="K503" i="1"/>
  <c r="Q503" i="1"/>
  <c r="R503" i="1"/>
  <c r="C631" i="1"/>
  <c r="E631" i="1" s="1"/>
  <c r="K631" i="1"/>
  <c r="Q631" i="1"/>
  <c r="R631" i="1"/>
  <c r="C672" i="1"/>
  <c r="E672" i="1" s="1"/>
  <c r="K672" i="1"/>
  <c r="Q672" i="1"/>
  <c r="R672" i="1"/>
  <c r="C675" i="1"/>
  <c r="E675" i="1" s="1"/>
  <c r="K675" i="1"/>
  <c r="Q675" i="1"/>
  <c r="R675" i="1"/>
  <c r="C283" i="1"/>
  <c r="E283" i="1" s="1"/>
  <c r="K283" i="1"/>
  <c r="Q283" i="1"/>
  <c r="R283" i="1"/>
  <c r="C508" i="1"/>
  <c r="E508" i="1" s="1"/>
  <c r="K508" i="1"/>
  <c r="Q508" i="1"/>
  <c r="R508" i="1"/>
  <c r="C516" i="1"/>
  <c r="E516" i="1" s="1"/>
  <c r="K516" i="1"/>
  <c r="Q516" i="1"/>
  <c r="R516" i="1"/>
  <c r="C548" i="1"/>
  <c r="E548" i="1" s="1"/>
  <c r="K548" i="1"/>
  <c r="Q548" i="1"/>
  <c r="R548" i="1"/>
  <c r="C293" i="1"/>
  <c r="E293" i="1" s="1"/>
  <c r="K293" i="1"/>
  <c r="Q293" i="1"/>
  <c r="R293" i="1"/>
  <c r="C684" i="1"/>
  <c r="E684" i="1" s="1"/>
  <c r="K684" i="1"/>
  <c r="Q684" i="1"/>
  <c r="R684" i="1"/>
  <c r="C687" i="1"/>
  <c r="E687" i="1" s="1"/>
  <c r="K687" i="1"/>
  <c r="Q687" i="1"/>
  <c r="R687" i="1"/>
  <c r="C509" i="1"/>
  <c r="E509" i="1" s="1"/>
  <c r="K509" i="1"/>
  <c r="Q509" i="1"/>
  <c r="R509" i="1"/>
  <c r="C110" i="1"/>
  <c r="E110" i="1" s="1"/>
  <c r="K110" i="1"/>
  <c r="Q110" i="1"/>
  <c r="R110" i="1"/>
  <c r="C151" i="1"/>
  <c r="E151" i="1" s="1"/>
  <c r="K151" i="1"/>
  <c r="Q151" i="1"/>
  <c r="R151" i="1"/>
  <c r="C426" i="1"/>
  <c r="E426" i="1" s="1"/>
  <c r="K426" i="1"/>
  <c r="Q426" i="1"/>
  <c r="R426" i="1"/>
  <c r="C467" i="1"/>
  <c r="E467" i="1" s="1"/>
  <c r="K467" i="1"/>
  <c r="Q467" i="1"/>
  <c r="R467" i="1"/>
  <c r="C486" i="1"/>
  <c r="E486" i="1" s="1"/>
  <c r="K486" i="1"/>
  <c r="Q486" i="1"/>
  <c r="R486" i="1"/>
  <c r="C487" i="1"/>
  <c r="E487" i="1" s="1"/>
  <c r="K487" i="1"/>
  <c r="Q487" i="1"/>
  <c r="R487" i="1"/>
  <c r="C430" i="1"/>
  <c r="E430" i="1" s="1"/>
  <c r="K430" i="1"/>
  <c r="Q430" i="1"/>
  <c r="R430" i="1"/>
  <c r="C458" i="1"/>
  <c r="E458" i="1" s="1"/>
  <c r="K458" i="1"/>
  <c r="Q458" i="1"/>
  <c r="R458" i="1"/>
  <c r="C111" i="1"/>
  <c r="E111" i="1" s="1"/>
  <c r="K111" i="1"/>
  <c r="Q111" i="1"/>
  <c r="R111" i="1"/>
  <c r="C152" i="1"/>
  <c r="E152" i="1" s="1"/>
  <c r="K152" i="1"/>
  <c r="Q152" i="1"/>
  <c r="R152" i="1"/>
  <c r="C459" i="1"/>
  <c r="E459" i="1" s="1"/>
  <c r="K459" i="1"/>
  <c r="Q459" i="1"/>
  <c r="R459" i="1"/>
  <c r="C431" i="1"/>
  <c r="E431" i="1" s="1"/>
  <c r="K431" i="1"/>
  <c r="Q431" i="1"/>
  <c r="R431" i="1"/>
  <c r="C101" i="1"/>
  <c r="E101" i="1" s="1"/>
  <c r="K101" i="1"/>
  <c r="Q101" i="1"/>
  <c r="R101" i="1"/>
  <c r="C105" i="1"/>
  <c r="E105" i="1" s="1"/>
  <c r="K105" i="1"/>
  <c r="Q105" i="1"/>
  <c r="R105" i="1"/>
  <c r="C191" i="1"/>
  <c r="E191" i="1" s="1"/>
  <c r="K191" i="1"/>
  <c r="Q191" i="1"/>
  <c r="R191" i="1"/>
  <c r="C468" i="1"/>
  <c r="E468" i="1" s="1"/>
  <c r="K468" i="1"/>
  <c r="Q468" i="1"/>
  <c r="R468" i="1"/>
  <c r="C153" i="1"/>
  <c r="E153" i="1" s="1"/>
  <c r="K153" i="1"/>
  <c r="Q153" i="1"/>
  <c r="R153" i="1"/>
  <c r="C491" i="1"/>
  <c r="E491" i="1" s="1"/>
  <c r="K491" i="1"/>
  <c r="Q491" i="1"/>
  <c r="R491" i="1"/>
  <c r="C432" i="1"/>
  <c r="E432" i="1" s="1"/>
  <c r="K432" i="1"/>
  <c r="Q432" i="1"/>
  <c r="R432" i="1"/>
  <c r="C460" i="1"/>
  <c r="E460" i="1" s="1"/>
  <c r="K460" i="1"/>
  <c r="Q460" i="1"/>
  <c r="R460" i="1"/>
  <c r="C461" i="1"/>
  <c r="E461" i="1" s="1"/>
  <c r="K461" i="1"/>
  <c r="Q461" i="1"/>
  <c r="R461" i="1"/>
  <c r="C492" i="1"/>
  <c r="E492" i="1" s="1"/>
  <c r="K492" i="1"/>
  <c r="Q492" i="1"/>
  <c r="R492" i="1"/>
  <c r="C179" i="1"/>
  <c r="E179" i="1" s="1"/>
  <c r="K179" i="1"/>
  <c r="Q179" i="1"/>
  <c r="R179" i="1"/>
  <c r="C181" i="1"/>
  <c r="E181" i="1" s="1"/>
  <c r="K181" i="1"/>
  <c r="Q181" i="1"/>
  <c r="R181" i="1"/>
  <c r="C102" i="1"/>
  <c r="E102" i="1" s="1"/>
  <c r="K102" i="1"/>
  <c r="Q102" i="1"/>
  <c r="R102" i="1"/>
  <c r="C106" i="1"/>
  <c r="E106" i="1" s="1"/>
  <c r="K106" i="1"/>
  <c r="Q106" i="1"/>
  <c r="R106" i="1"/>
  <c r="C116" i="1"/>
  <c r="E116" i="1" s="1"/>
  <c r="K116" i="1"/>
  <c r="Q116" i="1"/>
  <c r="R116" i="1"/>
  <c r="C117" i="1"/>
  <c r="E117" i="1" s="1"/>
  <c r="K117" i="1"/>
  <c r="Q117" i="1"/>
  <c r="R117" i="1"/>
  <c r="C121" i="1"/>
  <c r="E121" i="1" s="1"/>
  <c r="K121" i="1"/>
  <c r="Q121" i="1"/>
  <c r="R121" i="1"/>
  <c r="C147" i="1"/>
  <c r="E147" i="1" s="1"/>
  <c r="K147" i="1"/>
  <c r="Q147" i="1"/>
  <c r="R147" i="1"/>
  <c r="C149" i="1"/>
  <c r="E149" i="1" s="1"/>
  <c r="K149" i="1"/>
  <c r="Q149" i="1"/>
  <c r="R149" i="1"/>
  <c r="C150" i="1"/>
  <c r="E150" i="1" s="1"/>
  <c r="K150" i="1"/>
  <c r="Q150" i="1"/>
  <c r="R150" i="1"/>
  <c r="C166" i="1"/>
  <c r="E166" i="1" s="1"/>
  <c r="K166" i="1"/>
  <c r="Q166" i="1"/>
  <c r="R166" i="1"/>
  <c r="C167" i="1"/>
  <c r="E167" i="1" s="1"/>
  <c r="K167" i="1"/>
  <c r="Q167" i="1"/>
  <c r="R167" i="1"/>
  <c r="C168" i="1"/>
  <c r="E168" i="1" s="1"/>
  <c r="K168" i="1"/>
  <c r="Q168" i="1"/>
  <c r="R168" i="1"/>
  <c r="C169" i="1"/>
  <c r="E169" i="1" s="1"/>
  <c r="K169" i="1"/>
  <c r="Q169" i="1"/>
  <c r="R169" i="1"/>
  <c r="C171" i="1"/>
  <c r="E171" i="1" s="1"/>
  <c r="K171" i="1"/>
  <c r="Q171" i="1"/>
  <c r="R171" i="1"/>
  <c r="C192" i="1"/>
  <c r="E192" i="1" s="1"/>
  <c r="K192" i="1"/>
  <c r="Q192" i="1"/>
  <c r="R192" i="1"/>
  <c r="C198" i="1"/>
  <c r="E198" i="1" s="1"/>
  <c r="K198" i="1"/>
  <c r="Q198" i="1"/>
  <c r="R198" i="1"/>
  <c r="C201" i="1"/>
  <c r="E201" i="1" s="1"/>
  <c r="K201" i="1"/>
  <c r="Q201" i="1"/>
  <c r="R201" i="1"/>
  <c r="C203" i="1"/>
  <c r="E203" i="1" s="1"/>
  <c r="K203" i="1"/>
  <c r="Q203" i="1"/>
  <c r="R203" i="1"/>
  <c r="C205" i="1"/>
  <c r="E205" i="1" s="1"/>
  <c r="K205" i="1"/>
  <c r="Q205" i="1"/>
  <c r="R205" i="1"/>
  <c r="C206" i="1"/>
  <c r="E206" i="1" s="1"/>
  <c r="K206" i="1"/>
  <c r="Q206" i="1"/>
  <c r="R206" i="1"/>
  <c r="C493" i="1"/>
  <c r="E493" i="1" s="1"/>
  <c r="K493" i="1"/>
  <c r="Q493" i="1"/>
  <c r="R493" i="1"/>
  <c r="C433" i="1"/>
  <c r="E433" i="1" s="1"/>
  <c r="K433" i="1"/>
  <c r="Q433" i="1"/>
  <c r="R433" i="1"/>
  <c r="C180" i="1"/>
  <c r="E180" i="1" s="1"/>
  <c r="K180" i="1"/>
  <c r="Q180" i="1"/>
  <c r="R180" i="1"/>
  <c r="C112" i="1"/>
  <c r="E112" i="1" s="1"/>
  <c r="K112" i="1"/>
  <c r="Q112" i="1"/>
  <c r="R112" i="1"/>
  <c r="C154" i="1"/>
  <c r="E154" i="1" s="1"/>
  <c r="K154" i="1"/>
  <c r="Q154" i="1"/>
  <c r="R154" i="1"/>
  <c r="C434" i="1"/>
  <c r="E434" i="1" s="1"/>
  <c r="K434" i="1"/>
  <c r="Q434" i="1"/>
  <c r="R434" i="1"/>
  <c r="C462" i="1"/>
  <c r="E462" i="1" s="1"/>
  <c r="K462" i="1"/>
  <c r="Q462" i="1"/>
  <c r="R462" i="1"/>
  <c r="C488" i="1"/>
  <c r="E488" i="1" s="1"/>
  <c r="K488" i="1"/>
  <c r="Q488" i="1"/>
  <c r="R488" i="1"/>
  <c r="C155" i="1"/>
  <c r="E155" i="1" s="1"/>
  <c r="K155" i="1"/>
  <c r="Q155" i="1"/>
  <c r="R155" i="1"/>
  <c r="C193" i="1"/>
  <c r="E193" i="1" s="1"/>
  <c r="K193" i="1"/>
  <c r="Q193" i="1"/>
  <c r="R193" i="1"/>
  <c r="C435" i="1"/>
  <c r="E435" i="1" s="1"/>
  <c r="K435" i="1"/>
  <c r="Q435" i="1"/>
  <c r="R435" i="1"/>
  <c r="C194" i="1"/>
  <c r="E194" i="1" s="1"/>
  <c r="K194" i="1"/>
  <c r="Q194" i="1"/>
  <c r="R194" i="1"/>
  <c r="C436" i="1"/>
  <c r="E436" i="1" s="1"/>
  <c r="K436" i="1"/>
  <c r="Q436" i="1"/>
  <c r="R436" i="1"/>
  <c r="C463" i="1"/>
  <c r="E463" i="1" s="1"/>
  <c r="K463" i="1"/>
  <c r="Q463" i="1"/>
  <c r="R463" i="1"/>
  <c r="C437" i="1"/>
  <c r="E437" i="1" s="1"/>
  <c r="K437" i="1"/>
  <c r="Q437" i="1"/>
  <c r="R437" i="1"/>
  <c r="C113" i="1"/>
  <c r="E113" i="1" s="1"/>
  <c r="K113" i="1"/>
  <c r="Q113" i="1"/>
  <c r="R113" i="1"/>
  <c r="C156" i="1"/>
  <c r="E156" i="1" s="1"/>
  <c r="K156" i="1"/>
  <c r="Q156" i="1"/>
  <c r="R156" i="1"/>
  <c r="C464" i="1"/>
  <c r="E464" i="1" s="1"/>
  <c r="K464" i="1"/>
  <c r="Q464" i="1"/>
  <c r="R464" i="1"/>
  <c r="C107" i="1"/>
  <c r="E107" i="1" s="1"/>
  <c r="K107" i="1"/>
  <c r="Q107" i="1"/>
  <c r="R107" i="1"/>
  <c r="C103" i="1"/>
  <c r="E103" i="1" s="1"/>
  <c r="K103" i="1"/>
  <c r="Q103" i="1"/>
  <c r="R103" i="1"/>
  <c r="C195" i="1"/>
  <c r="E195" i="1" s="1"/>
  <c r="K195" i="1"/>
  <c r="Q195" i="1"/>
  <c r="R195" i="1"/>
  <c r="C199" i="1"/>
  <c r="E199" i="1" s="1"/>
  <c r="K199" i="1"/>
  <c r="Q199" i="1"/>
  <c r="R199" i="1"/>
  <c r="C469" i="1"/>
  <c r="E469" i="1" s="1"/>
  <c r="K469" i="1"/>
  <c r="Q469" i="1"/>
  <c r="R469" i="1"/>
  <c r="C489" i="1"/>
  <c r="E489" i="1" s="1"/>
  <c r="K489" i="1"/>
  <c r="Q489" i="1"/>
  <c r="R489" i="1"/>
  <c r="C157" i="1"/>
  <c r="E157" i="1" s="1"/>
  <c r="K157" i="1"/>
  <c r="Q157" i="1"/>
  <c r="R157" i="1"/>
  <c r="C438" i="1"/>
  <c r="E438" i="1" s="1"/>
  <c r="K438" i="1"/>
  <c r="Q438" i="1"/>
  <c r="R438" i="1"/>
  <c r="C490" i="1"/>
  <c r="E490" i="1" s="1"/>
  <c r="K490" i="1"/>
  <c r="Q490" i="1"/>
  <c r="R490" i="1"/>
  <c r="C158" i="1"/>
  <c r="E158" i="1" s="1"/>
  <c r="K158" i="1"/>
  <c r="Q158" i="1"/>
  <c r="R158" i="1"/>
  <c r="C439" i="1"/>
  <c r="E439" i="1" s="1"/>
  <c r="K439" i="1"/>
  <c r="Q439" i="1"/>
  <c r="R439" i="1"/>
  <c r="C440" i="1"/>
  <c r="E440" i="1" s="1"/>
  <c r="K440" i="1"/>
  <c r="Q440" i="1"/>
  <c r="R440" i="1"/>
  <c r="C441" i="1"/>
  <c r="E441" i="1" s="1"/>
  <c r="K441" i="1"/>
  <c r="Q441" i="1"/>
  <c r="R441" i="1"/>
  <c r="C442" i="1"/>
  <c r="E442" i="1" s="1"/>
  <c r="K442" i="1"/>
  <c r="Q442" i="1"/>
  <c r="R442" i="1"/>
  <c r="C465" i="1"/>
  <c r="E465" i="1" s="1"/>
  <c r="K465" i="1"/>
  <c r="Q465" i="1"/>
  <c r="R465" i="1"/>
  <c r="C443" i="1"/>
  <c r="E443" i="1" s="1"/>
  <c r="K443" i="1"/>
  <c r="Q443" i="1"/>
  <c r="R443" i="1"/>
  <c r="C104" i="1"/>
  <c r="E104" i="1" s="1"/>
  <c r="K104" i="1"/>
  <c r="Q104" i="1"/>
  <c r="R104" i="1"/>
  <c r="C108" i="1"/>
  <c r="E108" i="1" s="1"/>
  <c r="K108" i="1"/>
  <c r="Q108" i="1"/>
  <c r="R108" i="1"/>
  <c r="C148" i="1"/>
  <c r="E148" i="1" s="1"/>
  <c r="K148" i="1"/>
  <c r="Q148" i="1"/>
  <c r="R148" i="1"/>
  <c r="C170" i="1"/>
  <c r="E170" i="1" s="1"/>
  <c r="K170" i="1"/>
  <c r="Q170" i="1"/>
  <c r="R170" i="1"/>
  <c r="C196" i="1"/>
  <c r="E196" i="1" s="1"/>
  <c r="K196" i="1"/>
  <c r="Q196" i="1"/>
  <c r="R196" i="1"/>
  <c r="C204" i="1"/>
  <c r="E204" i="1" s="1"/>
  <c r="K204" i="1"/>
  <c r="Q204" i="1"/>
  <c r="R204" i="1"/>
  <c r="C444" i="1"/>
  <c r="E444" i="1" s="1"/>
  <c r="K444" i="1"/>
  <c r="Q444" i="1"/>
  <c r="R444" i="1"/>
  <c r="C466" i="1"/>
  <c r="E466" i="1" s="1"/>
  <c r="K466" i="1"/>
  <c r="Q466" i="1"/>
  <c r="R466" i="1"/>
  <c r="C6" i="1"/>
  <c r="E6" i="1" s="1"/>
  <c r="K6" i="1"/>
  <c r="Q6" i="1"/>
  <c r="R6" i="1"/>
  <c r="C339" i="1"/>
  <c r="E339" i="1" s="1"/>
  <c r="K339" i="1"/>
  <c r="Q339" i="1"/>
  <c r="R339" i="1"/>
  <c r="C7" i="1"/>
  <c r="E7" i="1" s="1"/>
  <c r="K7" i="1"/>
  <c r="Q7" i="1"/>
  <c r="R7" i="1"/>
  <c r="C367" i="1"/>
  <c r="E367" i="1" s="1"/>
  <c r="K367" i="1"/>
  <c r="Q367" i="1"/>
  <c r="R367" i="1"/>
  <c r="C328" i="1"/>
  <c r="E328" i="1" s="1"/>
  <c r="K328" i="1"/>
  <c r="Q328" i="1"/>
  <c r="R328" i="1"/>
  <c r="C366" i="1"/>
  <c r="E366" i="1" s="1"/>
  <c r="K366" i="1"/>
  <c r="Q366" i="1"/>
  <c r="R366" i="1"/>
  <c r="C368" i="1"/>
  <c r="E368" i="1" s="1"/>
  <c r="K368" i="1"/>
  <c r="Q368" i="1"/>
  <c r="R368" i="1"/>
  <c r="C334" i="1"/>
  <c r="E334" i="1" s="1"/>
  <c r="K334" i="1"/>
  <c r="Q334" i="1"/>
  <c r="R334" i="1"/>
  <c r="C329" i="1"/>
  <c r="E329" i="1" s="1"/>
  <c r="K329" i="1"/>
  <c r="Q329" i="1"/>
  <c r="R329" i="1"/>
  <c r="C332" i="1"/>
  <c r="E332" i="1" s="1"/>
  <c r="K332" i="1"/>
  <c r="Q332" i="1"/>
  <c r="R332" i="1"/>
  <c r="C335" i="1"/>
  <c r="E335" i="1" s="1"/>
  <c r="K335" i="1"/>
  <c r="Q335" i="1"/>
  <c r="R335" i="1"/>
  <c r="C765" i="1"/>
  <c r="E765" i="1" s="1"/>
  <c r="K765" i="1"/>
  <c r="Q765" i="1"/>
  <c r="R765" i="1"/>
  <c r="C12" i="1"/>
  <c r="E12" i="1" s="1"/>
  <c r="K12" i="1"/>
  <c r="Q12" i="1"/>
  <c r="R12" i="1"/>
  <c r="C369" i="1"/>
  <c r="E369" i="1" s="1"/>
  <c r="K369" i="1"/>
  <c r="Q369" i="1"/>
  <c r="R369" i="1"/>
  <c r="C330" i="1"/>
  <c r="E330" i="1" s="1"/>
  <c r="K330" i="1"/>
  <c r="Q330" i="1"/>
  <c r="R330" i="1"/>
  <c r="C336" i="1"/>
  <c r="E336" i="1" s="1"/>
  <c r="K336" i="1"/>
  <c r="Q336" i="1"/>
  <c r="R336" i="1"/>
  <c r="C337" i="1"/>
  <c r="E337" i="1" s="1"/>
  <c r="K337" i="1"/>
  <c r="Q337" i="1"/>
  <c r="R337" i="1"/>
  <c r="C333" i="1"/>
  <c r="E333" i="1" s="1"/>
  <c r="K333" i="1"/>
  <c r="Q333" i="1"/>
  <c r="R333" i="1"/>
  <c r="C338" i="1"/>
  <c r="E338" i="1" s="1"/>
  <c r="K338" i="1"/>
  <c r="Q338" i="1"/>
  <c r="R338" i="1"/>
  <c r="C331" i="1"/>
  <c r="E331" i="1" s="1"/>
  <c r="K331" i="1"/>
  <c r="Q331" i="1"/>
  <c r="R331" i="1"/>
  <c r="C8" i="1"/>
  <c r="E8" i="1" s="1"/>
  <c r="K8" i="1"/>
  <c r="Q8" i="1"/>
  <c r="R8" i="1"/>
  <c r="C370" i="1"/>
  <c r="E370" i="1" s="1"/>
  <c r="K370" i="1"/>
  <c r="Q370" i="1"/>
  <c r="R370" i="1"/>
  <c r="C9" i="1"/>
  <c r="E9" i="1" s="1"/>
  <c r="K9" i="1"/>
  <c r="Q9" i="1"/>
  <c r="R9" i="1"/>
  <c r="C302" i="1"/>
  <c r="E302" i="1" s="1"/>
  <c r="K302" i="1"/>
  <c r="Q302" i="1"/>
  <c r="R302" i="1"/>
  <c r="C659" i="1"/>
  <c r="E659" i="1" s="1"/>
  <c r="K659" i="1"/>
  <c r="Q659" i="1"/>
  <c r="R659" i="1"/>
  <c r="C303" i="1"/>
  <c r="E303" i="1" s="1"/>
  <c r="K303" i="1"/>
  <c r="Q303" i="1"/>
  <c r="R303" i="1"/>
  <c r="C632" i="1"/>
  <c r="E632" i="1" s="1"/>
  <c r="K632" i="1"/>
  <c r="Q632" i="1"/>
  <c r="R632" i="1"/>
  <c r="C637" i="1"/>
  <c r="E637" i="1" s="1"/>
  <c r="K637" i="1"/>
  <c r="Q637" i="1"/>
  <c r="R637" i="1"/>
  <c r="C650" i="1"/>
  <c r="E650" i="1" s="1"/>
  <c r="K650" i="1"/>
  <c r="Q650" i="1"/>
  <c r="R650" i="1"/>
  <c r="C653" i="1"/>
  <c r="E653" i="1" s="1"/>
  <c r="K653" i="1"/>
  <c r="Q653" i="1"/>
  <c r="R653" i="1"/>
  <c r="C657" i="1"/>
  <c r="E657" i="1" s="1"/>
  <c r="K657" i="1"/>
  <c r="Q657" i="1"/>
  <c r="R657" i="1"/>
  <c r="C661" i="1"/>
  <c r="E661" i="1" s="1"/>
  <c r="K661" i="1"/>
  <c r="Q661" i="1"/>
  <c r="R661" i="1"/>
  <c r="C645" i="1"/>
  <c r="E645" i="1" s="1"/>
  <c r="K645" i="1"/>
  <c r="Q645" i="1"/>
  <c r="R645" i="1"/>
  <c r="C660" i="1"/>
  <c r="E660" i="1" s="1"/>
  <c r="K660" i="1"/>
  <c r="Q660" i="1"/>
  <c r="R660" i="1"/>
  <c r="C304" i="1"/>
  <c r="E304" i="1" s="1"/>
  <c r="K304" i="1"/>
  <c r="Q304" i="1"/>
  <c r="R304" i="1"/>
  <c r="C646" i="1"/>
  <c r="E646" i="1" s="1"/>
  <c r="K646" i="1"/>
  <c r="Q646" i="1"/>
  <c r="R646" i="1"/>
  <c r="C305" i="1"/>
  <c r="E305" i="1" s="1"/>
  <c r="K305" i="1"/>
  <c r="Q305" i="1"/>
  <c r="R305" i="1"/>
  <c r="C633" i="1"/>
  <c r="E633" i="1" s="1"/>
  <c r="K633" i="1"/>
  <c r="Q633" i="1"/>
  <c r="R633" i="1"/>
  <c r="C654" i="1"/>
  <c r="E654" i="1" s="1"/>
  <c r="K654" i="1"/>
  <c r="Q654" i="1"/>
  <c r="R654" i="1"/>
  <c r="C647" i="1"/>
  <c r="E647" i="1" s="1"/>
  <c r="K647" i="1"/>
  <c r="Q647" i="1"/>
  <c r="R647" i="1"/>
  <c r="C638" i="1"/>
  <c r="E638" i="1" s="1"/>
  <c r="K638" i="1"/>
  <c r="Q638" i="1"/>
  <c r="R638" i="1"/>
  <c r="C639" i="1"/>
  <c r="E639" i="1" s="1"/>
  <c r="K639" i="1"/>
  <c r="Q639" i="1"/>
  <c r="R639" i="1"/>
  <c r="C640" i="1"/>
  <c r="E640" i="1" s="1"/>
  <c r="K640" i="1"/>
  <c r="Q640" i="1"/>
  <c r="R640" i="1"/>
  <c r="C306" i="1"/>
  <c r="E306" i="1" s="1"/>
  <c r="K306" i="1"/>
  <c r="Q306" i="1"/>
  <c r="R306" i="1"/>
  <c r="C634" i="1"/>
  <c r="E634" i="1" s="1"/>
  <c r="K634" i="1"/>
  <c r="Q634" i="1"/>
  <c r="R634" i="1"/>
  <c r="C641" i="1"/>
  <c r="E641" i="1" s="1"/>
  <c r="K641" i="1"/>
  <c r="Q641" i="1"/>
  <c r="R641" i="1"/>
  <c r="C651" i="1"/>
  <c r="E651" i="1" s="1"/>
  <c r="K651" i="1"/>
  <c r="Q651" i="1"/>
  <c r="R651" i="1"/>
  <c r="C655" i="1"/>
  <c r="E655" i="1" s="1"/>
  <c r="K655" i="1"/>
  <c r="Q655" i="1"/>
  <c r="R655" i="1"/>
  <c r="C658" i="1"/>
  <c r="E658" i="1" s="1"/>
  <c r="K658" i="1"/>
  <c r="Q658" i="1"/>
  <c r="R658" i="1"/>
  <c r="C648" i="1"/>
  <c r="E648" i="1" s="1"/>
  <c r="K648" i="1"/>
  <c r="Q648" i="1"/>
  <c r="R648" i="1"/>
  <c r="C635" i="1"/>
  <c r="E635" i="1" s="1"/>
  <c r="K635" i="1"/>
  <c r="Q635" i="1"/>
  <c r="R635" i="1"/>
  <c r="C642" i="1"/>
  <c r="E642" i="1" s="1"/>
  <c r="K642" i="1"/>
  <c r="Q642" i="1"/>
  <c r="R642" i="1"/>
  <c r="C643" i="1"/>
  <c r="E643" i="1" s="1"/>
  <c r="K643" i="1"/>
  <c r="Q643" i="1"/>
  <c r="R643" i="1"/>
  <c r="C652" i="1"/>
  <c r="E652" i="1" s="1"/>
  <c r="K652" i="1"/>
  <c r="Q652" i="1"/>
  <c r="R652" i="1"/>
  <c r="C636" i="1"/>
  <c r="E636" i="1" s="1"/>
  <c r="K636" i="1"/>
  <c r="Q636" i="1"/>
  <c r="R636" i="1"/>
  <c r="C644" i="1"/>
  <c r="E644" i="1" s="1"/>
  <c r="K644" i="1"/>
  <c r="Q644" i="1"/>
  <c r="R644" i="1"/>
  <c r="C656" i="1"/>
  <c r="E656" i="1" s="1"/>
  <c r="K656" i="1"/>
  <c r="Q656" i="1"/>
  <c r="R656" i="1"/>
  <c r="C662" i="1"/>
  <c r="E662" i="1" s="1"/>
  <c r="K662" i="1"/>
  <c r="Q662" i="1"/>
  <c r="R662" i="1"/>
  <c r="C649" i="1"/>
  <c r="E649" i="1" s="1"/>
  <c r="K649" i="1"/>
  <c r="Q649" i="1"/>
  <c r="R649" i="1"/>
  <c r="C307" i="1"/>
  <c r="E307" i="1" s="1"/>
  <c r="K307" i="1"/>
  <c r="Q307" i="1"/>
  <c r="R307" i="1"/>
  <c r="C252" i="1"/>
  <c r="E252" i="1" s="1"/>
  <c r="K252" i="1"/>
  <c r="Q252" i="1"/>
  <c r="R252" i="1"/>
  <c r="C259" i="1"/>
  <c r="E259" i="1" s="1"/>
  <c r="K259" i="1"/>
  <c r="Q259" i="1"/>
  <c r="R259" i="1"/>
  <c r="C253" i="1"/>
  <c r="E253" i="1" s="1"/>
  <c r="K253" i="1"/>
  <c r="Q253" i="1"/>
  <c r="R253" i="1"/>
  <c r="C260" i="1"/>
  <c r="E260" i="1" s="1"/>
  <c r="K260" i="1"/>
  <c r="Q260" i="1"/>
  <c r="R260" i="1"/>
  <c r="C254" i="1"/>
  <c r="E254" i="1" s="1"/>
  <c r="K254" i="1"/>
  <c r="Q254" i="1"/>
  <c r="R254" i="1"/>
  <c r="C261" i="1"/>
  <c r="E261" i="1" s="1"/>
  <c r="K261" i="1"/>
  <c r="Q261" i="1"/>
  <c r="R261" i="1"/>
  <c r="C262" i="1"/>
  <c r="E262" i="1" s="1"/>
  <c r="K262" i="1"/>
  <c r="Q262" i="1"/>
  <c r="R262" i="1"/>
  <c r="C263" i="1"/>
  <c r="E263" i="1" s="1"/>
  <c r="K263" i="1"/>
  <c r="Q263" i="1"/>
  <c r="R263" i="1"/>
  <c r="C445" i="1"/>
  <c r="E445" i="1" s="1"/>
  <c r="K445" i="1"/>
  <c r="Q445" i="1"/>
  <c r="R445" i="1"/>
  <c r="C255" i="1"/>
  <c r="E255" i="1" s="1"/>
  <c r="K255" i="1"/>
  <c r="Q255" i="1"/>
  <c r="R255" i="1"/>
  <c r="C264" i="1"/>
  <c r="E264" i="1" s="1"/>
  <c r="K264" i="1"/>
  <c r="Q264" i="1"/>
  <c r="R264" i="1"/>
  <c r="C256" i="1"/>
  <c r="E256" i="1" s="1"/>
  <c r="K256" i="1"/>
  <c r="Q256" i="1"/>
  <c r="R256" i="1"/>
  <c r="C257" i="1"/>
  <c r="E257" i="1" s="1"/>
  <c r="K257" i="1"/>
  <c r="Q257" i="1"/>
  <c r="R257" i="1"/>
  <c r="C617" i="1"/>
  <c r="E617" i="1" s="1"/>
  <c r="K617" i="1"/>
  <c r="Q617" i="1"/>
  <c r="R617" i="1"/>
  <c r="C626" i="1"/>
  <c r="E626" i="1" s="1"/>
  <c r="K626" i="1"/>
  <c r="Q626" i="1"/>
  <c r="R626" i="1"/>
  <c r="C618" i="1"/>
  <c r="E618" i="1" s="1"/>
  <c r="K618" i="1"/>
  <c r="Q618" i="1"/>
  <c r="R618" i="1"/>
  <c r="C628" i="1"/>
  <c r="E628" i="1" s="1"/>
  <c r="K628" i="1"/>
  <c r="Q628" i="1"/>
  <c r="R628" i="1"/>
  <c r="C625" i="1"/>
  <c r="E625" i="1" s="1"/>
  <c r="K625" i="1"/>
  <c r="Q625" i="1"/>
  <c r="R625" i="1"/>
  <c r="C627" i="1"/>
  <c r="E627" i="1" s="1"/>
  <c r="K627" i="1"/>
  <c r="Q627" i="1"/>
  <c r="R627" i="1"/>
  <c r="C623" i="1"/>
  <c r="E623" i="1" s="1"/>
  <c r="K623" i="1"/>
  <c r="Q623" i="1"/>
  <c r="R623" i="1"/>
  <c r="C46" i="1"/>
  <c r="E46" i="1" s="1"/>
  <c r="K46" i="1"/>
  <c r="Q46" i="1"/>
  <c r="R46" i="1"/>
  <c r="C47" i="1"/>
  <c r="E47" i="1" s="1"/>
  <c r="K47" i="1"/>
  <c r="Q47" i="1"/>
  <c r="R47" i="1"/>
  <c r="C219" i="1"/>
  <c r="E219" i="1" s="1"/>
  <c r="K219" i="1"/>
  <c r="Q219" i="1"/>
  <c r="R219" i="1"/>
  <c r="C320" i="1"/>
  <c r="E320" i="1" s="1"/>
  <c r="K320" i="1"/>
  <c r="Q320" i="1"/>
  <c r="R320" i="1"/>
  <c r="C703" i="1"/>
  <c r="E703" i="1" s="1"/>
  <c r="K703" i="1"/>
  <c r="Q703" i="1"/>
  <c r="R703" i="1"/>
  <c r="C80" i="1"/>
  <c r="E80" i="1" s="1"/>
  <c r="K80" i="1"/>
  <c r="Q80" i="1"/>
  <c r="R80" i="1"/>
  <c r="C48" i="1"/>
  <c r="E48" i="1" s="1"/>
  <c r="K48" i="1"/>
  <c r="Q48" i="1"/>
  <c r="R48" i="1"/>
  <c r="C321" i="1"/>
  <c r="E321" i="1" s="1"/>
  <c r="K321" i="1"/>
  <c r="Q321" i="1"/>
  <c r="R321" i="1"/>
  <c r="C49" i="1"/>
  <c r="E49" i="1" s="1"/>
  <c r="K49" i="1"/>
  <c r="Q49" i="1"/>
  <c r="R49" i="1"/>
  <c r="C81" i="1"/>
  <c r="E81" i="1" s="1"/>
  <c r="K81" i="1"/>
  <c r="Q81" i="1"/>
  <c r="R81" i="1"/>
  <c r="C86" i="1"/>
  <c r="E86" i="1" s="1"/>
  <c r="K86" i="1"/>
  <c r="Q86" i="1"/>
  <c r="R86" i="1"/>
  <c r="C220" i="1"/>
  <c r="E220" i="1" s="1"/>
  <c r="K220" i="1"/>
  <c r="Q220" i="1"/>
  <c r="R220" i="1"/>
  <c r="C611" i="1"/>
  <c r="E611" i="1" s="1"/>
  <c r="K611" i="1"/>
  <c r="Q611" i="1"/>
  <c r="R611" i="1"/>
  <c r="C61" i="1"/>
  <c r="E61" i="1" s="1"/>
  <c r="K61" i="1"/>
  <c r="Q61" i="1"/>
  <c r="R61" i="1"/>
  <c r="C50" i="1"/>
  <c r="E50" i="1" s="1"/>
  <c r="K50" i="1"/>
  <c r="Q50" i="1"/>
  <c r="R50" i="1"/>
  <c r="C51" i="1"/>
  <c r="E51" i="1" s="1"/>
  <c r="K51" i="1"/>
  <c r="Q51" i="1"/>
  <c r="R51" i="1"/>
  <c r="C52" i="1"/>
  <c r="E52" i="1" s="1"/>
  <c r="K52" i="1"/>
  <c r="Q52" i="1"/>
  <c r="R52" i="1"/>
  <c r="C82" i="1"/>
  <c r="E82" i="1" s="1"/>
  <c r="K82" i="1"/>
  <c r="Q82" i="1"/>
  <c r="R82" i="1"/>
  <c r="C87" i="1"/>
  <c r="E87" i="1" s="1"/>
  <c r="K87" i="1"/>
  <c r="Q87" i="1"/>
  <c r="R87" i="1"/>
  <c r="C612" i="1"/>
  <c r="E612" i="1" s="1"/>
  <c r="K612" i="1"/>
  <c r="Q612" i="1"/>
  <c r="R612" i="1"/>
  <c r="C704" i="1"/>
  <c r="E704" i="1" s="1"/>
  <c r="K704" i="1"/>
  <c r="Q704" i="1"/>
  <c r="R704" i="1"/>
  <c r="C53" i="1"/>
  <c r="E53" i="1" s="1"/>
  <c r="K53" i="1"/>
  <c r="Q53" i="1"/>
  <c r="R53" i="1"/>
  <c r="C83" i="1"/>
  <c r="E83" i="1" s="1"/>
  <c r="K83" i="1"/>
  <c r="Q83" i="1"/>
  <c r="R83" i="1"/>
  <c r="C88" i="1"/>
  <c r="E88" i="1" s="1"/>
  <c r="K88" i="1"/>
  <c r="Q88" i="1"/>
  <c r="R88" i="1"/>
  <c r="C322" i="1"/>
  <c r="E322" i="1" s="1"/>
  <c r="K322" i="1"/>
  <c r="Q322" i="1"/>
  <c r="R322" i="1"/>
  <c r="C613" i="1"/>
  <c r="E613" i="1" s="1"/>
  <c r="K613" i="1"/>
  <c r="Q613" i="1"/>
  <c r="R613" i="1"/>
  <c r="C62" i="1"/>
  <c r="E62" i="1" s="1"/>
  <c r="K62" i="1"/>
  <c r="Q62" i="1"/>
  <c r="R62" i="1"/>
  <c r="C323" i="1"/>
  <c r="E323" i="1" s="1"/>
  <c r="K323" i="1"/>
  <c r="Q323" i="1"/>
  <c r="R323" i="1"/>
  <c r="C54" i="1"/>
  <c r="E54" i="1" s="1"/>
  <c r="K54" i="1"/>
  <c r="Q54" i="1"/>
  <c r="R54" i="1"/>
  <c r="C84" i="1"/>
  <c r="E84" i="1" s="1"/>
  <c r="K84" i="1"/>
  <c r="Q84" i="1"/>
  <c r="R84" i="1"/>
  <c r="C89" i="1"/>
  <c r="E89" i="1" s="1"/>
  <c r="K89" i="1"/>
  <c r="Q89" i="1"/>
  <c r="R89" i="1"/>
  <c r="C221" i="1"/>
  <c r="E221" i="1" s="1"/>
  <c r="K221" i="1"/>
  <c r="Q221" i="1"/>
  <c r="R221" i="1"/>
  <c r="C324" i="1"/>
  <c r="E324" i="1" s="1"/>
  <c r="K324" i="1"/>
  <c r="Q324" i="1"/>
  <c r="R324" i="1"/>
  <c r="C614" i="1"/>
  <c r="E614" i="1" s="1"/>
  <c r="K614" i="1"/>
  <c r="Q614" i="1"/>
  <c r="R614" i="1"/>
  <c r="C63" i="1"/>
  <c r="E63" i="1" s="1"/>
  <c r="K63" i="1"/>
  <c r="Q63" i="1"/>
  <c r="R63" i="1"/>
  <c r="C705" i="1"/>
  <c r="E705" i="1" s="1"/>
  <c r="K705" i="1"/>
  <c r="Q705" i="1"/>
  <c r="R705" i="1"/>
  <c r="C325" i="1"/>
  <c r="E325" i="1" s="1"/>
  <c r="K325" i="1"/>
  <c r="Q325" i="1"/>
  <c r="R325" i="1"/>
  <c r="C326" i="1"/>
  <c r="E326" i="1" s="1"/>
  <c r="K326" i="1"/>
  <c r="Q326" i="1"/>
  <c r="R326" i="1"/>
  <c r="C706" i="1"/>
  <c r="E706" i="1" s="1"/>
  <c r="K706" i="1"/>
  <c r="Q706" i="1"/>
  <c r="R706" i="1"/>
  <c r="C615" i="1"/>
  <c r="E615" i="1" s="1"/>
  <c r="K615" i="1"/>
  <c r="Q615" i="1"/>
  <c r="R615" i="1"/>
  <c r="C707" i="1"/>
  <c r="E707" i="1" s="1"/>
  <c r="K707" i="1"/>
  <c r="Q707" i="1"/>
  <c r="R707" i="1"/>
  <c r="C55" i="1"/>
  <c r="E55" i="1" s="1"/>
  <c r="K55" i="1"/>
  <c r="Q55" i="1"/>
  <c r="R55" i="1"/>
  <c r="C85" i="1"/>
  <c r="E85" i="1" s="1"/>
  <c r="K85" i="1"/>
  <c r="Q85" i="1"/>
  <c r="R85" i="1"/>
  <c r="C90" i="1"/>
  <c r="E90" i="1" s="1"/>
  <c r="K90" i="1"/>
  <c r="Q90" i="1"/>
  <c r="R90" i="1"/>
  <c r="C327" i="1"/>
  <c r="E327" i="1" s="1"/>
  <c r="K327" i="1"/>
  <c r="Q327" i="1"/>
  <c r="R327" i="1"/>
  <c r="C616" i="1"/>
  <c r="E616" i="1" s="1"/>
  <c r="K616" i="1"/>
  <c r="Q616" i="1"/>
  <c r="R616" i="1"/>
  <c r="C64" i="1"/>
  <c r="E64" i="1" s="1"/>
  <c r="K64" i="1"/>
  <c r="Q64" i="1"/>
  <c r="R64" i="1"/>
  <c r="C172" i="1"/>
  <c r="E172" i="1" s="1"/>
  <c r="K172" i="1"/>
  <c r="Q172" i="1"/>
  <c r="R172" i="1"/>
  <c r="C173" i="1"/>
  <c r="E173" i="1" s="1"/>
  <c r="K173" i="1"/>
  <c r="Q173" i="1"/>
  <c r="R173" i="1"/>
  <c r="C288" i="1"/>
  <c r="E288" i="1" s="1"/>
  <c r="K288" i="1"/>
  <c r="Q288" i="1"/>
  <c r="R288" i="1"/>
  <c r="C287" i="1"/>
  <c r="E287" i="1" s="1"/>
  <c r="K287" i="1"/>
  <c r="Q287" i="1"/>
  <c r="R287" i="1"/>
  <c r="C286" i="1"/>
  <c r="E286" i="1" s="1"/>
  <c r="K286" i="1"/>
  <c r="Q286" i="1"/>
  <c r="R286" i="1"/>
  <c r="C485" i="1"/>
  <c r="E485" i="1" s="1"/>
  <c r="K485" i="1"/>
  <c r="Q485" i="1"/>
  <c r="R485" i="1"/>
  <c r="C177" i="1"/>
  <c r="E177" i="1" s="1"/>
  <c r="K177" i="1"/>
  <c r="Q177" i="1"/>
  <c r="R177" i="1"/>
  <c r="C175" i="1"/>
  <c r="E175" i="1" s="1"/>
  <c r="K175" i="1"/>
  <c r="Q175" i="1"/>
  <c r="R175" i="1"/>
  <c r="C174" i="1"/>
  <c r="E174" i="1" s="1"/>
  <c r="K174" i="1"/>
  <c r="Q174" i="1"/>
  <c r="R174" i="1"/>
  <c r="C289" i="1"/>
  <c r="E289" i="1" s="1"/>
  <c r="K289" i="1"/>
  <c r="Q289" i="1"/>
  <c r="R289" i="1"/>
  <c r="C178" i="1"/>
  <c r="E178" i="1" s="1"/>
  <c r="K178" i="1"/>
  <c r="Q178" i="1"/>
  <c r="R178" i="1"/>
  <c r="C176" i="1"/>
  <c r="E176" i="1" s="1"/>
  <c r="K176" i="1"/>
  <c r="Q176" i="1"/>
  <c r="R176" i="1"/>
  <c r="C663" i="1"/>
  <c r="E663" i="1" s="1"/>
  <c r="K663" i="1"/>
  <c r="Q663" i="1"/>
  <c r="R663" i="1"/>
  <c r="C244" i="1"/>
  <c r="E244" i="1" s="1"/>
  <c r="K244" i="1"/>
  <c r="Q244" i="1"/>
  <c r="R244" i="1"/>
  <c r="C188" i="1"/>
  <c r="E188" i="1" s="1"/>
  <c r="K188" i="1"/>
  <c r="Q188" i="1"/>
  <c r="R188" i="1"/>
  <c r="C65" i="1"/>
  <c r="E65" i="1" s="1"/>
  <c r="K65" i="1"/>
  <c r="Q65" i="1"/>
  <c r="R65" i="1"/>
  <c r="C68" i="1"/>
  <c r="E68" i="1" s="1"/>
  <c r="K68" i="1"/>
  <c r="Q68" i="1"/>
  <c r="R68" i="1"/>
  <c r="C71" i="1"/>
  <c r="E71" i="1" s="1"/>
  <c r="K71" i="1"/>
  <c r="Q71" i="1"/>
  <c r="R71" i="1"/>
  <c r="C245" i="1"/>
  <c r="E245" i="1" s="1"/>
  <c r="K245" i="1"/>
  <c r="Q245" i="1"/>
  <c r="R245" i="1"/>
  <c r="C316" i="1"/>
  <c r="E316" i="1" s="1"/>
  <c r="K316" i="1"/>
  <c r="Q316" i="1"/>
  <c r="R316" i="1"/>
  <c r="C240" i="1"/>
  <c r="E240" i="1" s="1"/>
  <c r="K240" i="1"/>
  <c r="Q240" i="1"/>
  <c r="R240" i="1"/>
  <c r="C318" i="1"/>
  <c r="E318" i="1" s="1"/>
  <c r="K318" i="1"/>
  <c r="Q318" i="1"/>
  <c r="R318" i="1"/>
  <c r="C664" i="1"/>
  <c r="E664" i="1" s="1"/>
  <c r="K664" i="1"/>
  <c r="Q664" i="1"/>
  <c r="R664" i="1"/>
  <c r="C689" i="1"/>
  <c r="E689" i="1" s="1"/>
  <c r="K689" i="1"/>
  <c r="Q689" i="1"/>
  <c r="R689" i="1"/>
  <c r="C189" i="1"/>
  <c r="E189" i="1" s="1"/>
  <c r="K189" i="1"/>
  <c r="Q189" i="1"/>
  <c r="R189" i="1"/>
  <c r="C665" i="1"/>
  <c r="E665" i="1" s="1"/>
  <c r="K665" i="1"/>
  <c r="Q665" i="1"/>
  <c r="R665" i="1"/>
  <c r="C66" i="1"/>
  <c r="E66" i="1" s="1"/>
  <c r="K66" i="1"/>
  <c r="Q66" i="1"/>
  <c r="R66" i="1"/>
  <c r="C69" i="1"/>
  <c r="E69" i="1" s="1"/>
  <c r="K69" i="1"/>
  <c r="Q69" i="1"/>
  <c r="R69" i="1"/>
  <c r="C72" i="1"/>
  <c r="E72" i="1" s="1"/>
  <c r="K72" i="1"/>
  <c r="Q72" i="1"/>
  <c r="R72" i="1"/>
  <c r="C246" i="1"/>
  <c r="E246" i="1" s="1"/>
  <c r="K246" i="1"/>
  <c r="Q246" i="1"/>
  <c r="R246" i="1"/>
  <c r="C241" i="1"/>
  <c r="E241" i="1" s="1"/>
  <c r="K241" i="1"/>
  <c r="Q241" i="1"/>
  <c r="R241" i="1"/>
  <c r="C666" i="1"/>
  <c r="E666" i="1" s="1"/>
  <c r="K666" i="1"/>
  <c r="Q666" i="1"/>
  <c r="R666" i="1"/>
  <c r="C690" i="1"/>
  <c r="E690" i="1" s="1"/>
  <c r="K690" i="1"/>
  <c r="Q690" i="1"/>
  <c r="R690" i="1"/>
  <c r="C190" i="1"/>
  <c r="E190" i="1" s="1"/>
  <c r="K190" i="1"/>
  <c r="Q190" i="1"/>
  <c r="R190" i="1"/>
  <c r="C73" i="1"/>
  <c r="E73" i="1" s="1"/>
  <c r="K73" i="1"/>
  <c r="Q73" i="1"/>
  <c r="R73" i="1"/>
  <c r="C247" i="1"/>
  <c r="E247" i="1" s="1"/>
  <c r="K247" i="1"/>
  <c r="Q247" i="1"/>
  <c r="R247" i="1"/>
  <c r="C248" i="1"/>
  <c r="E248" i="1" s="1"/>
  <c r="K248" i="1"/>
  <c r="Q248" i="1"/>
  <c r="R248" i="1"/>
  <c r="C667" i="1"/>
  <c r="E667" i="1" s="1"/>
  <c r="K667" i="1"/>
  <c r="Q667" i="1"/>
  <c r="R667" i="1"/>
  <c r="C67" i="1"/>
  <c r="E67" i="1" s="1"/>
  <c r="K67" i="1"/>
  <c r="Q67" i="1"/>
  <c r="R67" i="1"/>
  <c r="C70" i="1"/>
  <c r="E70" i="1" s="1"/>
  <c r="K70" i="1"/>
  <c r="Q70" i="1"/>
  <c r="R70" i="1"/>
  <c r="C74" i="1"/>
  <c r="E74" i="1" s="1"/>
  <c r="K74" i="1"/>
  <c r="Q74" i="1"/>
  <c r="R74" i="1"/>
  <c r="C406" i="1"/>
  <c r="E406" i="1" s="1"/>
  <c r="K406" i="1"/>
  <c r="Q406" i="1"/>
  <c r="R406" i="1"/>
  <c r="C319" i="1"/>
  <c r="E319" i="1" s="1"/>
  <c r="K319" i="1"/>
  <c r="Q319" i="1"/>
  <c r="R319" i="1"/>
  <c r="C242" i="1"/>
  <c r="E242" i="1" s="1"/>
  <c r="K242" i="1"/>
  <c r="Q242" i="1"/>
  <c r="R242" i="1"/>
  <c r="C688" i="1"/>
  <c r="E688" i="1" s="1"/>
  <c r="K688" i="1"/>
  <c r="Q688" i="1"/>
  <c r="R688" i="1"/>
  <c r="C249" i="1"/>
  <c r="E249" i="1" s="1"/>
  <c r="K249" i="1"/>
  <c r="Q249" i="1"/>
  <c r="R249" i="1"/>
  <c r="C75" i="1"/>
  <c r="E75" i="1" s="1"/>
  <c r="K75" i="1"/>
  <c r="Q75" i="1"/>
  <c r="R75" i="1"/>
  <c r="C250" i="1"/>
  <c r="E250" i="1" s="1"/>
  <c r="K250" i="1"/>
  <c r="Q250" i="1"/>
  <c r="R250" i="1"/>
  <c r="C377" i="1"/>
  <c r="E377" i="1" s="1"/>
  <c r="K377" i="1"/>
  <c r="Q377" i="1"/>
  <c r="R377" i="1"/>
  <c r="C317" i="1"/>
  <c r="E317" i="1" s="1"/>
  <c r="K317" i="1"/>
  <c r="Q317" i="1"/>
  <c r="R317" i="1"/>
  <c r="C251" i="1"/>
  <c r="E251" i="1" s="1"/>
  <c r="K251" i="1"/>
  <c r="Q251" i="1"/>
  <c r="R251" i="1"/>
  <c r="C668" i="1"/>
  <c r="E668" i="1" s="1"/>
  <c r="K668" i="1"/>
  <c r="Q668" i="1"/>
  <c r="R668" i="1"/>
  <c r="C691" i="1"/>
  <c r="E691" i="1" s="1"/>
  <c r="K691" i="1"/>
  <c r="Q691" i="1"/>
  <c r="R691" i="1"/>
  <c r="C208" i="1"/>
  <c r="E208" i="1" s="1"/>
  <c r="K208" i="1"/>
  <c r="Q208" i="1"/>
  <c r="R208" i="1"/>
  <c r="C536" i="1"/>
  <c r="E536" i="1" s="1"/>
  <c r="K536" i="1"/>
  <c r="Q536" i="1"/>
  <c r="R536" i="1"/>
  <c r="C561" i="1"/>
  <c r="E561" i="1" s="1"/>
  <c r="K561" i="1"/>
  <c r="Q561" i="1"/>
  <c r="R561" i="1"/>
  <c r="C563" i="1"/>
  <c r="E563" i="1" s="1"/>
  <c r="K563" i="1"/>
  <c r="Q563" i="1"/>
  <c r="R563" i="1"/>
  <c r="C589" i="1"/>
  <c r="E589" i="1" s="1"/>
  <c r="K589" i="1"/>
  <c r="Q589" i="1"/>
  <c r="R589" i="1"/>
  <c r="C209" i="1"/>
  <c r="E209" i="1" s="1"/>
  <c r="K209" i="1"/>
  <c r="Q209" i="1"/>
  <c r="R209" i="1"/>
  <c r="C235" i="1"/>
  <c r="E235" i="1" s="1"/>
  <c r="K235" i="1"/>
  <c r="Q235" i="1"/>
  <c r="R235" i="1"/>
  <c r="C207" i="1"/>
  <c r="E207" i="1" s="1"/>
  <c r="K207" i="1"/>
  <c r="Q207" i="1"/>
  <c r="R207" i="1"/>
  <c r="C243" i="1"/>
  <c r="E243" i="1" s="1"/>
  <c r="K243" i="1"/>
  <c r="Q243" i="1"/>
  <c r="R243" i="1"/>
  <c r="C537" i="1"/>
  <c r="E537" i="1" s="1"/>
  <c r="K537" i="1"/>
  <c r="Q537" i="1"/>
  <c r="R537" i="1"/>
  <c r="C562" i="1"/>
  <c r="E562" i="1" s="1"/>
  <c r="K562" i="1"/>
  <c r="Q562" i="1"/>
  <c r="R562" i="1"/>
  <c r="C568" i="1"/>
  <c r="E568" i="1" s="1"/>
  <c r="K568" i="1"/>
  <c r="Q568" i="1"/>
  <c r="R568" i="1"/>
  <c r="C590" i="1"/>
  <c r="E590" i="1" s="1"/>
  <c r="K590" i="1"/>
  <c r="Q590" i="1"/>
  <c r="R590" i="1"/>
  <c r="C569" i="1"/>
  <c r="E569" i="1" s="1"/>
  <c r="K569" i="1"/>
  <c r="Q569" i="1"/>
  <c r="R569" i="1"/>
  <c r="C210" i="1"/>
  <c r="E210" i="1" s="1"/>
  <c r="K210" i="1"/>
  <c r="Q210" i="1"/>
  <c r="R210" i="1"/>
  <c r="C564" i="1"/>
  <c r="E564" i="1" s="1"/>
  <c r="K564" i="1"/>
  <c r="Q564" i="1"/>
  <c r="R564" i="1"/>
  <c r="C565" i="1"/>
  <c r="E565" i="1" s="1"/>
  <c r="K565" i="1"/>
  <c r="Q565" i="1"/>
  <c r="R565" i="1"/>
  <c r="C211" i="1"/>
  <c r="E211" i="1" s="1"/>
  <c r="K211" i="1"/>
  <c r="Q211" i="1"/>
  <c r="R211" i="1"/>
  <c r="C597" i="1"/>
  <c r="E597" i="1" s="1"/>
  <c r="K597" i="1"/>
  <c r="Q597" i="1"/>
  <c r="R597" i="1"/>
  <c r="C232" i="1"/>
  <c r="E232" i="1" s="1"/>
  <c r="K232" i="1"/>
  <c r="Q232" i="1"/>
  <c r="R232" i="1"/>
  <c r="C566" i="1"/>
  <c r="E566" i="1" s="1"/>
  <c r="K566" i="1"/>
  <c r="Q566" i="1"/>
  <c r="R566" i="1"/>
  <c r="C236" i="1"/>
  <c r="E236" i="1" s="1"/>
  <c r="K236" i="1"/>
  <c r="Q236" i="1"/>
  <c r="R236" i="1"/>
  <c r="C598" i="1"/>
  <c r="E598" i="1" s="1"/>
  <c r="K598" i="1"/>
  <c r="Q598" i="1"/>
  <c r="R598" i="1"/>
  <c r="C233" i="1"/>
  <c r="E233" i="1" s="1"/>
  <c r="K233" i="1"/>
  <c r="Q233" i="1"/>
  <c r="R233" i="1"/>
  <c r="C591" i="1"/>
  <c r="E591" i="1" s="1"/>
  <c r="K591" i="1"/>
  <c r="Q591" i="1"/>
  <c r="R591" i="1"/>
  <c r="C599" i="1"/>
  <c r="E599" i="1" s="1"/>
  <c r="K599" i="1"/>
  <c r="Q599" i="1"/>
  <c r="R599" i="1"/>
  <c r="C234" i="1"/>
  <c r="E234" i="1" s="1"/>
  <c r="K234" i="1"/>
  <c r="Q234" i="1"/>
  <c r="R234" i="1"/>
  <c r="C510" i="1"/>
  <c r="E510" i="1" s="1"/>
  <c r="K510" i="1"/>
  <c r="Q510" i="1"/>
  <c r="R510" i="1"/>
  <c r="C538" i="1"/>
  <c r="E538" i="1" s="1"/>
  <c r="K538" i="1"/>
  <c r="Q538" i="1"/>
  <c r="R538" i="1"/>
  <c r="C723" i="1"/>
  <c r="E723" i="1" s="1"/>
  <c r="K723" i="1"/>
  <c r="Q723" i="1"/>
  <c r="R723" i="1"/>
  <c r="C724" i="1"/>
  <c r="E724" i="1" s="1"/>
  <c r="K724" i="1"/>
  <c r="Q724" i="1"/>
  <c r="R724" i="1"/>
  <c r="C539" i="1"/>
  <c r="E539" i="1" s="1"/>
  <c r="K539" i="1"/>
  <c r="Q539" i="1"/>
  <c r="R539" i="1"/>
  <c r="C725" i="1"/>
  <c r="E725" i="1" s="1"/>
  <c r="K725" i="1"/>
  <c r="Q725" i="1"/>
  <c r="R725" i="1"/>
  <c r="C540" i="1"/>
  <c r="E540" i="1" s="1"/>
  <c r="K540" i="1"/>
  <c r="Q540" i="1"/>
  <c r="R540" i="1"/>
  <c r="C726" i="1"/>
  <c r="E726" i="1" s="1"/>
  <c r="K726" i="1"/>
  <c r="Q726" i="1"/>
  <c r="R726" i="1"/>
  <c r="C541" i="1"/>
  <c r="E541" i="1" s="1"/>
  <c r="K541" i="1"/>
  <c r="Q541" i="1"/>
  <c r="R541" i="1"/>
  <c r="C542" i="1"/>
  <c r="E542" i="1" s="1"/>
  <c r="K542" i="1"/>
  <c r="Q542" i="1"/>
  <c r="R542" i="1"/>
  <c r="C511" i="1"/>
  <c r="E511" i="1" s="1"/>
  <c r="K511" i="1"/>
  <c r="Q511" i="1"/>
  <c r="R511" i="1"/>
  <c r="C512" i="1"/>
  <c r="E512" i="1" s="1"/>
  <c r="K512" i="1"/>
  <c r="Q512" i="1"/>
  <c r="R512" i="1"/>
  <c r="C727" i="1"/>
  <c r="E727" i="1" s="1"/>
  <c r="K727" i="1"/>
  <c r="Q727" i="1"/>
  <c r="R727" i="1"/>
  <c r="C543" i="1"/>
  <c r="E543" i="1" s="1"/>
  <c r="K543" i="1"/>
  <c r="Q543" i="1"/>
  <c r="R543" i="1"/>
  <c r="C513" i="1"/>
  <c r="E513" i="1" s="1"/>
  <c r="K513" i="1"/>
  <c r="Q513" i="1"/>
  <c r="R513" i="1"/>
  <c r="C544" i="1"/>
  <c r="E544" i="1" s="1"/>
  <c r="K544" i="1"/>
  <c r="Q544" i="1"/>
  <c r="R544" i="1"/>
  <c r="C514" i="1"/>
  <c r="E514" i="1" s="1"/>
  <c r="K514" i="1"/>
  <c r="Q514" i="1"/>
  <c r="R514" i="1"/>
  <c r="C497" i="1"/>
  <c r="E497" i="1" s="1"/>
  <c r="K497" i="1"/>
  <c r="Q497" i="1"/>
  <c r="R497" i="1"/>
  <c r="C372" i="1"/>
  <c r="E372" i="1" s="1"/>
  <c r="K372" i="1"/>
  <c r="Q372" i="1"/>
  <c r="R372" i="1"/>
  <c r="C374" i="1"/>
  <c r="E374" i="1" s="1"/>
  <c r="K374" i="1"/>
  <c r="Q374" i="1"/>
  <c r="R374" i="1"/>
  <c r="C10" i="1"/>
  <c r="E10" i="1" s="1"/>
  <c r="K10" i="1"/>
  <c r="Q10" i="1"/>
  <c r="R10" i="1"/>
  <c r="C373" i="1"/>
  <c r="E373" i="1" s="1"/>
  <c r="K373" i="1"/>
  <c r="Q373" i="1"/>
  <c r="R373" i="1"/>
  <c r="C375" i="1"/>
  <c r="E375" i="1" s="1"/>
  <c r="K375" i="1"/>
  <c r="Q375" i="1"/>
  <c r="R375" i="1"/>
  <c r="C371" i="1"/>
  <c r="E371" i="1" s="1"/>
  <c r="K371" i="1"/>
  <c r="Q371" i="1"/>
  <c r="R371" i="1"/>
  <c r="C346" i="1"/>
  <c r="E346" i="1" s="1"/>
  <c r="K346" i="1"/>
  <c r="Q346" i="1"/>
  <c r="R346" i="1"/>
  <c r="C360" i="1"/>
  <c r="E360" i="1" s="1"/>
  <c r="K360" i="1"/>
  <c r="Q360" i="1"/>
  <c r="R360" i="1"/>
  <c r="C363" i="1"/>
  <c r="E363" i="1" s="1"/>
  <c r="K363" i="1"/>
  <c r="Q363" i="1"/>
  <c r="R363" i="1"/>
  <c r="C376" i="1"/>
  <c r="E376" i="1" s="1"/>
  <c r="K376" i="1"/>
  <c r="Q376" i="1"/>
  <c r="R376" i="1"/>
  <c r="C380" i="1"/>
  <c r="E380" i="1" s="1"/>
  <c r="K380" i="1"/>
  <c r="Q380" i="1"/>
  <c r="R380" i="1"/>
  <c r="C365" i="1"/>
  <c r="E365" i="1" s="1"/>
  <c r="K365" i="1"/>
  <c r="Q365" i="1"/>
  <c r="R365" i="1"/>
  <c r="C400" i="1"/>
  <c r="E400" i="1" s="1"/>
  <c r="K400" i="1"/>
  <c r="Q400" i="1"/>
  <c r="R400" i="1"/>
  <c r="C11" i="1"/>
  <c r="E11" i="1" s="1"/>
  <c r="K11" i="1"/>
  <c r="Q11" i="1"/>
  <c r="R11" i="1"/>
  <c r="C361" i="1"/>
  <c r="E361" i="1" s="1"/>
  <c r="K361" i="1"/>
  <c r="Q361" i="1"/>
  <c r="R361" i="1"/>
  <c r="C351" i="1"/>
  <c r="E351" i="1" s="1"/>
  <c r="K351" i="1"/>
  <c r="Q351" i="1"/>
  <c r="R351" i="1"/>
  <c r="C350" i="1"/>
  <c r="E350" i="1" s="1"/>
  <c r="K350" i="1"/>
  <c r="Q350" i="1"/>
  <c r="R350" i="1"/>
  <c r="C349" i="1"/>
  <c r="E349" i="1" s="1"/>
  <c r="K349" i="1"/>
  <c r="Q349" i="1"/>
  <c r="R349" i="1"/>
  <c r="C348" i="1"/>
  <c r="E348" i="1" s="1"/>
  <c r="K348" i="1"/>
  <c r="Q348" i="1"/>
  <c r="R348" i="1"/>
  <c r="C381" i="1"/>
  <c r="E381" i="1" s="1"/>
  <c r="K381" i="1"/>
  <c r="Q381" i="1"/>
  <c r="R381" i="1"/>
  <c r="C345" i="1"/>
  <c r="E345" i="1" s="1"/>
  <c r="K345" i="1"/>
  <c r="Q345" i="1"/>
  <c r="R345" i="1"/>
  <c r="C347" i="1"/>
  <c r="E347" i="1" s="1"/>
  <c r="K347" i="1"/>
  <c r="Q347" i="1"/>
  <c r="R347" i="1"/>
  <c r="C364" i="1"/>
  <c r="E364" i="1" s="1"/>
  <c r="K364" i="1"/>
  <c r="Q364" i="1"/>
  <c r="R364" i="1"/>
  <c r="C484" i="1"/>
  <c r="E484" i="1" s="1"/>
  <c r="K484" i="1"/>
  <c r="Q484" i="1"/>
  <c r="R484" i="1"/>
  <c r="C362" i="1"/>
  <c r="E362" i="1" s="1"/>
  <c r="K362" i="1"/>
  <c r="Q362" i="1"/>
  <c r="R362" i="1"/>
  <c r="C428" i="1"/>
  <c r="E428" i="1" s="1"/>
  <c r="K428" i="1"/>
  <c r="Q428" i="1"/>
  <c r="R428" i="1"/>
  <c r="C429" i="1"/>
  <c r="E429" i="1" s="1"/>
  <c r="K429" i="1"/>
  <c r="Q429" i="1"/>
  <c r="R429" i="1"/>
  <c r="C427" i="1"/>
  <c r="E427" i="1" s="1"/>
  <c r="K427" i="1"/>
  <c r="Q427" i="1"/>
  <c r="R427" i="1"/>
</calcChain>
</file>

<file path=xl/sharedStrings.xml><?xml version="1.0" encoding="utf-8"?>
<sst xmlns="http://schemas.openxmlformats.org/spreadsheetml/2006/main" count="7391" uniqueCount="1683">
  <si>
    <t>VIGENCIA</t>
  </si>
  <si>
    <t>COMP</t>
  </si>
  <si>
    <t>UE</t>
  </si>
  <si>
    <t>UNIDAD_EJE</t>
  </si>
  <si>
    <t>CODIGO_PRESUPUESTAL</t>
  </si>
  <si>
    <t>FTE</t>
  </si>
  <si>
    <t>FUENTE</t>
  </si>
  <si>
    <t>I_F</t>
  </si>
  <si>
    <t>RESERVA</t>
  </si>
  <si>
    <t>RUBRO</t>
  </si>
  <si>
    <t>N3</t>
  </si>
  <si>
    <t>N4</t>
  </si>
  <si>
    <t>INICIAL</t>
  </si>
  <si>
    <t>MODIFICACIONES</t>
  </si>
  <si>
    <t>VIGENTE</t>
  </si>
  <si>
    <t>DISPONIBILIDADES</t>
  </si>
  <si>
    <t>SALDO_APROPIACION</t>
  </si>
  <si>
    <t>COMPROMISOS</t>
  </si>
  <si>
    <t>EJEC_PRESUP(%)</t>
  </si>
  <si>
    <t>GIROS</t>
  </si>
  <si>
    <t>EJEC_PRESUP_GIROS(%)</t>
  </si>
  <si>
    <t>SALDO_APROPIACION_COMP</t>
  </si>
  <si>
    <t>PAGOS</t>
  </si>
  <si>
    <t>DESPACHO DEL ALCALDE</t>
  </si>
  <si>
    <t>2,3,4103,1500,2021130010160</t>
  </si>
  <si>
    <t>1,2,1,0,00-001 - ICLD</t>
  </si>
  <si>
    <t>INV</t>
  </si>
  <si>
    <t>NO</t>
  </si>
  <si>
    <t>APOYO SEGURIDAD ALIMENTARIA Y NUTRICION PARA LA SUPERACION DE LA POBREZA EXTREMA Y DESIGUALDAD</t>
  </si>
  <si>
    <t>2,3,4103,1500,2021130010161</t>
  </si>
  <si>
    <t>APOYO INGRESO Y TRABAJO PARA LA SUPERACION DE LA POBREZA EXTREMA Y DESIGUALDAD</t>
  </si>
  <si>
    <t>2,3,4103,1500,2021130010162</t>
  </si>
  <si>
    <t>APOYO HABITABILIDAD PARA LA SUPERACION DE LA POBREZA Y DESIGUALDAD</t>
  </si>
  <si>
    <t>2,3,4103,1500,2021130010163</t>
  </si>
  <si>
    <t>APOYO BANCARIZACION PARA LA SUPERACION DE LA POBREZA EXTREMA Y DESIGUALDAD-0 ESTRUCTURAR EL ACCESO DE LA POBLACION EN POBREZA EXTREMA DEL DISTRITO DE CARTAGENA AL SISTEMA FINANCIERO</t>
  </si>
  <si>
    <t>2,3,4103,1500,2021130010164</t>
  </si>
  <si>
    <t xml:space="preserve"> APOYO ACCESO A LA JUSTICIA PARA LA SUPERACION DE LA POBREZA Y DESIGUALDAD</t>
  </si>
  <si>
    <t>2,3,4103,1500,2021130010165</t>
  </si>
  <si>
    <t xml:space="preserve">APOYO SALUD PARA LA SUPERACION DE LA POBREZA Y DESIGUALDAD </t>
  </si>
  <si>
    <t>2,3,2402,0600,2021130010272</t>
  </si>
  <si>
    <t>IMPLEMENTACION DEL SISTEMA DISTRITAL DE CICLOINFRAESTRUCTURA  CARTAGENA DE INDIAS</t>
  </si>
  <si>
    <t>2,3,2408,0600,2020130010075</t>
  </si>
  <si>
    <t>FORTALECIMIENTO FORTALECIMIENTO OPERACIONAL DEL SISTEMA INTEGRADO DE TRANSPORTE MASIVO DE CARTAGENA DE INDIAS  TRANSCARIBE  CARTAGENA DE INDIAS</t>
  </si>
  <si>
    <t>2,3,4599,1000,2021130010267</t>
  </si>
  <si>
    <t>1,3,3,4,16-93-008 R,B, OTRAS TASAS Y DERECHOS ADMINISTRATIVOS AMOBLAMIENTO URBANO</t>
  </si>
  <si>
    <t>RECUPERACION DEL ESPACIO PUBLICO  CARTAGENA DE INDIAS</t>
  </si>
  <si>
    <t>2,3,2499,0600,2020130010160</t>
  </si>
  <si>
    <t>1,3,3,4,16-93-100 RB OTRAS TASAS Y DERECHOS ADMINISTRATIVOS APROVECHAMIENTO ESPACIO PUBLICO</t>
  </si>
  <si>
    <t>DISE?O DE PLAN INTEGRAL PARA MEJORAR LA MOVILIDAD EN  CARTAGENA DE INDIAS</t>
  </si>
  <si>
    <t>1,3,3,4,16-93-147 RB OTRAS TASAS Y DERECHOS ADMINISTRATIVO AMOBLAMIENTO URBANO</t>
  </si>
  <si>
    <t>2,3,4503,1000,2020130010033</t>
  </si>
  <si>
    <t>1,3,3,4,16-95-002 R,B, OTRAS TASAS Y DERECHOS ADMINISTRATIVOS SOBRETASA ALCANTARILLADO</t>
  </si>
  <si>
    <t>CONTROL DE LOS RIESGOS EN NUESTRO TERRITORIO CARTAGENA DE INDIAS</t>
  </si>
  <si>
    <t>1,3,3,4,16-95-008 R,B, OTRAS TASAS Y DERECHOS ADMINISTRATIVOS AMOBLAMIENTO URBANO</t>
  </si>
  <si>
    <t>CONTROL DE LOS RIESGOS EN NUESTRO TERRITORIO  CARTAGENA DE INDIAS</t>
  </si>
  <si>
    <t>1,3,3,4,16-95-053 RB  OTRAS TASAS Y DERECHOS ADMINISTRATIVOS CONTRAPRESTACION PORTUARIA</t>
  </si>
  <si>
    <t>1,3,3,4,16-95-080 RB OTRAS TASAS Y DERECHOS ADMINISTRATIVOS OCUPACION DE VIAS</t>
  </si>
  <si>
    <t>1,3,3,4,16-95-100 RB OTRAS TASAS Y DERECHOS ADMINISTRATIVOS APROVECHAMIENTO ESPACIO PUBLICO</t>
  </si>
  <si>
    <t>1,3,3,4,16-95-147 RB OTRAS TASAS Y DERECHOS ADMINISTRATIVO AMOBLAMIENTO URBANO</t>
  </si>
  <si>
    <t>1,3,3,4,21-95-034 R,B, VENTA DE SERVICIOS CEMENTERIOS</t>
  </si>
  <si>
    <t>1,3,3,11,03-95-062 - RB DIVIDENDOS ACUACAR</t>
  </si>
  <si>
    <t>2,3,4103,1500,2021130010259</t>
  </si>
  <si>
    <t>1,3,3,11,03-95-107 R,B, RF OTROS DIVIDENDOS</t>
  </si>
  <si>
    <t>APOYO  IMPLEMENTACION DEL PROGRAMA DE FAMILIAS EN ACCION EN CARTAGENA DE INDIAS -GT+  CARTAGENA DE INDIAS</t>
  </si>
  <si>
    <t>1,3,3,11,06-93-086-01 RB DONACIONES COVID</t>
  </si>
  <si>
    <t>1,3,3,11,06-95-086-01 RB DONACIONES COVID</t>
  </si>
  <si>
    <t>1,3,3,11,06-95-086-02 RB DONACIONES IOTA</t>
  </si>
  <si>
    <t>2,3,4103,1500,2020130010071</t>
  </si>
  <si>
    <t>1,3,3,11,08-93-004 R,B, OTRAS TRANSFERENCIAS DE CAPITAL MARGEN DE COMERCIALIZACION</t>
  </si>
  <si>
    <t xml:space="preserve">APOYO DINAMICA FAMILIAR PARA SUPERACION DE LA POBREZA Y DESIGUALDAD </t>
  </si>
  <si>
    <t>1,3,3,11,08-95-004 R,B, OTRAS TRANSFERENCIAS DE CAPITAL MARGEN DE COMERCIALIZACION</t>
  </si>
  <si>
    <t>2,3,4503,1000,2021130010147</t>
  </si>
  <si>
    <t>1,3,3,2,00-93-119  RB ICDE  FONDO DE RIESGO 1% ICLD</t>
  </si>
  <si>
    <t>EXTENSION DEL CONOCIMIENTO DEL RIESGO EN NUESTRO TERRITORIO   CARTAGENA DE INDIAS</t>
  </si>
  <si>
    <t>1,3,3,2,00-95-083 RB  ICDE DISTRISEGURIDAD 10% DELINEACION URBANA</t>
  </si>
  <si>
    <t>1,3,3,2,00-95-119  RB ICDE  FONDO DE RIESGO 1% ICLD</t>
  </si>
  <si>
    <t>1,3,3,3,17-95-124 RB IMPUESTO DE TRANSPORTE POR OLEODUCTOS Y GASODUCTOS</t>
  </si>
  <si>
    <t>1,3,2,3,05-147 - OTROS RENDIMIENTOS FINANCIEROS AMOBLAMIENTO URBANO</t>
  </si>
  <si>
    <t>1,3,3,8,03-95-070 R,B, SGP-PROPOSITO GENERAL-PROPOSITO GENERAL LIBRE INVERSION</t>
  </si>
  <si>
    <t>2,3,4503,1000,2020130010034</t>
  </si>
  <si>
    <t>APORTES PARA MITIGAR EL RIESGO EN LAS COMUNIDADES DEL DISTRITO   CARTAGENA DE INDIAS</t>
  </si>
  <si>
    <t>1,3,3,1,00-93-009 RB RECURSOS PROVISIONADOS</t>
  </si>
  <si>
    <t>1,3,3,1,00-95-009 RB RECURSOS PROVISIONADOS</t>
  </si>
  <si>
    <t>1,3,3,11,01-93-182 R,B, VENTA DE ACTIVOS</t>
  </si>
  <si>
    <t>1,3,3,11,01-95-182 R,B, VENTA DE ACTIVOS</t>
  </si>
  <si>
    <t>2,3,4301,1604,2020130010036</t>
  </si>
  <si>
    <t>CONSERVACION , MANTENIMIENTO CONSERVACION, MANTENIMIENTO Y MEJORAMIENTO DE LOS ESCENARIOS DEPORTIVOS DE LA CIUDAD COMO ESTRATEGIA DE PRESERVACION DEL PATRIMONIO MATERIAL DEL DISTRITO DE CARTAGENA DE INDIAS</t>
  </si>
  <si>
    <t>2,3,4002,1400,2021130010266</t>
  </si>
  <si>
    <t>1,2,3,2,05-008 - OTRAS TASAS Y DERECHOS ADMINISTRATIVO AMOBLAMIENTO URBANO</t>
  </si>
  <si>
    <t>GENERACION  DEL ESPACIO PUBLICO  CARTAGENA DE INDIAS</t>
  </si>
  <si>
    <t>2,3,4103,1500,2021130010159</t>
  </si>
  <si>
    <t>1,2,3,2,05-053 - OTRAS TASAS Y DERECHOS ADMINISTRATIVOS CONTRAPRESTACION PORTUARIA</t>
  </si>
  <si>
    <t xml:space="preserve">APOYO FORTALECIMIENTO PARA LA SUPERACION DE LA POBREZA EXTREMA Y DEISIGUALDAD </t>
  </si>
  <si>
    <t>1,2,4,3,03-070 - SGP LIBRE INVERSION</t>
  </si>
  <si>
    <t>2,3,3299,0900,2020130010211</t>
  </si>
  <si>
    <t>1,2,3,2,05-080 - OTRAS TASAS Y DERECHOS ADMINISTRATIVOS OCUPACION DE VIAS</t>
  </si>
  <si>
    <t>CONSERVACION INTEGRAL DEL ESPACIO PUBLICO  CARTAGENA DE INDIAS</t>
  </si>
  <si>
    <t>1,3,1,1,06-086 - DONACIONES</t>
  </si>
  <si>
    <t>1,2,3,2,05-100 - OTRAS TASAS Y DERECHOS ADMINISTRATIVOS APROVECHAMIENTO ESPACIO PUBLICO</t>
  </si>
  <si>
    <t>1,2,2,0,00-119 - ICDE  FONDO DE RIESGO 1% ICLD</t>
  </si>
  <si>
    <t>2,3,4002,1400,2021130010268</t>
  </si>
  <si>
    <t>MEJORAMIENTO DE PARQUES Y ZONAS VERDES PARA LA RECUPERACION  DEL  ESPACIO PUBLICO   CARTAGENA DE INDIAS</t>
  </si>
  <si>
    <t>2,3,4103,1500,2020130010079</t>
  </si>
  <si>
    <t>APOYO EDUCACION PARA LA SUPERACION DE LA POBREZA Y LA DESIGUALDAD-0INCREMENTAR EL ACCESO A LOS DIFERENTES NIVELES EDUCATIVOS DE NI?OS NI?AS ADOLESCENTES JOVENES Y ADULTOS EN CONDICION DE POBREZA EXTREMA DE  CARTAGENA DE INDIAS</t>
  </si>
  <si>
    <t>2,3,4103,1500,2021130010158</t>
  </si>
  <si>
    <t>APOYO IDENTIFICACION PARA LA SUPERACION DE LA POBREZA Y DESIGUALDAD</t>
  </si>
  <si>
    <t>SECRETARIA DEL INTERIOR Y CONVIVENCIA CIUDADANAL</t>
  </si>
  <si>
    <t>2,3,4103,1500,2020130010084</t>
  </si>
  <si>
    <t>ASISTENCIA Y ATENCION INTEGRAL A LOS NI?OS Y NI?AS,  JOVENES  Y ADOLESCENTES EN RIESGO DE VINCULACION A  ACTIVIDADES DELICTIVAS Y  AQUELLOS EN CONFLICTO CON LA LEY PENAL EN EL DISTRITO DE   CARTAGENA DE INDIAS</t>
  </si>
  <si>
    <t>2,3,4103,1500,2020130010187</t>
  </si>
  <si>
    <t>CONSTRUCCION DE PAZ TERRITORIAL EN EL DISTRITO DE   CARTAGENA DE INDIAS</t>
  </si>
  <si>
    <t>2,3,4501,1000,2020130010031</t>
  </si>
  <si>
    <t>1,3,3,4,17-93-120 RB MULTAS CODIGO NACIONAL DE POLICIA</t>
  </si>
  <si>
    <t>MEJORAMIENTO DE LA CONVIVENCIA CON LA IMPLEMENTACIN DEL CODIGO NACIONAL DE SEGURIDAD Y CONVIVENCIA CIUDADANA  Y  LA MODERNIZACION DE LAS INSPECCIONES DE POLICA EN EL DISTRITO DE  CARTAGENA DE INDIAS</t>
  </si>
  <si>
    <t>1,3,3,4,17-95-120 RB MULTAS CODIGO NACIONAL DE POLICIA</t>
  </si>
  <si>
    <t>2,3,4502,1000,2021130010276</t>
  </si>
  <si>
    <t>1,3,3,11,03-95-138 R,B, DIVIDENDOS SOCIEDAD PORTUARIA</t>
  </si>
  <si>
    <t>IMPLEMENTACION DE LA JURISDICCION ESPECIAL INDIGENA- JEI EN EL DISTRITO DE CARTAGENA DE INDIAS</t>
  </si>
  <si>
    <t>2,3,1206,0800,2020130010032</t>
  </si>
  <si>
    <t xml:space="preserve">FORTALECIMIENTO Y ATENCION INTEGRAL A INTERNOS DE LOS ESTABLECIMIENTOS CARCELARIOS DEL DISTRITO DE  CARTAGENA DE INDIAS </t>
  </si>
  <si>
    <t>2,3,4502,1000,2021130010145</t>
  </si>
  <si>
    <t>FORTALECIMIENTO DE LA GOBERNANZA Y AUTODETERMINACION DE LA CULTURA EN INSTITUCIONES PROPIAS DE LA POBLACION INDIGENA EN EL DISTRITO DE CARTAGENA DE INDIAS</t>
  </si>
  <si>
    <t>2,3,4503,1000,2021130010142</t>
  </si>
  <si>
    <t>1,3,3,3,15-95-042 RB SOBRETASA BOMBERIL</t>
  </si>
  <si>
    <t>FORTALECIMIENTO DEL CUERPO DE BOMBEROS DEL DISTRITO DE   CARTAGENA DE INDIAS</t>
  </si>
  <si>
    <t>2,3,4501,1000,2020130010254</t>
  </si>
  <si>
    <t>1,3,3,4,01-95-040  RB CONTRIBUCION SOBRE CONTRATOS DE OBRA PUBLICA</t>
  </si>
  <si>
    <t>FORTALECIMIENTO EN PARQUE AUTOMOTOR Y TECNOLOGIA PARA LA POLICIA METROPOLITANA DE   CARTAGENA DE INDIAS</t>
  </si>
  <si>
    <t>2,3,4501,1000,2020130010272</t>
  </si>
  <si>
    <t>FORTALECIMIENTO DE LAS CAPACIDADES OPERATIVAS DE LA ARMADA NACIONAL PARA LA OPORTUNA ASISTENCIA MILITAR E INCREMENTO DE LA PROTECCION Y SEGURIDAD CIUDADANA EN EL DISTRITO DE   CARTAGENA DE INDIAS</t>
  </si>
  <si>
    <t>2,3,4501,1000,2020130010304</t>
  </si>
  <si>
    <t>MEJORAMIENTO DE LA SEDE DE LA FISCALIA GENERAL DE LA NACION UBICADA EN EL BARRIO CRESPO CALLE 66 4 -86 EDIFICIO HOCOL PISOS 1 Y 2 DEL DISTRITO DE CARTAGENA DE INDIAS</t>
  </si>
  <si>
    <t>2,3,4501,1000,2021130010283</t>
  </si>
  <si>
    <t>FORTALECIMIENTO DE LAS CAPACIDADES TECNOLOGICAS Y OPERATIVAS DE LA UNIDAD ADMINISTRATIVA ESPECIAL MIGRACION COLOMBIA EN EL DISTRITO DE   CARTAGENA DE INDIAS</t>
  </si>
  <si>
    <t>2,3,4501,1000,2022130010013</t>
  </si>
  <si>
    <t>FORTALECIMIENTO INTEGRAL  DE LAS CAPACIDADES INSTITUCIONALES DE LA POLICIA METROPOLITANA DE  CARTAGENA DE INDIAS</t>
  </si>
  <si>
    <t>1,3,2,3,05-161 - OTROS RENDIMIENTOS FINANCIEROS MULTAS CODIGO POLICIA</t>
  </si>
  <si>
    <t>MEJORAMIENTO DE LA CONVIVENCIA CON LA IMPLEMENTACIN DEL CODIGO NACIONAL DE SEGURIDAD Y CONVIVENCIA CIUDADANA  Y  LA MODERNIZACIN DE LAS INSPECCIONES DE POLICA EN EL DISTRITO DE  CARTAGENA DE INDIAS</t>
  </si>
  <si>
    <t>1,3,2,1,02-174 - RF CONTRIBUCION DE OBRAS PUBLICAS</t>
  </si>
  <si>
    <t>1,2,3,1,15-042 - SOBRETASA BOMBERIL</t>
  </si>
  <si>
    <t>2,3,4501,1000,2020130010037</t>
  </si>
  <si>
    <t>1,3,3,11,07-93-005 R,B, TRANSFERENCIAS DE CAPITAL CONVENIO FONSECON</t>
  </si>
  <si>
    <t>FORTALECIMIENTO DE LOS MECANISMOS COMUNITARIOS E INSTITUCIONALES DE PREVENCION Y REACCION A SITUACIONES DE RIESGO POR CONDUCTAS DELICTIVAS EN EL DISTRITO DE CARTAGENA DE INDIAS</t>
  </si>
  <si>
    <t>1,3,3,11,07-95-158 R,B, TRANSFERENCIAS DE CAPITAL CONVENIO FONSECON</t>
  </si>
  <si>
    <t>1,3,3,11,07-93-158 R,B, TRANSFERENCIAS DE CAPITAL CONVENIO FONSECON</t>
  </si>
  <si>
    <t>1,3,3,11,07-95-005 R,B, TRANSFERENCIAS DE CAPITAL CONVENIO FONSECON</t>
  </si>
  <si>
    <t>2,3,1202,0800,2020130010030</t>
  </si>
  <si>
    <t>FORTALECIMIENTO Y PROMOCION AL ACCESO A LA JUSTICIA DESDE LAS CASAS DE JUSTICIA Y COMISARIAS DE FAMILIA EN EL DISTRITO DE   CARTAGENA DE INDIAS</t>
  </si>
  <si>
    <t>1,2,3,2,01-040 - CONTRIBUCION SOBRE CONTRATOS DE OBRA PUBLICA</t>
  </si>
  <si>
    <t>1,3,2,3,05-044 - OTROS RENDIMIENTOS FINANCIEROS SOBRETASA BOMBERIL</t>
  </si>
  <si>
    <t>1,2,3,2,06-120 - MULTAS CODIGO NACIONAL DE POLICIA Y CONVIVENCIA</t>
  </si>
  <si>
    <t>FORTALECIMIENTO DE LOS MECANISMOS COMUNITARIOS  E INSTITUCIONALES DE PREVENCION Y REACCION A SITUACIONES DE RIESGO POR CONDUCTAS DELICTIVAS EN EL DISTRITO DE   CARTAGENA DE INDIAS</t>
  </si>
  <si>
    <t>2,3,4501,1000,2020130010210</t>
  </si>
  <si>
    <t>FORTALECIMIENTO DE LA CAPACIDAD OPERATIVA  DE LA SECRETARIA DEL INTERIOR Y CONVIVENCIA CIUDADANA  CARTAGENA DE INDIAS</t>
  </si>
  <si>
    <t>2,3,4502,1000,2021130010143</t>
  </si>
  <si>
    <t>GENERACION DE UNA CULTURA DE PREVENCION, PROMOCION Y PROTECCION DE LOS DERECHOS HUMANOS CON ENFOQUE DIFERENCIAL Y DE GENERO EN EL DISTRITO DE CARTAGENA DE INDIAS</t>
  </si>
  <si>
    <t xml:space="preserve">FORTALECIMIENTO DE LA GOBERNANZA Y AUTODETERMINACION DE LA CULTURA E INSTITUCIONES PROPIAS DE LA POBLACION INDIGENA EN EL DISTRITO DE CARTAGENA DE INDIAS </t>
  </si>
  <si>
    <t>2,3,4502,1000,2021130010148</t>
  </si>
  <si>
    <t>FORTALECIMIENTO DEL PROCESO ORGANIZATIVO Y ATENCION DIFERENCIAL A LA POBLACION NEGRA, AFRODESCENDIENTE, RAIZAL Y PALENQUERA EN EL DISTRITO DE CARTAGENA DE INDIAS</t>
  </si>
  <si>
    <t>2,3,4102,1000,2021130010275</t>
  </si>
  <si>
    <t>FORTALECIMIENTO DEL SISTEMA DE RESPONSABILIDAD PENAL PARA ADOLESCENTES- SRPA EN EL CARTAGENA DE INDIAS</t>
  </si>
  <si>
    <t>2,3,4103,1500,2020130010061</t>
  </si>
  <si>
    <t>ASISTENCIA ATENCION Y REPARACION INTEGRAL A LAS VICTIMAS DEL CONFLICTO ARMADO EN EL DISTRITO DE   CARTAGENA DE INDIAS</t>
  </si>
  <si>
    <t>ASISTENCIA Y ATENCION INTEGRAL A LOS NI?OS, NI?AS,  JOVENES  Y ADOLESCENTES EN RIESGO DE VINCULACION A  ACTIVIDADES DELICTIVAS Y  AQUELLOS EN CONFLICTO CON LA LEY PENAL EN EL DISTRITO DE   CARTAGENA DE INDIAS</t>
  </si>
  <si>
    <t>SECRETARIA DE HACIENDA PUBLICA</t>
  </si>
  <si>
    <t>2,3,4599,1000,2022130010001</t>
  </si>
  <si>
    <t>1,3,3,4,16-95-108 RB  OTRAS TASAS Y DERECHOS ADMINISTRATIVOS CONTRAPRESTACION PORTUARIA</t>
  </si>
  <si>
    <t>IMPLEMENTACION DE ESTRATEGIAS PARA EL MEJORAMIENTO Y SOSTENIBILIDAD DE LAS FINANZAS EN EL DISTRITO DE CARTAGENA DE INDIAS  CARTAGENA DE INDIAS</t>
  </si>
  <si>
    <t>2,3,3502,0200,2020130010325</t>
  </si>
  <si>
    <t>1,3,3,11,03-93-138 R,B, DIVIDENDOS SOCIEDAD PORTUARIA</t>
  </si>
  <si>
    <t>CONSOLIDACION DEL CIERRE DE BRECHAS PARA LA EMPLEABILIDAD Y EMPLEOS INCLUSIVOS A LOS GRUPOS POBLACIONALES VULNERABLES EN EL DISTRITO DE   CARTAGENA DE INDIAS</t>
  </si>
  <si>
    <t>2,3,3502,0200,2020130010331</t>
  </si>
  <si>
    <t>HABILITACION DE LAS ACCIONES PARA IDENTIFICAR Y CERRAR LAS BRECHAS DE CAPITAL HUMANO DE FORMA PERTINENTE SUFICIENTE Y DE CALIDAD EN EL DISTRITO DE   CARTAGENA DE INDIAS</t>
  </si>
  <si>
    <t>2,3,3602,1300,2020130010296</t>
  </si>
  <si>
    <t>IMPLEMENTACION DEL CENTRO DE FOMENTO AL EMPRENDIMIENTO Y A LA EMPLEABILIDAD PARA UNA CARTAGENA DE INDIAS INCLUSIVA Y MAS COMPETITIVA EN  CARTAGENA DE INDIAS</t>
  </si>
  <si>
    <t>2,3,3602,1300,2020130010297</t>
  </si>
  <si>
    <t>IMPLEMENTACION DE ESTRATEGIAS DE ARTICULACION ENTRE ACTORES E INICIATIVAS PARA EL IMPULSO DE UNA CULTURA DE LA INNOVACION EN CARTAGENA DE INDIAS</t>
  </si>
  <si>
    <t>2,3,4103,1500,2021130010280</t>
  </si>
  <si>
    <t>IDENTIFICACION Y CREACION DE INICIATIVAS PRODUCTIVAS ADAPTADAS A LAS CONDICIONES DE CRISIS SANITARIAS SOCIALES Y AMBIENTALES EN POBLACION JOVEN DEL DISTRITO DE CARTAGENA DE INDIAS</t>
  </si>
  <si>
    <t>2,3,3502,0200,2020130010327</t>
  </si>
  <si>
    <t>DESARROLLO DE ESTRATEGIAS PARA EL APROVECHAMIENTO DE LAS ECONOMIAS DE AGLOMERACION EN EL DISTRITO DE CARTAGENA DE INDIAS</t>
  </si>
  <si>
    <t>2,3,4103,1500,2021130010281</t>
  </si>
  <si>
    <t>FORTALECIMIENTO DE LAS ESTRATEGIAS PARA LA GENERACION DE INGRESOS DE LA POBLACION INDIGENA EN EL DISTRITO DE CARTAGENA,</t>
  </si>
  <si>
    <t>2,3,4103,1500,2021130010282</t>
  </si>
  <si>
    <t xml:space="preserve">FORTALECIMIENTO DE LAS ESTRATEGIAS DE INCLUSION PRODUCTIVA PARA POBLACION NEGRA, AFROCOLOMBIANA, RAIZAL Y PALENQUERA EN EL DISTRITO DE CARTAGENA </t>
  </si>
  <si>
    <t>1,3,3,11,03-95-139 RB DIVIDENDOS TERMINAL DE TRANSPORTE</t>
  </si>
  <si>
    <t>1,3,1,1,03-138 - DIVIDENDOS SOCIEDAD PORTUARIA</t>
  </si>
  <si>
    <t>1,3,1,1,03-139 - DIVIDENDOS TERMINAL DE TRANSPORTE</t>
  </si>
  <si>
    <t>1,3,2,3,05-160 - OTROS RENDIMIENTOS FINANCIEROS DIVIDENDOS</t>
  </si>
  <si>
    <t>1,3,3,0,00-175 - SUPERAVIT</t>
  </si>
  <si>
    <t>1,3,1,1,11-176 - REINTEGRO</t>
  </si>
  <si>
    <t>1,3,1,1,05-178 - RECURSOS DE CREDITO INTERNO</t>
  </si>
  <si>
    <t>IMPLEMENTACION DE ESTRATEGIAS PARA EL MEJORAMIENTO Y SOSTENIBILIDAD DE LAS FINANZAS EN EL DISTRITO DE CARTAGENA DE INDIAS CARTAGENA DE INDIAS</t>
  </si>
  <si>
    <t>2,3,4599,1000,2021130010274</t>
  </si>
  <si>
    <t>1,3,1,1,11-001 - REINTEGRO ICLD</t>
  </si>
  <si>
    <t>IMPLEMENTACION DEL PLAN DE SANEAMIENTO FISCAL Y FINANCIERO DEL DISTRITO DE CARTAGENA DE INDIAS</t>
  </si>
  <si>
    <t>1,3,2,2,08-075 - RF SGP PROPOSITO GENERAL</t>
  </si>
  <si>
    <t>1,3,2,1,05-108 - R,F, OTRAS TASAS CONTRAPRESTACION PORTUARIA</t>
  </si>
  <si>
    <t>1,3,2,3,05-126 - OTROS RENDIMIENTOS FINANCIEROS IMP TRANSPORTE POR OLEODUCTO</t>
  </si>
  <si>
    <t>2,3,4599,1000,2021130010239</t>
  </si>
  <si>
    <t>IMPLEMENTACION PLAN DECENAL DE CULTURA CIUDADANA Y CARTAGENEIDAD</t>
  </si>
  <si>
    <t>2,3,3502,0200,2020130010324</t>
  </si>
  <si>
    <t>DESARROLLO DE ESTRATEGIAS PARA EL FORTALECIMIENTO DE LOS ENCADENAMIENTOS PRODUCTIVOS Y REDES DE PROVEEDURIA EN EL DISTRITO DE CARTAGENA DE INDIAS</t>
  </si>
  <si>
    <t>IMPLEMENTACION DE ESTRATEGIAS DE ARTICULACION ENTRE ACTORES E INICIATIVAS PARA EL IMPULSO DE UNA CULTURA DE LA INNOVACION EN  CARTAGENA DE INDIAS</t>
  </si>
  <si>
    <t>2,3,3502,0200,2020130010326</t>
  </si>
  <si>
    <t>IMPLEMENTACION DE UNA ESTRATEGIA DE PROMOCION Y POSICIONAMIENTO PARA LA ATRACCION DE LOS DIVERSOS TIPOS DE INVERSION EN CARTAGENA DE INDIAS</t>
  </si>
  <si>
    <t>1,3,3,8,03-95-075 R,B, SGP-PROPOSITO GENERAL-PROPOSITO GENERAL LIBRE INVERSION</t>
  </si>
  <si>
    <t>LOCALIDAD TURISTICA Y DE LA VIRGEN</t>
  </si>
  <si>
    <t>2,3,0000,0000,0000130010402</t>
  </si>
  <si>
    <t xml:space="preserve">1,3,3,4,19-93-095-02 RB OTRAS MULTAS, SANCIONES E INTERESES DE MORA (MULTA LOCALIDAD 2) </t>
  </si>
  <si>
    <t xml:space="preserve">MODERNIZACION DEL SISTEMA DISTRITAL DE PLANEACION Y DESCENTRALIZACION  </t>
  </si>
  <si>
    <t>2,3,4502,1000,2021130010126</t>
  </si>
  <si>
    <t>FORTALECIMIENTO TECNICO Y LOGISTICO DE LAS ORGANIZACIONES COMUNALES DE LA LOCALIDAD DE LA VIRGEN Y TURISTICA CARTAGENA DE INDIAS</t>
  </si>
  <si>
    <t>1,2,3,2,07-095 - OTRAS MULTAS, SANCIONES E INTERESES DE MORA</t>
  </si>
  <si>
    <t xml:space="preserve"> MODERNIZACION DEL SISTEMA DISTRITAL DE PLANEACION Y DESCENTRALIZACION  </t>
  </si>
  <si>
    <t>2,3,4103,1500,2021130010092</t>
  </si>
  <si>
    <t>MUJERES CON AUTONOMIA ECONOMICA</t>
  </si>
  <si>
    <t>2,3,4501,1000,2022130010006</t>
  </si>
  <si>
    <t>FORTALECIMIENTO DE LA CONVIVENCIA Y SEGURIDAD CIUDADANA</t>
  </si>
  <si>
    <t>2,3,4502,1500,2021130010125</t>
  </si>
  <si>
    <t>DIVERSIDAD SEXUAL Y NUEVAS IDENTIDADES DE GENERO EN LA LOCALIDAD</t>
  </si>
  <si>
    <t>2,3,4502,1000,2021130010131</t>
  </si>
  <si>
    <t>FORMACION SOCIOPOLITICA PARA IMPULSAR LA PARTICIPACION CIUDADANA DE LOS JOVENES DE LA LOCALIDAD DE LA VIRGEN Y TURISTICA CARTAGENA DE INDIAS</t>
  </si>
  <si>
    <t>2,3,4503,1000,2021130010098</t>
  </si>
  <si>
    <t>FORTALECIMIENTO DEL MANEJO Y PREVENCION DE DESASTRES DE LA LOCALIDAD DE LA VIRGEN Y TURISTICA CARTAGENA DE INDIAS</t>
  </si>
  <si>
    <t>2,3,4503,1000,2021130010100</t>
  </si>
  <si>
    <t>DESARROLLO DE MEDIDAS PARA MEJORAR LA CAPACIDAD HIDRAULICA DE LOS CANALES PLUVIALES EN LA LOCALIDAD DE LA VIRGEN Y TURISTICA CARTAGENA DE INDIAS</t>
  </si>
  <si>
    <t>2,3,4599,1000,2021130010127</t>
  </si>
  <si>
    <t>FORTALECIMIENTO TECNICO Y LOGISTICO DEL CONSEJO LOCAL DE PLANEACION DE LA LOCALIDAD DE LA VIRGEN Y TURISTICA, CARTAGENA DE INDIAS</t>
  </si>
  <si>
    <t>2,3,4501,0300,2021130010060</t>
  </si>
  <si>
    <t>ASISTENCIA INTEGRAL A LA FAUNA DOMESTICA EN CONDICION DE CALLE DE LA LOCALIDAD DE LA VIRGEN Y TURISTICA CARTAGENA DE INDIAS</t>
  </si>
  <si>
    <t>2,3,1709,1000,2022130010009</t>
  </si>
  <si>
    <t>CONSTRUCCION DE POZOS PROFUNDOS PARA EL DESARROLLO AGROPECUARIO EN LA VEREDA PUA EN EL CORREGIMIENTO DE ARROYO DE PIEDRA DEL DISTRITO DE   CARTAGENA DE INDIAS</t>
  </si>
  <si>
    <t>2,3,4501,0100,2022130010007</t>
  </si>
  <si>
    <t>IMPLEMENTACION Y MANTENIMIENTO DE HERRAMIENTAS TECNOLOGICAS PARA SEGURIDAD Y SOCORRO EN LA LOCALIDAD DE LA VIRGEN Y TURISTICA DE CARTAGENA DE INDIAS CARTAGENA DE INDIAS</t>
  </si>
  <si>
    <t>2,3,4104,0300,2021130010132</t>
  </si>
  <si>
    <t>FORTALECIMIENTO ORGANIZACIONAL ASOCIADO A LA ATENCION DE PERSONAS MAYORES EN CENTROS DE VIDA DE LA LOCALIDAD DE LA VIRGEN Y TURISTICA CARTAGENA DE INDIAS</t>
  </si>
  <si>
    <t>2,3,4104,0300,2022130010005</t>
  </si>
  <si>
    <t xml:space="preserve">FORTALECIMIENTO AL CUIDADO INCLUSIVO DE LA POBLACION CON DISCAPACIDAD EN LA LOCALIDAD  DE LA VIRGEN Y TURISTICA EN CARTAGENA DE INDIAS,     </t>
  </si>
  <si>
    <t>2,3,1905,0300,2021130010061</t>
  </si>
  <si>
    <t>DOTACION DE ELEMENTOS DE BIOSEGURIDAD QUE CONTRIBUYAN COMO MEDIDA DE INTERVENCION DIRIGIDA A MODIFICAR O DISMINUIR LAS CONDICIONES DE RIESGO ACTUALES A EVITAR NUEVOS RIESGOS Y GENERAR MECANISMOS PARA LA ATENCION DE EMERGENCIAS CARTAGENA DE INDIAS</t>
  </si>
  <si>
    <t>2,3,1905,0300,2021130010103</t>
  </si>
  <si>
    <t>FORMACION DE ADOLESCENTES EN SALUD SEXUAL Y REPRODUCTIVA EN LA LOCALIDAD DE LA VIRGEN Y TURISTICA CARTAGENA DE INDIAS</t>
  </si>
  <si>
    <t>2,3,2408,0600,2022130010002</t>
  </si>
  <si>
    <t>CONSTRUCCION Y ADECUACION DE LA MALLA VIAL DEL LA LOCALIDAD DE LA VIRGEN Y TURISTICA DEL DISTRITO DE CARTAGENA DE INDIAS BOLIVAR</t>
  </si>
  <si>
    <t>2,3,2409,0600,2021130010101</t>
  </si>
  <si>
    <t>ELABORACION DE CAMPA?AS EDUCATIVAS PARA REDUCIR LA SINIESTRALIDAD VIAL EN LA LOCALIDAD DE LA VIRGEN Y TURISTICA CARTAGENA DE INDIAS</t>
  </si>
  <si>
    <t>2,3,3301,1603,2021130010042</t>
  </si>
  <si>
    <t>FORTALECIMIENTO APOYAR A LOS TRABAJADORES Y LAS TRABAJADORAS DE LA CULTURA EN SUS PROCESOS DE FORMACION INVESTIGACION CREACION PRODUCCION Y CIRCULACION A TRAVES DE PROCESOS PEDAGOGICOS Y DE CONVOCATORIAS TRANSPARENTES CARTAGENA DE INDIAS</t>
  </si>
  <si>
    <t>2,3,3301,1603,2021130010106</t>
  </si>
  <si>
    <t>CONSTRUCCION Y MANTENIMIENTO DE INFRAESTRUCTURA CULTURAL EN LA LOCALIDAD DE LA VIRGEN Y TURISTICA, CARTAGENA DE INDIAS</t>
  </si>
  <si>
    <t>2,3,3301,1603,2021130010107</t>
  </si>
  <si>
    <t>FORTALECIMIENTO DE LA PARTICIPACION DE ARTISTAS Y GESTORES CULTURALES EN LOS FESTEJOS Y FIESTAS DE LA LOCALIDAD DE LA VIRGEN Y TURISTICA CARTAGENA DE INDIAS</t>
  </si>
  <si>
    <t>2,3,3603,1300,2021130010105</t>
  </si>
  <si>
    <t>FORTALECIMIENTO DEL EMPRENDIMIENTO Y LA EMPLEABILIDAD EN LA LOCALIDAD DE LA VIRGEN Y TURISTICA, CARTAGENA DE INDIAS</t>
  </si>
  <si>
    <t>2,3,3604,1300,2021130010118</t>
  </si>
  <si>
    <t>FORMACION DE MUJERES PARA EJERCER LIDERAZGO EN LA COMUNIDAD DE LA LOCALIDAD DE LA VIRGEN Y TURISTICA, CARTAGENA DE INDIAS</t>
  </si>
  <si>
    <t>2,3,4002,1400,2021130010091</t>
  </si>
  <si>
    <t>INCREMENTO DE ZONAS VERDES A TRAVES DE LA RECUPERACION DE ESPACIO PUBLICO DE LA LOCALIDAD DE LA VIRGEN Y TURISTICA CARTAGENA DE INDIAS</t>
  </si>
  <si>
    <t>2,3,4002,1400,2021130010113</t>
  </si>
  <si>
    <t>GENERACION DE MEDIDAS ENCAMINADAS A RECUPERAR EL ESPACIO PUBLICO DE LA LOCALIDAD DE LA VIRGEN Y TURISTICA, CARTAGENA DE INDIAS</t>
  </si>
  <si>
    <t>2,3,4003,1400,2021130010099</t>
  </si>
  <si>
    <t>ADECUACION DE SANEAMIENTO BASICO PARA VIVIENDAS DE LA POBLACION EN CONDICION POBREZA DE LA LOCALIDAD DE LA VIRGEN Y TURISTICA CARTAGENA DE INDIAS</t>
  </si>
  <si>
    <t>2,3,4102,1500,2021130010111</t>
  </si>
  <si>
    <t>ASISTENCIA PSICOSOCIAL A LA POBLACION NNA CON RIESGO DE VINCULARSE A ACTIVIDADES DELICTIVAS EN LA LOCALIDAD DE LA VIRGEN Y TURISTICA, CARTAGENA DE INDIAS</t>
  </si>
  <si>
    <t>2,3,4102,1500,2021130010114</t>
  </si>
  <si>
    <t>FORTALECIMIENTO DE LA CAPACIDAD DE MANEJO Y RESOLUCION DE CONFLICTOS DE LOS ESTUDIANTES DE LAS IEO DE LA LOCALIDAD DE LA VIRGEN Y TURISTICA?</t>
  </si>
  <si>
    <t>2,3,4103,1500,2021130010052</t>
  </si>
  <si>
    <t>CARACTERIZACION PARA LA CREACION DE ESTRATEGIAS Y ACCIONES CON EL FIN DE GARANTIZAR EL MANTENIMIENTO Y SOSTENIMIENTO DEL ESPACIO PUBLICO DE LA LOCALIDAD DE LA VIRGEN Y TURISTICA CARTAGENA DE INDIAS</t>
  </si>
  <si>
    <t>2,3,4103,1500,2021130010054</t>
  </si>
  <si>
    <t>ASISTENCIA PARA PROMOVER Y ACOMPA?AR LOS SISTEMAS PRODUCTIVOS MEDIANTE LA PRESTACION DEL SERVICIO PUBLICO DE EXTENSION AGROPECUARIO A LOS PRODUCTORES RURALES PESQUEROS Y ACUICOLAS CARTAGENA DE INDIAS</t>
  </si>
  <si>
    <t>2,3,4103,1500,2021130010055</t>
  </si>
  <si>
    <t>FORMACION PARA LA GENERACION DE EMPLEO INCLUSIVO PARA LOS JOVENES DE LA LOCALIDAD DE LA VIRGEN Y TURISTICA CARTAGENA DE INDIAS</t>
  </si>
  <si>
    <t>2,3,4103,1500,2021130010056</t>
  </si>
  <si>
    <t>GENERACION DE INGRESOS EMPRENDIMIENTO Y EMPRESARISMO EN LAS FAMILIAS EN POBREZA EXTREMA DE LA LOCALIDAD DE LA VIRGEN Y TURISTICA CARTAGENA DE INDIAS</t>
  </si>
  <si>
    <t>2,3,4103,1500,2021130010059</t>
  </si>
  <si>
    <t>FORMACION PARA EL FORTALECIMIENTO DE LA DINAMICA FAMILIAR DE LAS FAMILIAS EN SITUACION DE POBREZA EXTREMA DE LA LOCALIDAD DE LA VIRGEN Y TURISTICA CARTAGENA DE INDIAS</t>
  </si>
  <si>
    <t>2,3,4103,1500,2021130010102</t>
  </si>
  <si>
    <t>FORTALECIMIENTO DEL EMPRENDIMIENTO EN LOS PEQUE?OS PRODUCTORES RURALES DE LA LOCALIDAD DE LA VIRGEN Y TURISTICA CARTAGENA DE INDIAS</t>
  </si>
  <si>
    <t>2,3,4103,1500,2021130010104</t>
  </si>
  <si>
    <t>CAPACITACION DE LOS PRESTADORES DE SERVICIOS TURISTICOS PARA LA REACTIVACION ECONOMICA DEL SECTOR EN LA LOCALIDAD DE LA VIRGEN Y TURISTICA, CARTAGENA DE INDIAS</t>
  </si>
  <si>
    <t>2,3,4103,1500,2021130010115</t>
  </si>
  <si>
    <t>CONTRIBUCION A LA GENERACION DE INGRESOS DE LOS GRUPOS ETNICOS DE LA LOCALIDAD DE LA VIRGEN Y TURISTICA CARTAGENA DE INDIAS</t>
  </si>
  <si>
    <t>2,3,4104,1500,2021130010058</t>
  </si>
  <si>
    <t>ASISTENCIA PARA GARANTIZAR LOS DERECHOS Y DEBERES EN SALUD CON ENFOQUE DIFERENCIAL EN ARAS DE MINIMIZAR TANTO LAS BARRERAS DE ACCESO A LOS SERVICIOS DE SALUD COMO OTRAS FORMAS DE EXCLUSION, CARTAGENA DE INDIAS</t>
  </si>
  <si>
    <t>2,3,4301,1604,2021130010110</t>
  </si>
  <si>
    <t>DESARROLLO DE EVENTOS O TORNEOS DEPORTIVOS PARA IMPULSAR LA INTEGRACION SOCIAL EN LA LOCALIDAD DE LA VIRGEN Y TURISTICA CARTAGENA DE INDIAS</t>
  </si>
  <si>
    <t>2,3,4302,1604,2022130010003</t>
  </si>
  <si>
    <t>ADECUACION DE ESCENARIOS PARA RECREACION Y DEPORTE EN LA LOCALIDAD DE LA VIRGEN Y TURISTICA</t>
  </si>
  <si>
    <t>2,3,4501,1000,2021130010117</t>
  </si>
  <si>
    <t>DESARROLLO DE ACCIONES PARA DISMINUIR LA VIOLENCIA CONTRA LA MUJER EN LA LOCALIDAD DE LA VIRGEN Y TURISTICA CARTAGENA DE INDIAS</t>
  </si>
  <si>
    <t xml:space="preserve">1,3,3,4,19-95-095-02 RB OTRAS MULTAS, SANCIONES E INTERESES DE MORA (MULTA LOCALIDAD 2) </t>
  </si>
  <si>
    <t>SECRETARIA GENERAL</t>
  </si>
  <si>
    <t>2,3,4599,1000,2021130010174</t>
  </si>
  <si>
    <t>1,3,3,4,21-93-034 R,B, VENTA DE SERVICIOS CEMENTERIOS</t>
  </si>
  <si>
    <t>ADMINISTRACION Y OPERACION DE LOS CEMENTERIOS PUBLICOS DISTRITALES  POR UNA CARTAGENA LIBRE Y RESILIENTE CARTAGENA DE INDIAS</t>
  </si>
  <si>
    <t>2,3,4599,1000,2021130010190</t>
  </si>
  <si>
    <t>1,3,3,4,21-93-041 R,B, VENTA DE SERVICIOS MERCADO BAZURTO</t>
  </si>
  <si>
    <t>FORTALECIMIENTO DEL SISTEMA INTEGRADO DE MERCADOS PUBLICOS MEDIANTE EL DESARROLLO DE ACTIVIDADES Y/O ACTUACIONES ADMINISTRATIVAS, OPERATIVAS, JURIDICAS, CONTRACTUALES Y AMBIENTALES EN EL DISTRITO DE CARTAGENA DE INDIAS</t>
  </si>
  <si>
    <t>1,3,3,4,21-95-041 R,B, VENTA DE SERVICIOS MERCADO BAZURTO</t>
  </si>
  <si>
    <t>2,3,4003,1400,2021130010212</t>
  </si>
  <si>
    <t>1,3,3,4,16-185 - RB INCENTIVO AL APROVECHAMIENTO Y TRATAMIENTO DE RESIDUOS SOLIDOS (IAT)</t>
  </si>
  <si>
    <t>ACTUALIZACION IMPLEMENTACION DEL PLAN DE GESTION INTEGRAL DE RESIDUOS SOLIDOS (PGIRS) EN EL DISTRITO DE CARTAGENA DE INDIAS CARTAGENA DE INDIAS</t>
  </si>
  <si>
    <t>1,3,3,4,16-195 - RB RF INCENTIVO AL APROVECHAMIENTO Y TRATAMIENTO DE RESIDUOS SOLIDOS (IAT)</t>
  </si>
  <si>
    <t>1,2,3,2,22-185 - INCENTIVO AL APROVECHAMIENTO Y TRATAMIENTO DE RESIDUOS SOLIDOS (IAT)</t>
  </si>
  <si>
    <t>1,3,2,1,22-195 - RF INCENTIVO AL APROVECHAMIENTO Y TRATAMIENTO DE RESIDUOS SOLIDOS (IAT)</t>
  </si>
  <si>
    <t>2,3,4003,1400,2021130010208</t>
  </si>
  <si>
    <t xml:space="preserve"> ACTUALIZACION EXTENSION DE REDES DE ACUEDUCTO EN EL DISTRITO DE CARTAGENA  DE INDIAS</t>
  </si>
  <si>
    <t>2,3,3502,0200,2021130010146</t>
  </si>
  <si>
    <t>1,3,3,11-03-95-107 RB OTROS DIVIDENDOS</t>
  </si>
  <si>
    <t>APOYO A LA REALIZACION DEL FESTIVAL INTERNACIONAL DE CINE DE CARTAGENA FICCI 2021 PARA LOS BARRIOS DE CARTAGENA DE INDIAS</t>
  </si>
  <si>
    <t>2,3,2102,1900,2021130010195</t>
  </si>
  <si>
    <t>1,3,2,3,05-162 - OTROS RENDIMIENTOS FINANCIEROS ALUMBRADO PUBLICO</t>
  </si>
  <si>
    <t>IMPLEMENTACION DE LA OPTIMIZACION DEL SERVICIO DE ALUMBRADO PUBLICO Y EL SUMINISTRO DE ENERGIA PARA EL SISTEMA, EN EL DISTRITO DE CARTAGENA DE INDIAS</t>
  </si>
  <si>
    <t>2,3,4003,1400,2021130010196</t>
  </si>
  <si>
    <t>1,2,3,1,18-180 - SOBRETASA DE SOLIDARIDAD SERVICIOS PUBLICOS ACUEDUCTO, ASEO Y ALCANTARILLADO</t>
  </si>
  <si>
    <t>ADMINISTRACION DEL FONDO DE SOLIDARIDAD Y REDISTRIBUCION DEL INGRESOS PARA LOS SERVICIOS PUBLICOS DOMICILIARIOS DE ACUEDUCTO, ALCANTARILLADO Y ASEO EN EL DISTRITO DE CARTAGENA DE INDIAS</t>
  </si>
  <si>
    <t>1,3,3,3,14-95-121 R,B, IMPUESTO DE ALUMBRADO PUBLICO</t>
  </si>
  <si>
    <t xml:space="preserve">IMPLEMENTACION DE LA OPTIMIZACION DEL SERVICIO DE ALUMBRADO PUBLICO Y EL SUMINISTRO DE ENERGIA PARA EL SISTEMA, EN EL DISTRITO DE CARTAGENA DE INDIAS </t>
  </si>
  <si>
    <t>1,3,3,1,00-93-001 RB DE LIBRE DESTINACION</t>
  </si>
  <si>
    <t>1,3,3,10,00-95-055 RB  SGP APSB</t>
  </si>
  <si>
    <t>1,3,3,10,00-95-111 RB  SGP APSB</t>
  </si>
  <si>
    <t>2,3,4003,1400,2021130010292</t>
  </si>
  <si>
    <t>DEFINICION E IMPLEMENTACION DEL ESQUEMA DE PRESTACION DE LOS SERVICIOS DE ACUEDUCTO Y ALCANTARILLADO DE LAS COMUNIDADES DE TIERRA BOMBA, ARCHIPIELAGO DE SAN BERNARDO, ISLA FUERTE E ISLA DE BARU,</t>
  </si>
  <si>
    <t>1,2,4,6,00-055 - SGP APSB</t>
  </si>
  <si>
    <t xml:space="preserve"> ACTUALIZACION EXTENSION DE REDES DE ACUEDUCTO EN EL DISTRITO DE CARTAGENA CARTAGENA DE INDIAS</t>
  </si>
  <si>
    <t>1,3,1,1,03-062 - DIVIDENDOS ACUACAR</t>
  </si>
  <si>
    <t>1,3,2,2,13-111 - RF SGP APSB</t>
  </si>
  <si>
    <t>1,2,3,1,14-121 - IMPUESTO DE ALUMBRADO PUBLICO</t>
  </si>
  <si>
    <t>2,3,4502,1000,2021130010285</t>
  </si>
  <si>
    <t>DISE?O IMPLEMENTACION DE LA ESTRATEGIA DISTRITAL DE TRANSPARENCIA, PREVENCION DE LA CORRUPCION Y CULTURA CIUDADANA ANTICORRUPCION, PARA EL FORTALECIMIENTO DE LA CONFIANZA EN LAS INSTITUCIONES DEL DISTRITO DE CARTAGENA DE INDIAS</t>
  </si>
  <si>
    <t>2,3,4599,1000,2020130010277</t>
  </si>
  <si>
    <t>INTEGRACION DEL SISTEMA DE GESTION DE LA CALIDAD Y EL SERVICIO AL CIUDADANO PARA LA IMPLEMENTACION DEL MODELO INTEGRADO DE PLANEACION Y GESTION EN LA SECRETARIA GENERAL -TG+ CARTAGENA DE INDIAS</t>
  </si>
  <si>
    <t>ADMINISTRACION Y OPERACION DE LOS CEMENTERIOS PUBLICOS DISTRITALES ? POR UNA CARTAGENA LIBRE Y RESILIENTE? CARTAGENA DE INDIAS</t>
  </si>
  <si>
    <t>2,3,4599,1000,2021130010178</t>
  </si>
  <si>
    <t>GESTION DOCUMENTAL, MEDIANTE EL AVANCE EN LA IMPLEMENTACION DEL PLAN INSTITUCIONAL DE ARCHIVO-PINAR, PARA AUMENTAR LA EFICIENCIA Y EFICACIA EN LOS PROCESOS DOCUMENTALES</t>
  </si>
  <si>
    <t>2,3,4599,1000,2021130010189</t>
  </si>
  <si>
    <t>TRANSFORMACION DIGITAL PARA UNA CARTAGENA INTELIGENTE CON TODOS Y PARA TODOS CARTAGENA DE INDIAS</t>
  </si>
  <si>
    <t>2,3,4599,1000,2021130010193</t>
  </si>
  <si>
    <t>FORMULACION PLAN DE INTERNACIONALIZACION DE CARTAGENA DE INDIAS</t>
  </si>
  <si>
    <t>2,3,4599,1000,2021130010199</t>
  </si>
  <si>
    <t>MODERNIZACION CARTAGENA HACIA LA MODERNIDAD  CARTAGENA DE INDIAS</t>
  </si>
  <si>
    <t>2,3,4599,1000,2021130010216</t>
  </si>
  <si>
    <t>FORTALECIMIENTO DEL ECOSISTEMA DE COOPERACION DEL DISTRITO DE CARTAGENA DE INDIAS</t>
  </si>
  <si>
    <t>2,3,4599,1000,2021130010284</t>
  </si>
  <si>
    <t>INVENTARIO ?SANEAMIENTO INTEGRAL DEL PATRIMONIO INMOBILIARIO DEL DISTRITO DE CARTAGENA?, CARTAGENA DE INDIAS</t>
  </si>
  <si>
    <t>2,3,4599,1000,2021130010286</t>
  </si>
  <si>
    <t>DISE?O IMPLEMENTACION DE AUDITORIA FORENSE PARA LA PROTECCION Y RECUPERACION DEL PATRIMONIO PUBLICO DE CARTAGENA DE INDIAS</t>
  </si>
  <si>
    <t>2,3,4599,1000,2021130010288</t>
  </si>
  <si>
    <t>DESARROLLO DE UN SISTEMA DE INFORMACION DE LOS SERVICIOS PUBLICOS DEL DISTRITO CARTAGENA DE INDIAS</t>
  </si>
  <si>
    <t>2,3,3502,1603,2021130010289</t>
  </si>
  <si>
    <t xml:space="preserve">APOYO PARA LA IMPLEMENTACION DE HAY FESTIVAL CARTAGENA DE INDIAS DIGITAL EN EL DISTRITO DE CARTAGENA DE INDIAS </t>
  </si>
  <si>
    <t>2,3,4599,4000,2021130010287</t>
  </si>
  <si>
    <t>INSTALACION DE ZONAS WIFI EN LA ALCALDIA DISTRITAL DE CARTAGENA DE INDIAS</t>
  </si>
  <si>
    <t>2,3,3202,0900,2020130010292</t>
  </si>
  <si>
    <t>ACTUALIZACION  PLAN DE SANEAMIENTO Y MANEJO DE VERTIMIENTOS PSMV ETV+  CARTAGENA DE INDIAS</t>
  </si>
  <si>
    <t>2,3,3202,0900,2021130010218</t>
  </si>
  <si>
    <t>PROTECCION DE PREDIOS QUE CONSITUYEN AREAS DE IMPORTANCIA ESTRATEGICA AIE PARA EL SISTEMA DE ACUEDUCTO DEFINIDO EN EL POMCA EN EL DISTRITO DE CARTAGENA DE INDIAS,</t>
  </si>
  <si>
    <t>2,3,3502,0200,2021130010203</t>
  </si>
  <si>
    <t>DESARROLLO DEL TURISMO COMPETITIVO Y SOSTENIBLE PARA CARTAGENA DE INDIAS</t>
  </si>
  <si>
    <t>2,3,3502,0200,2021130010204</t>
  </si>
  <si>
    <t>CONSOLIDACION DE LA CONECTIVIDAD PARA CARTAGENA DE INDIAS</t>
  </si>
  <si>
    <t>2,3,3502,0200,2021130010205</t>
  </si>
  <si>
    <t>CONSOLIDACION DE LA PROMOCION NACIONAL E INTERNACIONAL DE CARTAGENA DE INDIAS</t>
  </si>
  <si>
    <t>DEFINICION E IMPLEMENTACION DEL ESQUEMA DE PRESTACION DE LOS SERVICIOS  DE ACUEDUCTO Y ALCANTARILLAO DE LAS COMUNIDADES DE TIERRABOMBA, ARCHIPIELAGO DE SAN BERNARDO, ISLA FUERTE E ISLA DE BARU</t>
  </si>
  <si>
    <t>2,3,3502,0200,2021130010278</t>
  </si>
  <si>
    <t>IMPLEMENTACION DEL PROYECTO CARTAGENA XVI FESTIVAL DE MUSICA CARTAGENA DE INDIAS</t>
  </si>
  <si>
    <t>2,3,4003,1400,2021130010293</t>
  </si>
  <si>
    <t xml:space="preserve">SANEAMIENTO DE FORMA SEGURA PARA TODOS EN EL DISTRITO DE CARTAGENA </t>
  </si>
  <si>
    <t>2,3,2102,1900,2021130010202</t>
  </si>
  <si>
    <t>IMPLEMENTACION DE LA GARANTIA AL ACCESO A UNA ENERGIA LIMPIA, ASEQUIBLE, SEGURA, SOSTENIBLE, MODERNA Y EFICIENTE PARA LAS ZONAS RURAL E INSULAR DE CARTAGENA DE INDIAS</t>
  </si>
  <si>
    <t>2,3,2202,0700,2021130010172</t>
  </si>
  <si>
    <t>IMPLEMENTACION DEL PROGRAMA DE FORMACION INTEGRAL ESCUELA TALLER CARTAGENA DE INDIAS DEL DISTRITO DE  CARTAGENA DE INDIAS</t>
  </si>
  <si>
    <t>2,3,2399,0400,2021130010290</t>
  </si>
  <si>
    <t xml:space="preserve">DESARROLLO DEL ECOSISTEMA DIGITAL BASADO EN LA CUARTA REVOLUCION INDUSTRIAL CARTAGENA DE INDIAS </t>
  </si>
  <si>
    <t>SECRETARIA DE INFRAESTRUCTURA</t>
  </si>
  <si>
    <t>2,3,3204,0900,2021130010184</t>
  </si>
  <si>
    <t>1,3,3,4,16-93-002 R,B, OTRAS TASAS Y DERECHOS ADMINISTRATIVOS SOBRETASA ALCANTARILLADO</t>
  </si>
  <si>
    <t xml:space="preserve">RECUPERACION Y APROVECHAMIENTO INTEGRAL DEL SISTEMA INTEGRAL DE CA?OS, LAGOS Y CIENAGAS DEL DISTRITO DE CARTAGENA DE INDIAS </t>
  </si>
  <si>
    <t>2,3,2402,0600,2021130010155</t>
  </si>
  <si>
    <t>ESTUDIOS Y DISE?OS, CONSTRUCCION, MEJORAMIENTO Y REHABILITACION DE VIAS PARA EL TRANSPORTE Y LA MOVILIDAD EN EL DISTRITO DE CARTAGENA DE INDIAS</t>
  </si>
  <si>
    <t>2,3,3203,0900,2021130010141</t>
  </si>
  <si>
    <t>CONSTRUCCION, RECTIFICACION Y RECUPERACION DEL SISTEMA HIDRICO Y PLAN MAESTRO DE ALCANTARILLADO PLUVIAL PARA SALVAR EL HABITAT EN EL DISTRITO DE CARTAGENA DE INDIAS</t>
  </si>
  <si>
    <t>RECUPERACION Y APROVECHAMIENTO INTEGRAL DEL SISTEMA INTEGRAL DE CA?OS, LAGOS Y CIENAGAS DEL DISTRITO DE CARTAGENA DE INDIAS</t>
  </si>
  <si>
    <t>1,3,2,1,22-182 R,F, TASAS AEROPORTUARIAS</t>
  </si>
  <si>
    <t>1,2,3,2,22-183 TASAS AEROPORTUARIAS</t>
  </si>
  <si>
    <t>1,3,3,11,03-93-062 - RB DIVIDENDOS ACUACAR</t>
  </si>
  <si>
    <t>ESTUDIOS Y DISE?OS CONSTRUCCION, MEJORAMIENTO Y REHABILITACION DE VIAS PARA EL TRANSPORTE Y LA MOVILIDAD EN EL DISTRITO DE CARTAGENA DE INDIAS</t>
  </si>
  <si>
    <t>1,3,3,11,05-91-018 R,B, RECURSOS DE CREDITO INTERNO</t>
  </si>
  <si>
    <t>1,3,3,11,05-93-038 R,B, RECURSOS DE CREDITO INTERNO</t>
  </si>
  <si>
    <t>1,3,3,11,05-95-038 R,B, RECURSOS DE CREDITO INTERNO</t>
  </si>
  <si>
    <t>2,3,4002,1400,2021130010035</t>
  </si>
  <si>
    <t>ELABORACION DE ESTUDIOS Y DISE?OS AJUSTADOS DE LA VIA PERIMETRAL EN EL MARCO DEL PROGRAMA ORDENACION TERRITORIAL Y RECUPERACION SOCIAL AMBIENTAL Y URBANA DE LA CIENAGA DE LA VIRGEN EN EL DISTRITO DE  CARTAGENA DE INDIAS</t>
  </si>
  <si>
    <t>1,2,3,3,01-177 - PARTICIPACIONES DISTINTAS DEL SGP - PLUSVALIA</t>
  </si>
  <si>
    <t>1,2,3,1,17-124 - IMPUESTO DE TRANSPORTE POR OLEODUCTOS Y GASODUCTOS</t>
  </si>
  <si>
    <t>2,3,4503,1000,2021130010215</t>
  </si>
  <si>
    <t>ESTUDIOS TECNICOS, DISE?OS Y OBRAS CONTINGENTES DERIVADAS DE SENTENCIAS JUDICIALES Y OBRAS DE EMERGENCIA EN INFRAESTRUCTURA DIFERENTES A VIAS EN EL DISTRITO DE CARTAGENA DE INDIAS</t>
  </si>
  <si>
    <t>2,3,1906,0300,2021130010121</t>
  </si>
  <si>
    <t>ADECUACION DE CENTROS DE SALUD PARA LA POBLACION NEGRA AFROCOLOMBIANA RAIZAL Y PALENQUERA EN EL DISTRITO DE   CARTAGENA DE INDIAS</t>
  </si>
  <si>
    <t>SECRETARIA DE EDUCACION</t>
  </si>
  <si>
    <t>2,3,2299,0700,2020130010165</t>
  </si>
  <si>
    <t>MEJORAMIENTO DEL BIENESTAR Y PROTECCION DE LOS FUNCIONARIOS DE LA SECRETARIA DE EDUCACION DISTRITAL  PARA CONTRIBUIR A UNA MEJOR CALIDAD DE VIDA EN EL DISTRITO DE  CARTAGENA DE INDIAS</t>
  </si>
  <si>
    <t>2,3,2299,0700,2020130010052</t>
  </si>
  <si>
    <t>1,3,3,6,01-95-071 R,B, SGP-EDUCACION-PRESTACION DE SERVICIOS</t>
  </si>
  <si>
    <t>ADMINISTRACION DEL TALENTO HUMANO DEL SERVICIO EDUCATIVO OFICIAL DOCENTES, DIRECTIVOS DOCENTES Y ADMINISTRATIVOS DEL DISTRITO DE CARTAGENA DE INDIAS</t>
  </si>
  <si>
    <t>2,3,2201,0700,2020130010117</t>
  </si>
  <si>
    <t>IMPLEMENTACION DE LA ESTRATEGIA UNICOS E INAGOTABLES PARA LA ATENCION A POBLACION DIVERSA: UNA ESCUELA DE Y PARA TODAS Y TODOS, EN  CARTAGENA DE INDIAS</t>
  </si>
  <si>
    <t>2,3,2201,0700,2021130010226</t>
  </si>
  <si>
    <t>TRANSFORMACION DEL APRENDIZAJE, INSPIRANDO, CREANDO Y DISE?ANDO CON LAS TECNOLOGIAS DE LA INFORMACION Y LAS COMUNICACIOONES EN LAS IEO Y SED DEL DISTRITO DE CARTAGENA DE INDIAS</t>
  </si>
  <si>
    <t>2,3,2201,0700,2020130010057</t>
  </si>
  <si>
    <t>1,3,3,6,03-93-171 R,B, SGP-EDUCACION-CALIDAD  POR MATRICULA OFICIAL</t>
  </si>
  <si>
    <t>OPTIMIZACION DE LA OPERACION DE LAS INSTITUCIONES EDUCATIVAS OFICIALES DEL DISTRITO DE   CARTAGENA DE INDIAS</t>
  </si>
  <si>
    <t>1,3,3,6,03-95-081 R,B, SGP-EDUCACION-CALIDAD  POR MATRICULA OFICIAL RENDIMIENTOS FINANCIEROS SGP EDUCACION</t>
  </si>
  <si>
    <t>1,3,3,6,01-93-071 R,B, SGP-EDUCACION-PRESTACION DE SERVICIOS</t>
  </si>
  <si>
    <t>1,3,3,11,07-93-159 RF FONDO DE MITIGACION  DE EMERGENCIA -FOME</t>
  </si>
  <si>
    <t>1,3,3,11,07-95-156 FONDO DE MITIGACION  DE EMERGENCIA -FOME</t>
  </si>
  <si>
    <t>1,3,3,11,07-95-159 RF FONDO DE MITIGACION  DE EMERGENCIA -FOME</t>
  </si>
  <si>
    <t>2,3,2202,0700,2020130010268</t>
  </si>
  <si>
    <t>1,3,3,2,00-93-056 RECURSOS DEL BALANCE DE DESTINACION ESPECIFICA POR ACTO ADMINISTRATIVO FONDO BICENTENARIO</t>
  </si>
  <si>
    <t>CONSOLIDACION DE BECAS UNIVERSITARIAS PARA EGRESADOS DE LAS INSTITUCIONES EDUCATIVAS OFICIALES DE  CARTAGENA DE INDIAS</t>
  </si>
  <si>
    <t>1,3,3,2,00-95-056 RECURSOS DEL BALANCE DE DESTINACION ESPECIFICA POR ACTO ADMINISTRATIVO FONDO BICENTENARIO</t>
  </si>
  <si>
    <t>CONSOLIDACION DE BECAS UNIVERSITARIAS PARA EGRESADOS DE LAS INSTITUCIONES EDUCATIVAS OFICIALES DE CARTAGENA DE INDIAS</t>
  </si>
  <si>
    <t>2,3,2201,0700,2020130010185</t>
  </si>
  <si>
    <t>1,2,4,1,03-171 - SGP CALIDAD MATRICULA</t>
  </si>
  <si>
    <t>FORTALECIMIENTO DE LA GESTION ESCOLAR PARA EL MEJORAMIENTO DE LA CALIDAD EDUCATIVA   CARTAGENA DE INDIAS</t>
  </si>
  <si>
    <t>2,3,2201,0700,2020130010186</t>
  </si>
  <si>
    <t>MEJORAMIENTO DE LA CALIDAD EDUCATIVA DE LAS INSTITUCIONES EDUCATIVAS DEL DISTRITO: FORMANDO CON AMOR  CARTAGENA DE INDIAS</t>
  </si>
  <si>
    <t>2,3,2201,0700,2021130010227</t>
  </si>
  <si>
    <t>FORTALECIMIENTO DE LOS PROCESOS FORMATIVOS EN LAS INSTITUCIONES EDUCATIVAS OFICIALES DEL DISTRITO DE CARTAGENA: DESARROLLO DE POTENCIALIDADES</t>
  </si>
  <si>
    <t>2,3,2201,0700,2020130010082</t>
  </si>
  <si>
    <t>IMPLEMENTACION DE LA ESTRATEGIA PERMANECER : MI ESCUELA, MI LUGAR FAVORITO, TRANSPORTE Y OTRAS ESTRATEGIAS DE PERMANENCIA EN CARTAGENA DE INDIAS</t>
  </si>
  <si>
    <t>2,3,2201,0700,2020130010094</t>
  </si>
  <si>
    <t>FORTALECIMIENTO DE LOS AMBIENTES DE APRENDIZAJE DE LAS SEDES DE LAS INSTITUCIONES EDUCATIVAS DE  CARTAGENA DE INDIAS</t>
  </si>
  <si>
    <t>1,2,4,1,04-172 - SGP CALIDAD GRATUIDAD</t>
  </si>
  <si>
    <t>2,3,2201,0700,2020130010195</t>
  </si>
  <si>
    <t>1,3,3,6,03-95-171 - R,B, SGP - EDUCACION - CALIDAD  POR MATRICULA OFICIAL</t>
  </si>
  <si>
    <t xml:space="preserve">IMPLEMENTACION DE LA ESTRATEGIA PERMANECER: ME ALIMENTO Y APRENDO ALIMENTACION ESCOLAR EN  CARTAGENA DE INDIAS </t>
  </si>
  <si>
    <t>2,3,2201,0700,2020130010162</t>
  </si>
  <si>
    <t>MEJORAMIENTO DEL PROCESO FORMATIVO DE LA EDUCACION MEDIA TECNICA OFICIAL EN LAS IEO  DESARROLLO DE POTENCIALIDADES PRODUCTIVAS DE   CARTAGENA DE INDIAS</t>
  </si>
  <si>
    <t>1,3,3,5,03-95-028 - R,B, APORTES NACION - ALIMENTACION ESCOLAR</t>
  </si>
  <si>
    <t>1,3,3,5,03-93-028 - R,B, APORTES NACION - ALIMENTACION ESCOLAR</t>
  </si>
  <si>
    <t>1,3,3,9,01-95-072 - R,B, SGP - ASIGNACION ESPECIAL - PROGRAMAS DE ALIMENTACION ESCOLAR</t>
  </si>
  <si>
    <t>1,3,3,9,01-95-078 - R,B, SGP- ASIGNACION ESPECIAL-PROGRAMAS DE ALIMENTACION ESCOLAR</t>
  </si>
  <si>
    <t>1,3,3,9,01-93-078 - R,B, SGP- ASIGNACION ESPECIAL-PROGRAMAS DE ALIMENTACION ESCOLAR</t>
  </si>
  <si>
    <t>1,2,4,4,01-028 -ASIGNACION ESPECIAL MEN</t>
  </si>
  <si>
    <t>IMPLEMENTACION DE LA ESTRATEGIA PERMANECER: ME ALIMENTO Y APRENDO ALIMENTACION ESCOLAR EN  CARTAGENA DE INDIAS</t>
  </si>
  <si>
    <t>1,2,2,0,00-056 - ICDE FONDO BICENTENARIO 3% ICA</t>
  </si>
  <si>
    <t>CONSOLIDACION DE BECAS UNIVERSITARIAS PARA EGRESADOS DE LAS INSTITUCIONES EDUCATIVAS  OFICIALES  DE  CARTAGENA DE INDIAS</t>
  </si>
  <si>
    <t>2,3,2201,0700,2020130010085</t>
  </si>
  <si>
    <t>1,2,4,1,01-071 - SGP PRESTACION EDUCATIVO</t>
  </si>
  <si>
    <t>IMPLEMENTACION DE LA ESTRATEGIA ESCUELA DINAMICA: YO TAMBIEN LLEGO , ATENCION A POBLACION CON EXTRAEDAD EN EL  DISTRITO DE CARTAGENA DE INDIAS</t>
  </si>
  <si>
    <t>2,3,2201,0700,2020130010065</t>
  </si>
  <si>
    <t>IMPLEMENTACION DE LA ESTRATEGIA ESCUELA DINAMICA: LLEGO Y ME QUEDO EN LA ESCUELA EN EL DISTRITO DE  CARTAGENA DE INDIAS</t>
  </si>
  <si>
    <t>ADMINISTRACION DEL TALENTO HUMANO DEL SERVICIO EDUCATIVO OFICIAL DOCENTES, DIRECTIVOS DOCENTES Y ADMINISTRATIVOS DEL DISTRITO DE   CARTAGENA DE INDIAS</t>
  </si>
  <si>
    <t>1,2,4,4,01-072 - SGP ALIMENTACION ESCOLAR</t>
  </si>
  <si>
    <t>1,3,2,2,09-078 - RF SGP ALIMENTACION ESCOLAR</t>
  </si>
  <si>
    <t>1,3,2,2,01-081 - RF SGP EDUCACION</t>
  </si>
  <si>
    <t>IMPLEMENTACION DE LA ESTRATEGIA PERMANECER: MI ESCUELA, MI LUGARFAVORITO, TRANSPORTE Y OTRAS ESTRATEGIAS DE PERMANENCIA EN  CARTAGENA DE INDIAS</t>
  </si>
  <si>
    <t>IMPLEMENTACION DE LA ESTRATEGIA ESCUELA DINAMICA: YO TAMBIEN LLEGO, ATENCION A POBLACION CON EXTRAEDAD EN EL DISTRITO DE  CARTAGENA DE INDIAS</t>
  </si>
  <si>
    <t>2,3,2201,0700,2020130010136</t>
  </si>
  <si>
    <t>IMPLEMENTACION DE LA ESTRATEGIA UNICOS E INAGOTABLES ACOGIDA - ATENCION A JOVENES Y ADULTOS EN EL DISTRITO DE  CARTAGENA DE INDIAS</t>
  </si>
  <si>
    <t>2,3,2201,0700,2020130010240</t>
  </si>
  <si>
    <t>FORMACION DE LOS DERECHOS HUMANOS DE LAS MUJERES DIRIGIDO A NI?AS NI?OS Y JOVENES DE LAS INSTITUCIONES EDUCATIVAS OFICIALES DEL DISTRITO: PARTICIPACION DEMOCRACIA Y AUTONOMIA  CARTAGENA DE INDIAS</t>
  </si>
  <si>
    <t>2,3,2201,0700,2020130010256</t>
  </si>
  <si>
    <t>IMPLEMENTACION DE LA ESTRATEGIA SENDERO DE LA CREATIVIDAD: TRANSITO ARMONICO DE EDUCACION INICIAL A PREESCOLAR EN EL MARCO DEL PROGRAMA SABIDURIA DE LA PRIMERA INFANCIA  EN  CARTAGENA DE INDIAS</t>
  </si>
  <si>
    <t>2,3,2201,0700,2020130010257</t>
  </si>
  <si>
    <t>FORTALECIMIENTO DE LAS PRACTICAS ETNOEDUCATIVAS EN INSTITUCIONES EDUCATIVAS OFICIALES  DEL DISTRITO   CARTAGENA DE INDIAS</t>
  </si>
  <si>
    <t>2,3,2201,0700,2020130010270</t>
  </si>
  <si>
    <t>IMPLEMENTACION DE LA ESTRATEGIA DESCUBRIENDO EL MUNDO: UNA ESCUELA QUE ACOGE LA PRIMERA INFANCIA EN EL MARCO DEL PROGRAMA SABIDURIA DE LA PRIMERA INFANCIA EN  CARTAGENA DE INDIAS</t>
  </si>
  <si>
    <t>2,3,2201,0700,2021130010036</t>
  </si>
  <si>
    <t>IMPLEMENTACION DE LA ESTRATEGIA DESCUBRIENDO EL MUNDO: UN GOBIERNO QUE CREE EN LAS NI?AS Y LOS NI?OS EN EL MARCO DEL PROGRAMA SABIDURIA DE LA PRIMERA INFANCIA -TG+ EN  CARTAGENA DE INDIAS</t>
  </si>
  <si>
    <t>2,3,2201,0700,2021130010039</t>
  </si>
  <si>
    <t>FORMULACION POLITICA PUBLICA DISTRITAL SECTOR EDUCATIVO EG+  CARTAGENA DE INDIAS</t>
  </si>
  <si>
    <t>2,3,2201,0700,2021130010224</t>
  </si>
  <si>
    <t>FORTALECIMIENTO DE LA EDUCACION INTEGRAL DESDE LA PARTICIPACION, DEMOCRACIA Y AUTONOMIA  EN LAS INSTITUCIONES EDUCATIVAS OFICIALES DEL DISTRITO DE CARTAGENA?</t>
  </si>
  <si>
    <t>2,3,2202,0700,2020130010309</t>
  </si>
  <si>
    <t>APOYO AL MEJORAMIENTO DE LAS COMPETENCIAS LABORALES DE LOS EGRESADOS DE LAS INSTITUCIONES EDUCATIVAS OFICIALES DE   CARTAGENA DE INDIAS</t>
  </si>
  <si>
    <t>2,3,2299,0700,2020130010139</t>
  </si>
  <si>
    <t>MODERNIZACION Y FORTALECIMIENTO DE LA GESTION EDUCATIVA DEL DISTRITO DE   CARTAGENA DE INDIAS</t>
  </si>
  <si>
    <t>SECRETARIA DE PARTICIPACION Y DESARROLLO SOCIAL</t>
  </si>
  <si>
    <t>2,3,4102,1500,2020130010119</t>
  </si>
  <si>
    <t>1,3,3,9,03-93-026 R,B, SGP-ASIGNACION-ATENCION INTEGRAL DE LA PRIMERA INFANCIA</t>
  </si>
  <si>
    <t>COMPROMISO CON LA SALVACION DE NUESTRA PRIMERA INFANCIA EN EL DISTRITO DE CARTAGENA DE INDIAS</t>
  </si>
  <si>
    <t>2,3,1708,1100,2021130010183</t>
  </si>
  <si>
    <t xml:space="preserve">PRESTACION DEL SERVICIO DE EXTENSION RURAL AGROPECUARIA A LOS PEQUE?OS PRODUCTORES ASENTADOS EN LA ZONA RURAL DEL DISTRITO DE CARTAGENA DE INDIAS </t>
  </si>
  <si>
    <t>1,3,3,9,03-95-065 R,B, SGP-ASIGNACION-ATENCION INTEGRAL DE LA PRIMERA INFANCIA</t>
  </si>
  <si>
    <t>2,3,4103,1500,2020130010133</t>
  </si>
  <si>
    <t>1,3,3,3,17-93-124 RB IMPUESTO DE TRANSPORTE POR OLEODUCTOS Y GASODUCTOS</t>
  </si>
  <si>
    <t>APOYO PARA LA ATENCION INTEGRAL A LOS ADULTOS MAYORES EN CENTROS DE VIDA Y GRUPOS ORGANIZADOS EN EL DISTRITO DE CARTAGENA DE INDIAS</t>
  </si>
  <si>
    <t>1,3,3,3,20-95-088 R,B, ESTAMPILLA A?OS DORADOS</t>
  </si>
  <si>
    <t>1,3,3,3,20-95-109 R,B, ESTAMPILLA A?OS DORADOS</t>
  </si>
  <si>
    <t>1,3,2,2,11-065 - RF SGP PRIMERA INFANCIA</t>
  </si>
  <si>
    <t>COMPROMISO CON LA SALVACION DE  NUESTRA PRIMERA INFANCIA EN EL DISTRITO DE  CARTAGENA DE INDIAS</t>
  </si>
  <si>
    <t>1,2,3,1,19-088 - ESTAMPILLAS ADULTO MAYOR</t>
  </si>
  <si>
    <t>APOYO PARA LA ATENCION INTEGRAL A LOS ADULTOS MAYORES EN CENTROS DE VIDA Y GRUPOS ORGANIZADOS EN EL DISTRITO DE  CARTAGENA DE INDIAS</t>
  </si>
  <si>
    <t>2,3,4104,1500,2020130010319</t>
  </si>
  <si>
    <t>APOYO PARA LA ATENCION INTEGRAL AL ADULTO MAYOR EN ESTADO DE ABANDONO MALTRATO Y SITUACION DE CALLE EN EL DISTRITO DE   CARTAGENA DE INDIAS</t>
  </si>
  <si>
    <t>1,3,2,3,05-109 - OTROS RENDIMIENTOS FINANCIEROS ESTAMPILLA A?OS DORADOS</t>
  </si>
  <si>
    <t>2,3,4103,1500,2021130010228</t>
  </si>
  <si>
    <t>ACTUALIZACION MUJERES CONSTRUCTORAS DE PAZ-0  CARTAGENA DE INDIAS</t>
  </si>
  <si>
    <t>2,3,4104,1500,2021130010188</t>
  </si>
  <si>
    <t>APOYO INTEGRAL PARA EL DESARROLLO HUMANO A LAS PERSONAS HABITANTES DE CALLE EN CARTAGENA DE INDIAS</t>
  </si>
  <si>
    <t>2,3,4104,1500,2021130010209</t>
  </si>
  <si>
    <t>ASISTENCIA EN LA GESTION SOCIAL INTEGRAL Y ARTICULADORA POR LA PROTECCION DE LAS PERSONAS CON DISCAPACIDAD Y/O SU FAMILIA O CUIDADOR-0 CARTAGENA DE INDIAS</t>
  </si>
  <si>
    <t>2,3,4199,1500,2020130010168</t>
  </si>
  <si>
    <t>FORMULACION E IMPLEMENTACION DE LA POLITICA PUBLICA DE JUVENTUD EN  CARTAGENA DE INDIAS</t>
  </si>
  <si>
    <t>2,3,4501,1000,2021130010182</t>
  </si>
  <si>
    <t>SERVICIO DE ESTERILIZACION DE CANINOS Y FELINOS EN EL DISTRITO DE CARTAGENA-0 CARTAGENA DE INDIAS</t>
  </si>
  <si>
    <t>2,3,4501,1000,2021130010225</t>
  </si>
  <si>
    <t>ELABORACION POLITICA PUBLICA Y REGLAMENTACION PROYECTOS PROTECCION ANIMAL CARTAGENA DE INDIAS</t>
  </si>
  <si>
    <t>2,3,4502,1000,2021130010210</t>
  </si>
  <si>
    <t>DESARROLLO LOCAL INCLUSIVO DE LAS PERSONAS CON DISCAPACIDAD: RECONOCIMIENTO DE CAPACIDADES, DIFERENCIAS Y DIVERSIDAD EN CARTAGENA DE INDIAS</t>
  </si>
  <si>
    <t>2,3,4502,1000,2021130010211</t>
  </si>
  <si>
    <t>CONTRIBUCION PACTO O ALIANZA POR LA INCLUSION SOCIAL Y PRODUCTIVA DE LAS PERSONAS CON DISCAPACIDAD EN CARTAGENA DE INDIA</t>
  </si>
  <si>
    <t>2,3,4502,1000,2021130010213</t>
  </si>
  <si>
    <t>ACTUALIZACION LAS MUJERES DECIDIMOS SOBRE EL EJERCICIO DEL PODER CARTAGENA DE INDIAS</t>
  </si>
  <si>
    <t>2,3,4502,1000,2021130010214</t>
  </si>
  <si>
    <t>ACTUALIZACION Y REFORMULACION DE LA POLITICA PUBLICA DE MUJER CARTAGENA DE INDIAS</t>
  </si>
  <si>
    <t>2,3,4502,1000,2021130010219</t>
  </si>
  <si>
    <t>FORTALECIMIENTO DE LA CAPACIDAD ADMINISTRATIVA, OPERATIVA Y TECNOLOGICA DE LAS ORGANIZACIONES COMUNALES DEL DISTRITO DE CARTAGENA DE INDIAS</t>
  </si>
  <si>
    <t>2,3,4502,1000,2021130010220</t>
  </si>
  <si>
    <t>FORTALECIMIENTO DE LA INCIDENCIA DE LOS CIUDADANOS EN LOS PROCESOS DE PARTICIPACION PARA LA CONSTRUCCION DE LO PUBLICO EN EL DISTRITO DE CARTAGENA DE INDIAS</t>
  </si>
  <si>
    <t>2,3,4502,1000,2021130010221</t>
  </si>
  <si>
    <t>FORTALECIMIENTO DE LA GESTION ADMINISTRATIVA Y LABOR SOCIAL DE LOS ORGANISMOS COMUNALES DEL DISTRITO DE CARTAGENA DE INDIAS</t>
  </si>
  <si>
    <t>2,3,4502,1000,2021130010222</t>
  </si>
  <si>
    <t>ADECUACION CARTAGENA LIBRE DE UNA CULTURA MACHISTA CARTAGENA DE INDIAS CARTAGENA DE INDIAS</t>
  </si>
  <si>
    <t>2,3,4502,1000,2021130010233</t>
  </si>
  <si>
    <t>ACTUALIZACION INSTANCIA RECTORA DE LA POLITICA PUBLICA DE MUJERES CARTAGENA DE INDIAS</t>
  </si>
  <si>
    <t>2,3,4502,1000,2021130010234</t>
  </si>
  <si>
    <t>ACTUALIZACION DIVERSIDAD SEXUAL E IDENTIDADES DE GENERO CARTAGENA DE INDIAS</t>
  </si>
  <si>
    <t>2,3,4502,1000,2021130010235</t>
  </si>
  <si>
    <t>FORMULACION DE LA POLITICA PUBLICA DE DIVERSIDAD SEXUAL E IDENTIDADES DE GENERO CARTAGENA DE INDIAS</t>
  </si>
  <si>
    <t>2,3,4102,1500,2020130010170</t>
  </si>
  <si>
    <t>FORTALECIMIENTO AL PROGRAMA JOVENES PARTICIPANDO Y SALVANDO A  CARTAGENA DE INDIAS</t>
  </si>
  <si>
    <t>2,3,4501,1000,2021130010185</t>
  </si>
  <si>
    <t>IMPLEMENTACION PROYECTO DE ATENCION Y PROTECCION ANIMAL - VEHICULOS DE TRACCION ANIMAL CARTAGENA DE INDIAS</t>
  </si>
  <si>
    <t>2,3,4102,1500,2020130010110</t>
  </si>
  <si>
    <t>FORTALECIMIENTO FAMILIAR  CARTAGENA DE INDIAS</t>
  </si>
  <si>
    <t>2,3,4102,1500,2020130010112</t>
  </si>
  <si>
    <t>PROTECCION DE LA INFANCIA Y LA ADOLESCENCIA PARA LA PREVENCION Y ATENCION DE VIOLENCIAS EN EL DISTRITO DE  CARTAGENA DE INDIAS</t>
  </si>
  <si>
    <t>2,3,4102,1500,2020130010120</t>
  </si>
  <si>
    <t xml:space="preserve">LOS NINOS, LAS NINAS Y ADOLESCENTES DE CARTAGENA PARTICIPAN Y DISFRUTAN SUS DERECHOS </t>
  </si>
  <si>
    <t>2,3,4103,1500,2020130010101</t>
  </si>
  <si>
    <t>FORTALECIMIENTO EMPLEO INCLUSIVO PARA LOS JOVENES-0  CARTAGENA DE INDIAS</t>
  </si>
  <si>
    <t>2,3,4103,1500,2020130010102</t>
  </si>
  <si>
    <t>FORTALECIMIENTO MUJERES CON AUTONOMIA ECONOMICA  CARTAGENA DE INDIAS</t>
  </si>
  <si>
    <t>2,3,4103,1500,2020130010103</t>
  </si>
  <si>
    <t>IMPLEMENTACION ESTRATEGIAS DE EMPRENDIMIENTO Y EMPRESARISMO PARA LA INCLUSION PRODUCTIVA Y LA VINCULACION LABORAL EN EL DISTRITO DE CARTAGENA:  CENTROS PARA EL EMPRENDIMIENTO Y LA GESTION DE LA EMPLEABILIDAD  CARTAGENA DE INDIAS</t>
  </si>
  <si>
    <t>2,3,4103,1500,2020130010321</t>
  </si>
  <si>
    <t>APOYO A LA FORMACION PARA EL TRABAJO GENERACION DE INGRESOS Y RESPONSABILIDAD SOCIAL EMPRESARIAL A PERSONAS HABITANTES DE CALLE EN  CARTAGENA DE INDIAS</t>
  </si>
  <si>
    <t>2,3,4103,1500,2021130010229</t>
  </si>
  <si>
    <t>ACTUALIZACION UNA VIDA LIBRE DE VIOLENCIAS PARA LAS MUJERES  CARTAGENA DE INDIAS</t>
  </si>
  <si>
    <t>2,3,1702,1100,2021130010186</t>
  </si>
  <si>
    <t>ASISTENCIA CARTAGENA EMPRENDEDORA PARA PEQUE?OS PRODUCTORES RURALES CARTAGENA DE INDIAS</t>
  </si>
  <si>
    <t>2,3,1702,1100,2021130010187</t>
  </si>
  <si>
    <t xml:space="preserve">FORTALECIMIENTO DOTACION Y CAPACITACION A ORGANIZADORES DE PESCADORES PERTENECIENTES A GRUPOS ETNICOS AFRO CARTAGENA DE INDIAS </t>
  </si>
  <si>
    <t>2,3,1702,1100,2021130010237</t>
  </si>
  <si>
    <t>ASISTENCIA EMPODERAMIENTO DEL LIDERAZGO DE LAS MUJERES NI?EZ JOVENES FAMILIA Y GENERACION INDIGENA  CARTAGENA DE INDIAS</t>
  </si>
  <si>
    <t>1,3,3,9,03-93-065 R,B, SGP-ASIGNACION-ATENCION INTEGRAL DE LA PRIMERA INFANCIA</t>
  </si>
  <si>
    <t>SECRETARIA DE PLANEACION</t>
  </si>
  <si>
    <t>2,3,0401,1003,2021130010179</t>
  </si>
  <si>
    <t>1,3,3,4,03-93-006 R,B, OTRAS CONTRIBUCIONES - ESTRATIFICACION</t>
  </si>
  <si>
    <t>FORTALECIMIENTO DEL PROCESO DE ESTRATIFICACION SOCIOECONOMICA EN EL DISTRITO DE  CARTAGENA DE INDIAS</t>
  </si>
  <si>
    <t>2,3,4002,1400,2021130010271</t>
  </si>
  <si>
    <t>NORMALIZACION URBANISTICA DE CARTAGENA DE INDIAS</t>
  </si>
  <si>
    <t>2,3,4599,1000,2021130010177</t>
  </si>
  <si>
    <t>1,3,3,8,03-93-075 R,B, SGP-PROPOSITO GENERAL-PROPOSITO GENERAL LIBRE INVERSION</t>
  </si>
  <si>
    <t>ASISTENCIA TECNICA AL DISE?O DE POLITICAS PUBLICAS INTERSECTORIALES Y CON VISION INTEGRAL DE ENFOQUES BASADOS EN DERECHOS HUMANOS EN EL DISTRITO DE CARTAGENA DE INDIAS</t>
  </si>
  <si>
    <t>2,3,4599,1000,2021130010256</t>
  </si>
  <si>
    <t>IMPLEMENTACION DE LA METODOLOGIA IV DEL SISBEN EN   CARTAGENA DE INDIAS</t>
  </si>
  <si>
    <t>2,3,4002,1400,2021130010261</t>
  </si>
  <si>
    <t>CONSTRUCCION DE LOS INSTRUMENTOS DE PLANIFICACION (PEMP Y POT) DE LA CIUDAD DE CARTAGENA DE INDIAS</t>
  </si>
  <si>
    <t>2,3,2410,0600,2021130010181</t>
  </si>
  <si>
    <t>ASISTENCIA TECNICA AL PROYECTO DE ELABORACION DE ESTUDIOS Y DISE?OS AJUSTADOS DE LA VIA PERIMETRAL EN EL MARCO DEL PROGRAMA ORDENACION TERRITORIAL RECUPERACION SOCIAL AMBIENTAL URBANA DE LA CIENAGA DE LA VIRGEN DISTRITO DE CARTAGENA DE INDIAS</t>
  </si>
  <si>
    <t>2,3,4002,1400,2020130010320</t>
  </si>
  <si>
    <t>IMPLEMENTACION REGLAMENTACION URBANISTICA PARA LA HABILITACION DE SUELO PARA DESARROLLO ECONOMICO Y URBANO EN EL DISTRITO TG+  CARTAGENA DE INDIAS</t>
  </si>
  <si>
    <t>2,3,4002,1400,2021130010262</t>
  </si>
  <si>
    <t>FORTALECIMIENTO A LA REGLAMENTACION URBANISTICA DEL ORDENAMIENTO TERRITORIAL Y ESTRATEGIAS DE PLANEACION PARA PLANES PARCIALES EN EL DISTRITO DE  CARTAGENA DE INDIAS</t>
  </si>
  <si>
    <t>2,3,4502,1000,2020130010332</t>
  </si>
  <si>
    <t>FORTALECIMIENTO DEL CONSEJO TERRITORIAL DE PLANEACION DEL DISTRITO DE CARTAGANEA DE INDIAS - TG+   CARTAGENA DE INDIAS</t>
  </si>
  <si>
    <t>2,3,3205,0900,2021130010194</t>
  </si>
  <si>
    <t>ASISTENCIA NUEVO PROYECTO DE CA?OS LAGOS LAGUNAS Y CIENAGAS DEL DISTRITO DE  CARTAGENA DE INDIAS</t>
  </si>
  <si>
    <t>1,3,3,3,17-93-126 RB IMPUESTO DE TRANSPORTE POR OLEODUCTOS Y GASODUCTOS</t>
  </si>
  <si>
    <t>1,3,2,1,02-173 - RF CONTRIBUCION ESTRATIFICACION</t>
  </si>
  <si>
    <t>CONSTRUCCION DE LOS INSTRUMENTOS DE PLANIFICACION (PEMP Y POT) DE LA CIUDAD DE  CARTAGENA DE INDIAS</t>
  </si>
  <si>
    <t>2,3,4599,1000,2021130010001</t>
  </si>
  <si>
    <t>ASISTENCIA TECNICA PARA MEJORAMIENTO DEL BANCO DE PROGRAMAS Y PROYECTOS CENTRAL Y DE LOS BANCOS DE PROGRAMAS Y PROYECTOS LOCALES DEL DISTRITO DE CARTAGENA DE INDIAS  TG +  CARTAGENA DE INDIAS</t>
  </si>
  <si>
    <t>2,3,4599,1000,2021130010257</t>
  </si>
  <si>
    <t>MODERNIZACION DEL SISTEMA DISTRITAL DE PLANEACION EN CARTAGENA DE INDIAS</t>
  </si>
  <si>
    <t>2,3,0401,1003,2021130010244</t>
  </si>
  <si>
    <t>ACTUALIZACION Y OPTIMIZACION DEL SISTEMAS DE INFORMACION GEOGRAFICA PARA LA PLANEACION SOCIAL Y TOMA DE DECISIONES DEL TERRITORIO EN  CARTAGENA DE INDIAS</t>
  </si>
  <si>
    <t>2,3,0406,1003,2021130010003</t>
  </si>
  <si>
    <t>ASISTENCIA TECNICA Y DESARROLLO DE ACCIONES PARA LA IMPLEMENTACION DEL CATASTRO MULTIPROPOSITO EN EL DISTRITO DE CARTAGENA DE INDIAS - TG+  CARTAGENA DE INDIAS</t>
  </si>
  <si>
    <t>1,2,3,2,02-006 - OTRAS CONTRIBUCIONES - ESTRATIFICACION</t>
  </si>
  <si>
    <t>MODERNIZACION DEL SISTEMA DISTRITAL DE PLANEACION EN  CARTAGENA DE INDIAS</t>
  </si>
  <si>
    <t>ASISTENCIA TECNICA AL DISE?O DE POLITICAS PUBLICAS INTERSECTORIALES Y CON VISION INTEGRAL DE ENFOQUES BASADOS EN DERECHOS HUMANOS EN EL DISTRITO DE  CARTAGENA DE INDIAS</t>
  </si>
  <si>
    <t>2,3,4599,1000,2021130010245</t>
  </si>
  <si>
    <t>ACTUALIZACION DEL AREA METROPOLITANA DE CARTAGENA DE INDIAS BUSCANDO FORTALECER LA CONSOLIDACION DEL AREA DE INTEGRACION COMO UN ESQUEMA ASOCIATIVO QUE FAVOREZCA EL SURGIMIENTO DE PROYECTOS TERRITORIALES  CARTAGENA DE INDIAS</t>
  </si>
  <si>
    <t>2,3,0401,1003,2020130010300</t>
  </si>
  <si>
    <t>IMPLEMENTACION OBSERVATORIO DE DINAMICAS URBANAS Y SOCIALES DE CARTAGENA DE INDIAS TG+  CARTAGENA DE INDIAS</t>
  </si>
  <si>
    <t>1,3,3,4,03-95-006 R,B, OTRAS CONTRIBUCIONES - ESTRATIFICACION</t>
  </si>
  <si>
    <t>DEPARTAMENTO ADMINISTRATIVO DE SALUD</t>
  </si>
  <si>
    <t>2,3,1903,0300,2020130010063</t>
  </si>
  <si>
    <t>CONTROL , VIGILANCIA, INSPECCION Y PROMOCION DEL SISTEMA OBLIGATORIO DE GARANTIA DE LA CALIDAD EN EL DISTRITO DE  CARTAGENA DE INDIAS</t>
  </si>
  <si>
    <t>2,3,1903,0300,2020130010132</t>
  </si>
  <si>
    <t>DESARROLLO INSTITUCIONAL DEL DEPARTAMENTO ADMINISTRATIVO DISTRITAL DE SALUD DE  CARTAGENA DE INDIAS</t>
  </si>
  <si>
    <t>2,3,1903,0300,2021130010150</t>
  </si>
  <si>
    <t>PRESTACION DE SERVICIOS BASICOS DE TECNOLOGIA DE INFORMACION Y COMUNICACION EN SALUD EN EL DEPARTAMENTO ADMINISTRATIVO DISTRITAL DE SALUD DE   CARTAGENA DE INDIAS</t>
  </si>
  <si>
    <t>2,3,1905,0300,2021130010157</t>
  </si>
  <si>
    <t>FORTALECIMIENTO DE LA PROMOCION SOCIAL EN SALUD DE LOS GRUPOS POBLACIONALES VULNERABLES Y DE LA PARTICIPACION SOCIAL EN SALUD EN EL DISTRITO DE  CARTAGENA DE INDIAS</t>
  </si>
  <si>
    <t>2,3,1905,0300,2021130010168</t>
  </si>
  <si>
    <t>FORTALECIMIENTO DEL CENTRO DE OPERACIONES Y EMERGENCIAS EN SALUD DEL DISTRITO DE  CARTAGENA DE INDIAS</t>
  </si>
  <si>
    <t>2,3,1905,0300,2021130010169</t>
  </si>
  <si>
    <t>SERVICIO  DE GESTION INTEGRAL Y RESPUESTA EN SALUD ANTE EMERGENCIAS Y DESASTRES EN EL DISTRITO DE   CARTAGENA DE INDIAS</t>
  </si>
  <si>
    <t>2,3,1906,0300,2021130010153</t>
  </si>
  <si>
    <t>FORTALECIMIENTO DE LA CALIDAD DE LA ATENCION EN SALUD  PARA LA POBLACION POBRE NO ASEGURADA RESIDENTE  EN EL DISTRITO    CARTAGENA DE INDIAS</t>
  </si>
  <si>
    <t>2,3,1906,0300,2021130010156</t>
  </si>
  <si>
    <t>AMPLIACION Y CONTINUIDAD DE LA AFILIACION AL REGIMEN SUBSIDIADO EN SALUD EN EL DISTRITO DE  CARTAGENA DE INDIAS</t>
  </si>
  <si>
    <t>1,2,3,3,07-015 - RECURSOS DEL SISTEMA DE SEGURIDAD SOCIAL INTEGRAL - SALUD</t>
  </si>
  <si>
    <t>1,2,3,3,07-016 - RECURSOS DEL SISTEMA DE SEGURIDAD SOCIAL INTEGRAL - SALUD</t>
  </si>
  <si>
    <t>FORTALECIMIENTO DE LA CALIDAD DE LA ATENCION EN SALUD  PARA LA POBLACION POBRE NO ASEGURADA RESIDENTE EN EL DISTRITO DE CARTAGENA DE INDIAS</t>
  </si>
  <si>
    <t>2,3,1905,0300,2020130010058</t>
  </si>
  <si>
    <t>PREVENCION Y CONTROL DE LA LEPRA EN EL DISTRITO DE  CARTAGENA DE INDIAS</t>
  </si>
  <si>
    <t>2,3,1905,0300,2020130010060</t>
  </si>
  <si>
    <t>PREVENCION Y CONTROL DE LA TUBERCULOSIS EN EL DISTRITO DE  CARTAGENA DE INDIAS</t>
  </si>
  <si>
    <t>2,3,1905,0300,2020130010164</t>
  </si>
  <si>
    <t>PREVENCION, PROMOCION , VIGILANCIA Y CONTROL DE ENFERMEDADES DE TRANSMISION VECTORIAL EN EL DISTRITO DE CARTAGENA DE INDIAS</t>
  </si>
  <si>
    <t>1,3,2,3,02-017 - RF SISTEMA DE SEGURIDAD SOCIAL SALUD</t>
  </si>
  <si>
    <t>2,3,1905,0300,2021130010170</t>
  </si>
  <si>
    <t>FORTALECIMIENTO DE LA GESTION DEL PLAN DE SALUD PUBLICA EN   CARTAGENA DE INDIA</t>
  </si>
  <si>
    <t>1,2,3,3,07-049 - RECURSOS DEL SISTEMA DE SEGURIDAD SOCIAL INTEGRAL - SALUD</t>
  </si>
  <si>
    <t>1,2,4,2,01-068 - SGP SALUD REGIMEN SUBSIDIADO</t>
  </si>
  <si>
    <t>1,3,2,2,06-087 - RF SGP SALUD</t>
  </si>
  <si>
    <t>2,3,1903,0300,2020130010157</t>
  </si>
  <si>
    <t>1,2,4,2,02-170 - SGP SALUD PUBLICA</t>
  </si>
  <si>
    <t>CONTROL Y VIGILANCIA DE MEDICAMENTOS EN EL DISTRITO DE  CARTAGENA DE INDIAS</t>
  </si>
  <si>
    <t>2,3,1903,0300,2020130010158</t>
  </si>
  <si>
    <t>CONTROL Y VIGILANCIA DE ALIMENTOS EN EL DISTRITO DE   CARTAGENA DE INDIAS</t>
  </si>
  <si>
    <t>2,3,1905,0300,2020130010069</t>
  </si>
  <si>
    <t>MEJORAMIENTO DE LA SALUD SEXUAL Y REPRODUCTIVA DE LOS Y LAS CARTAGENERAS EN EL DISTRITO DE  CARTAGENA DE INDIAS</t>
  </si>
  <si>
    <t>2,3,1905,0300,2020130010070</t>
  </si>
  <si>
    <t>PREVENCION DE LA MORTALIDAD MATERNA Y PERINATAL  CARTAGENA DE INDIAS</t>
  </si>
  <si>
    <t>2,3,1905,0300,2020130010072</t>
  </si>
  <si>
    <t>FORTALECIMIENTO DE LA NUTRICION, CONSUMO Y APROVECHAMIENTO DE ALIMENTOS DE LA POBLACION DEL DISTRITO DE  CARTAGENA DE INDIAS</t>
  </si>
  <si>
    <t>2,3,1905,0300,2020130010124</t>
  </si>
  <si>
    <t>PREVENCION Y CONTROL DE LAS ENFERMEDADES INMUNOPREVENIBLES EN EL DISTRITO DE  CARTAGENA DE INDIAS</t>
  </si>
  <si>
    <t>2,3,1905,0300,2020130010129</t>
  </si>
  <si>
    <t>FORTALECIMIENTO DE LA PROMOCION DE LA SALUD Y SEGURIDAD EN EL ENTORNO LABORAL DE LA ECONOMIA FORMAL E INFORMAL DEL DISTRITO DE  CARTAGENA DE INDIAS</t>
  </si>
  <si>
    <t>2,3,1905,0300,2020130010130</t>
  </si>
  <si>
    <t>FORTALECIMIENTO DE VIDA SALUDABLE Y ATENCION DE CONDICIONES CRONICAS NO TRANSMISIBLES EN EL DISTRITO DE  CARTAGENA DE INDIAS</t>
  </si>
  <si>
    <t>2,3,1905,0300,2020130010144</t>
  </si>
  <si>
    <t>PREVENCION Y CONTROL DE LAS ALTERACIONES DE LA SALUD ORAL  CARTAGENA DE INDIAS</t>
  </si>
  <si>
    <t>2,3,1905,0300,2020130010145</t>
  </si>
  <si>
    <t>PREVENCION Y CONTROL DE LAS ALTERACIONES DE LA SALUD VISUAL  CARTAGENA DE INDIAS</t>
  </si>
  <si>
    <t>2,3,1905,0300,2020130010146</t>
  </si>
  <si>
    <t>PREVENCION Y CONTROL DE SALUD AUDITIVA  CARTAGENA DE INDIAS</t>
  </si>
  <si>
    <t>2,3,1905,0300,2020130010150</t>
  </si>
  <si>
    <t>PREVENCION Y PROMOCION DE LA ZOONOSIS EN EL DISTRITO DE  CARTAGENA DE INDIAS</t>
  </si>
  <si>
    <t>2,3,1905,0300,2020130010151</t>
  </si>
  <si>
    <t>PROGRAMACION DE LA VIGILANCIA EN SALUD PUBLICA EN EL DISTRITO DE  CARTAGENA DE INDIAS</t>
  </si>
  <si>
    <t>2,3,1905,0300,2020130010166</t>
  </si>
  <si>
    <t>PREVENCION EN SALUD MENTAL EN EL DISTRITO DE  CARTAGENA DE INDIAS</t>
  </si>
  <si>
    <t>2,3,1905,0300,2020130010169</t>
  </si>
  <si>
    <t>CONTROL Y VIGILANCIA DE LA CALIDAD DEL AGUA PARA CONSUMO HUMANO Y DE DIVERSION EN EL DISTRITO DE  CARTAGENA DE INDIAS</t>
  </si>
  <si>
    <t>2,3,1905,0300,2020130010173</t>
  </si>
  <si>
    <t>PREVENCION , MANEJO Y CONTROL DE LA INFECCION RESPIRATORIA AGUDA EN NI?OS Y NI?AS MENORES DE CINCO A?OS EN  CARTAGENA DE INDIAS</t>
  </si>
  <si>
    <t>2,3,1905,0300,2020130010175</t>
  </si>
  <si>
    <t>SANEAMIENTO EN SEGURIDAD SANITARIA DEL AMBIENTE  CARTAGENA DE INDIAS</t>
  </si>
  <si>
    <t>2,3,1905,0300,2020130010177</t>
  </si>
  <si>
    <t>PREVENCION Y PROMOCION DE LA SALUD INFANTIL EN EL DISTRITO DE CARTAGENA DE INDIAS</t>
  </si>
  <si>
    <t>1,3,2,2,07-179 - RF SGP - SALUD - PRESTACION DE SERVICIOS DE SALUD</t>
  </si>
  <si>
    <t>1,3,3,4,19-95-184 R,B, OTRAS MULTAS, SANCIONES E INTERESES DE MORA (MULTAS DADIS)</t>
  </si>
  <si>
    <t>1,3,3,5,07-93-015 R,B, RECURSOS DEL SISTEMA DE SEGURIDAD SOCIAL INTEGRAL - SALUD COLJUEGOS</t>
  </si>
  <si>
    <t>CONTROL, VIGILANCIA, INSPECCION Y PROMOCION DEL SISTEMA OBLIGATORIO DE GARANTIA DE LA CALIDAD EN EL DISTRITO DE  CARTAGENA DE INDIAS</t>
  </si>
  <si>
    <t>FORTALECIMIENTO DE LA CALIDAD DE LA ATENCION EN SALUD PARA LA POBLACION POBRE NO ASEGURADA RESIDENTE EN EL DISTRITO CARTAGENA DE INDIAS</t>
  </si>
  <si>
    <t>1,3,3,5,07-93-016 R,B, RECURSOS DEL SISTEMA DE SEGURIDAD SOCIAL INTEGRAL - SALUD MINISTERIO DE PROTECCION SOCIAL</t>
  </si>
  <si>
    <t>PREVENCION, PROMOCION, VIGILANCIA Y CONTROL DE ENFERMEDADES DE TRANSMISION VECTORIAL EN EL DISTRITO DE CARTAGENA DE INDIAS</t>
  </si>
  <si>
    <t>1,3,3,5,07-93-017 R,B, RECURSOS DEL SISTEMA DE SEGURIDAD SOCIAL INTEGRAL - SALUD Rendimientos  Financieros FLS</t>
  </si>
  <si>
    <t>1,3,3,5,07-93-049 R,B, RECURSOS DEL SISTEMA DE SEGURIDAD SOCIAL INTEGRAL - SALUD ADRES</t>
  </si>
  <si>
    <t>1,3,3,5,07-95-015 R,B, RECURSOS DEL SISTEMA DE SEGURIDAD SOCIAL INTEGRAL - SALUD COLJUEGOS</t>
  </si>
  <si>
    <t>1,3,3,5,07-95-016 R,B, RECURSOS DEL SISTEMA DE SEGURIDAD SOCIAL INTEGRAL - SALUD MINISTERIO DE PROTECCION SOCIAL</t>
  </si>
  <si>
    <t>1,3,3,5,07-95-017 R,B, RECURSOS DEL SISTEMA DE SEGURIDAD SOCIAL INTEGRAL - SALUD Rendimientos  Financieros FLS</t>
  </si>
  <si>
    <t>1,3,3,5,07-95-049 R,B, RECURSOS DEL SISTEMA DE SEGURIDAD SOCIAL INTEGRAL - SALUD ADRES</t>
  </si>
  <si>
    <t>1,3,3,5,10-93-155 R,B, SENTENCIAS Y CONCILIACIONES LAUDO ARBITRAL</t>
  </si>
  <si>
    <t>1,3,3,7,02-93-068 R,B, SGP-SALUD-REGIMEN SUBSIDIADO</t>
  </si>
  <si>
    <t>1,3,3,7,02-93-087 R,B, SGP-SALUD-SALUD PUBLICA</t>
  </si>
  <si>
    <t>1,3,3,7,02-93-170 R,B, SGP-SALUD-SALUD PUBLICA</t>
  </si>
  <si>
    <t>1,3,3,7,02-93-179 R,B, SGP-SALUD-REGIMEN SUBSIDIADO</t>
  </si>
  <si>
    <t>1,3,3,7,02-95-068 R,B, SGP-SALUD-REGIMEN SUBSIDIADO</t>
  </si>
  <si>
    <t>1,3,3,7,02-95-170 R,B, SGP-SALUD-SALUD PUBLICA</t>
  </si>
  <si>
    <t>PREVENCION, MANEJO Y CONTROL DE LA INFECCION RESPIRATORIA AGUDA EN NI?OS Y NI?AS MENORES DE CINCO A?OS EN  CARTAGENA DE INDIAS</t>
  </si>
  <si>
    <t>1,3,1,1,10-181 - RETIROS FONPET - SALUD</t>
  </si>
  <si>
    <t>1,3,2,3,01-189 - RF FONDO LOCAL DE SALUD SSF</t>
  </si>
  <si>
    <t>AMPLIACION Y CONTINUIDAD DE LA AFILIACION AL REGIMEN SUBSIDIADO EN SALUD EN EL DISTRITO DE CARTAGENA DE INDIAS</t>
  </si>
  <si>
    <t>LOCALIDAD HISTORICA Y DEL CARIBE NORTE</t>
  </si>
  <si>
    <t>2,3,0000,0000,0000130011101</t>
  </si>
  <si>
    <t xml:space="preserve">1,3,3,4,19-93-095-01 RB OTRAS MULTAS, SANCIONES E INTERESES DE MORA (MULTA LOCALIDAD 1) </t>
  </si>
  <si>
    <t>2,3,4301,1604,2021130010025</t>
  </si>
  <si>
    <t>ELABORACION DE ESTUDIOS Y DISE?OS PARA VIAS EN LOS BARRIOS DE LA LOCALIDAD HISTORICA Y DEL CARIBE NORTE DEL DISTRITO DE CARTAGENA</t>
  </si>
  <si>
    <t>2,3,1706,1100,2021130010075</t>
  </si>
  <si>
    <t>FORTALECIMIENTO PARA EL EMPRENDIMIENTO DE NEGOCIOS PARA LOS HABITANTES DE LA LOCALIDAD HISTORICA Y DEL CARIBE NORTE EN EL DISTRITO DE CARTAGENA DE INDIAS,</t>
  </si>
  <si>
    <t>2,3,1905,0300,2021130010012</t>
  </si>
  <si>
    <t>IMPLEMENTACION PROYECTO MUJERES FORMADAS PARA LA PROMOCION Y EL APRENDIZAJE DE LA DETECCION TEMPRANA DEL CANCER DE CERVIX Y DE MAMA ZONA INSULAR DE LA LOCALIDAD HISTORICA Y DEL CARIBE NORTE DEL DISTRITO DE CARTAGENA DE INDIAS</t>
  </si>
  <si>
    <t>2,3,1905,0300,2021130010074</t>
  </si>
  <si>
    <t>IMPLEMENTACION PROYECTO DEL FORTALECIMIENTO DE LA POLITICA NACIONAL DE SALUD MENTAL Y POLITICA INTEGRAL PARA LA PREVENCION Y ATENCION DEL CONSUMO DE SUSTANCIAS PSICOACTIVAS EN LOS NI?OS JOVENES Y ADOLESCENTES</t>
  </si>
  <si>
    <t>2,3,2402,0600,2021130010076</t>
  </si>
  <si>
    <t>CONSTRUCCION MEJORAMIENTO Y REHABILITACION DE VIAS PARA EL TRANSPORTE Y LA MOVILIDAD EN LA LOCALIDAD HISTORICA Y DEL CARIBE NORTE EN EL DISTRITO DE CARTAGENA</t>
  </si>
  <si>
    <t>2,3,3301,1603,2021130010019</t>
  </si>
  <si>
    <t xml:space="preserve">IMPLEMENTACION PROYECTO APOYANDO EL IMPULSO DE GRUPOS CULTURALES DE LA LOCALIDAD, HISTORICA Y DEL CARIBENORTE  </t>
  </si>
  <si>
    <t>2,3,3602,1300,2021130010013</t>
  </si>
  <si>
    <t>IMPLEMENTACION PROYECTO CREAR Y FORTALECER UNIDADES PRODUCTIVAS CON CAPITAL SEMILLA PARA LA POBLACION DE LA LOCALIDAD HISTORICA Y DEL CARIBE NORTE</t>
  </si>
  <si>
    <t>2,3,3602,1300,2021130010017</t>
  </si>
  <si>
    <t xml:space="preserve">IMPLEMENTACION DEL PROYECTO EMPRENDIMIENTO Y GESTION DE LA EMPLEABILIDAD EN LOCALIDAD HISTORICA Y DEL CARIBE NORTE EN EL DISTRITO DE CARTAGENA DE INDIAS, </t>
  </si>
  <si>
    <t>2,3,3602,1300,2021130010020</t>
  </si>
  <si>
    <t>APLICACION PROMOCION DEL EMPRENDIMIENTO JUVENIL EN ZONA INSULAR DE LA LOCALIDAD HISTORICA Y DEL CARIBE NORTE DEL DISTRITO DE CARTAGENA DE INDIAS</t>
  </si>
  <si>
    <t>2,3,4104,1500,2022130010004</t>
  </si>
  <si>
    <t xml:space="preserve">IMPLEMENTACION PROYECTO CAMPA?AS PARA EL RESCATE DE LOS DERECHOS A LOS ADULTOS MAYORES DE LA LOCALIDAD, HISTORICA Y DEL CARIBENORTE  </t>
  </si>
  <si>
    <t>2,3,4301,1604,2019130010081</t>
  </si>
  <si>
    <t xml:space="preserve">IMPLEMENTACION PROYECTO DE HABITOS Y ESTILO DE VIDA SALUDABLE A TRAVES DE LA PRACTICA DEL DEPORTE EN LA LOCALIDAD HISTORICA Y DEL CARIBE NORTE ??COPA ASOJAC ? </t>
  </si>
  <si>
    <t>2,3,4301,1604,2021130010079</t>
  </si>
  <si>
    <t xml:space="preserve">CONSTRUCCION MANTENIMIENTOS ADECUACIONES REPARACIONES DE CANCHAS DEPORTIVAS Y PARQUES EN LA ZONA URBANA DE LA LOCALIDAD HISTORICA Y DEL CARIBE NORTE DEL DISTRITO DE CARTAGENA DE INDIAS   </t>
  </si>
  <si>
    <t>2,3,4501,1000,2021130010014</t>
  </si>
  <si>
    <t>IMPLEMENTACION PROYECTO MUJERES FORMADAS PARA LA PROMOCION DE SUS DERECHOS SEXUALES Y REPRODUCTIVOS Y LA IGUALDAD DE GENERO ZONA INSULAR O URBANA DE LA LOCALIDAD HISTORICA Y DEL CARIBE NORTE DEL DISTRITO DE CARTAGENA DE INDIAS</t>
  </si>
  <si>
    <t>2,3,4501,1000,2021130010021</t>
  </si>
  <si>
    <t>APLICACION PROMOCION A EL FORTALECIMIENTO Y FORMACION A FRENTES DE SEGURIDAD DE LA LOCALIDAD HISTORICA Y DEL CARIBE NORTE</t>
  </si>
  <si>
    <t>2,3,4501,1000,2021130010022</t>
  </si>
  <si>
    <t>IMPLEMENTACION PROYECTO DE FORMACION EN CONVIVENCIA Y PAZ PARA LOS MIEMBROS DE JAC Y LOS FUNCIONARIOS DE LA ALCALDIA LOCAL LHCN</t>
  </si>
  <si>
    <t>2,3,4104,1300,2021130010018</t>
  </si>
  <si>
    <t xml:space="preserve">IMPLEMENTACION DEL PROYECTO PARA CAPACITAR Y FORMAR A CUIDADORES DE PERSONAS EN CONDICION DE DISCAPACIDAD EN LA LOCALIDAD HISTORICA Y DEL CARIBE NORTE DEL DISTRITO DE CARTAGENA DE INDIAS, </t>
  </si>
  <si>
    <t>2,3,1702,1300,2021130010023</t>
  </si>
  <si>
    <t>APLICACION PROMOCION DEL EMPRENDIMIEN A PROYECTOS PRODUCTIVOS, QUE INCLUYAN CAPITAL SEMILLA EN POBLACION NEGRA, AFROCOLOMBIANA, RAIZAL EN ZONA INSULAR O URBANA DE LA LOCALIDAD HISTORICA Y DEL CARIBE NORTE DISTRITO DE CARTAGENA DE INDIAS</t>
  </si>
  <si>
    <t>2,3,3604,1603,2021130010015</t>
  </si>
  <si>
    <t>IMPLEMENTACION DEL PROYECTO DE CAPACITACION A LOS HABITANTES (MUJERES) DE LA LOCALIDAD HISTORICA Y DEL CARIBE NORTE EN EL EMPRENDIMIENTO Y ENCADENAMIENTO PRODUCTIVO INCORPORADO EL ENFOQUE DIFERENCIAL EN EL DISTRITO DE CARTAGENA DE INDIAS,</t>
  </si>
  <si>
    <t>2,3,2402,0600,2021130010079</t>
  </si>
  <si>
    <t>CONSTRUCCION MANTENIMIENTOS ADECUACIONES REPARACIONES DE CANCHAS DEPORTIVAS Y PARQUES  EN LA ZONA URBANA DE LA LOCALIDAD HISTORICA Y DEL CARIBE NORTE DEL DISTRITO DE CARTAGENA DE INDIAS</t>
  </si>
  <si>
    <t xml:space="preserve">1,3,3,4,19-95-095-01 RB OTRAS MULTAS, SANCIONES E INTERESES DE MORA (MULTA LOCALIDAD 1) </t>
  </si>
  <si>
    <t>DEPARTAMENTO ADMINISTRATIVO DE TRANSITO Y TRANSPORTE</t>
  </si>
  <si>
    <t>2,3,2409,0600,2020130010329</t>
  </si>
  <si>
    <t>1,3,3,3,03-93-022 R,B, IMPUESTO SOBRE VEHICULOS AUTOMOTORES</t>
  </si>
  <si>
    <t>SUSTITUCION DE VEHICULOS DE TRACCION ANIMAL DEDICADOS AL TRANSPORTE DE CARGA LIVIANA EXISTENTES EN EL DISTRITO DE   CARTAGENA DE INDIAS</t>
  </si>
  <si>
    <t>2,3,4599,1000,2021130010252</t>
  </si>
  <si>
    <t>1,2,3,3,01-022 - PARTICIPACIONES DISTINTAS DEL SGP (PARTICIPACION IMPUESTO DE VEHICULO AUTOMOTOR)</t>
  </si>
  <si>
    <t>DISE?O E IMPLEMENTACION DE UNA PLATAFORMA TECNOLOGICA  VIRTUAL PARA LA INFORMACION Y LA GESTION DE TRAMITES EN EL DEPARTAMENTO ADMINISTRATIVO DE TRANSITO Y TRANSPORTE EN EL DISTRITO DE   CARTAGENA DE INDIAS</t>
  </si>
  <si>
    <t>1,3,3,3,03-95-022 R,B, IMPUESTO SOBRE VEHICULOS AUTOMOTORES</t>
  </si>
  <si>
    <t>2,3,2409,0600,2021130010246</t>
  </si>
  <si>
    <t>FORTALECIMIENTO DE LA EDUCACION CULTURA Y SEGURIDAD VIAL EN EL DISTRITO DE   CARTAGENA DE INDIAS</t>
  </si>
  <si>
    <t>2,3,2409,0600,2021130010247</t>
  </si>
  <si>
    <t>AMPLIACION Y MANTENIMIENTO DE LA SE?ALIZACION VIAL EN EL DISTRITO DE CARTAGENA DE INDIAS</t>
  </si>
  <si>
    <t>2,3,2409,0600,2021130010249</t>
  </si>
  <si>
    <t>IMPLEMENTACION SISTEMA DE MOVILIDAD SOSTENIBLE EN EL DISTRITO DE   CARTAGENA DE INDIAS</t>
  </si>
  <si>
    <t>2,3,2409,0600,2021130010250</t>
  </si>
  <si>
    <t>APOYO PARA LA GESTION DEL TRANSPORTE PUBLICO MASIVO COLECTIVO E INDIVIDUAL EN EL DISTRITO DE   CARTAGENA DE INDIAS</t>
  </si>
  <si>
    <t>2,3,2409,0600,2021130010251</t>
  </si>
  <si>
    <t>FORMULACION Y ADOPCION DEL PLAN LOCAL DE SEGURIDAD VIAL EN EL DISTRITO DE  CARTAGENA DE INDIAS</t>
  </si>
  <si>
    <t>2,3,2409,0600,2021130010253</t>
  </si>
  <si>
    <t>ESTUDIOS PARA IMPLEMENTAR EL SISTEMA DE FISCALIZACION ELECTRONICA PARA LA REGULACION Y EL CONTROL DEL TRANSITO EN EL DISTRITO DE   CARTAGENA DE INDIAS</t>
  </si>
  <si>
    <t>2,3,4599,1000,2021130010248</t>
  </si>
  <si>
    <t>IMPLEMENTACION DE REINGENIERIA INSTITUCIONAL Y FORTALECIMIENTO FINANCIERO DEL DEPARTAMENTO ADMINISTRATIVO DE TRANSITO Y TRANSPORTE DE   CARTAGENA DE INDIAS</t>
  </si>
  <si>
    <t>1,3,3,3,03-95-079 R,B, IMPUESTO SOBRE VEHICULOS AUTOMOTORES RENDIMIENTOS DATT</t>
  </si>
  <si>
    <t>1,3,3,4,15-95-021 R,B, SERVICIOS DE TRANSITO Y TRANSPORTE</t>
  </si>
  <si>
    <t>1,3,2,3,05-079 - OTROS RENDIMIENTOS FINANCIEROS DATT</t>
  </si>
  <si>
    <t>AMPLIACION Y MANTENIMIENTO DE LA SE?ALIZACION VIAL EN EL DISTRITO DE  CARTAGENA DE INDIAS</t>
  </si>
  <si>
    <t>1,2,3,2,07-164 - OTRAS MULTAS, SANCIONES E INTERESES DE MORA (Participacion de intereses de mora sobre el impuesto sobre vehiculos automotores)</t>
  </si>
  <si>
    <t>1,2,3,2,07-165 - OTRAS MULTAS, SANCIONES E INTERESES DE MORA (Participacion de sanciones del impuesto sobre vehiculos automotores)</t>
  </si>
  <si>
    <t>1,2,3,2,07-168 - OTRAS MULTAS, SANCIONES E INTERESES DE MORA (MULTAS TRANSITO Y TRANSPORTE)</t>
  </si>
  <si>
    <t>1,3,3,4,15-93-021 R,B, SERVICIOS DE TRANSITO Y TRANSPORTE</t>
  </si>
  <si>
    <t>1,3,3,3,03-93-079 R,B, IMPUESTO SOBRE VEHICULOS AUTOMOTORES RENDIMIENTOS DATT</t>
  </si>
  <si>
    <t>DEPARTAMENTO ADMINISTRATIVO DE VALORIZACION</t>
  </si>
  <si>
    <t>2,3,3205,0900,2020130010239</t>
  </si>
  <si>
    <t>1,3,3,4,03-93-043 R,B, OTRAS CONTRIBUCIONES - CONTRIBUCION VALORIZACION</t>
  </si>
  <si>
    <t>CONSTRUCCION SISTEMA HIDRICO Y PLAN MAESTRO DE DRENAJES PLUVIALES EN LA CIUDAD DE CARTAGENA PARA SALVAR EL HABITAT CARTAGENA DE INDIAS</t>
  </si>
  <si>
    <t>2,3,3207,0900,2020130010241</t>
  </si>
  <si>
    <t>CONSTRUCCION PROTECCION COSTERA DE CARTAGENA CIUDAD DE BORDES Y ORILLAS RESILIENTE  CARTAGENA DE INDIAS</t>
  </si>
  <si>
    <t>1,3,3,4,21-93-003 R,B, VENTA DE BIENES Y SERVICIOS CERTIFICADOS PAZ Y SALVO VALORIZACION</t>
  </si>
  <si>
    <t>1,3,3,4,21-95-003 R,B, VENTA DE BIENES Y SERVICIOS CERTIFICADOS PAZ Y SALVO VALORIZACION</t>
  </si>
  <si>
    <t>1,3,2,3,05-023 - OTROS RENDIMIENTOS FINANCIEROS VALORIZACION</t>
  </si>
  <si>
    <t>1,2,3,2,02-043 - OTRAS CONTRIBUCIONES - CONTRIBUCION VALORIZACION</t>
  </si>
  <si>
    <t>2,3,2402,0600,2021130010154</t>
  </si>
  <si>
    <t xml:space="preserve">DISE?O Y CONSTRUCCION DE VIAS POR CONTRIBUCION DE VALORIZACION DENTRO DEL PROGRAMA  CARTAGENA SE CONECTA  CARTAGENA DE INDIAS </t>
  </si>
  <si>
    <t>CONSTRUCCION SISTEMA HIDRICO Y PLAN MAESTRO DE DRENAJES PLUVIALES EN LA CIUDAD DE CARTAGENA PARA SALVAR EL HABITAT  CARTAGENA DE INDIAS</t>
  </si>
  <si>
    <t>ESCUELA DE GOBIERNO</t>
  </si>
  <si>
    <t>2,3,4502,1000,2021130010231</t>
  </si>
  <si>
    <t>FORMACION DE LA CIUDADANIA LIBRE INCLUYENTE Y TRANSFORMADORA PARA LA DEMOCRACIA 2022 2023</t>
  </si>
  <si>
    <t>2,3,4502,1000,2021130010240</t>
  </si>
  <si>
    <t>FORMACION INVESTIGACION PREMIOS JORGE PIEDRAHITA ADUEN</t>
  </si>
  <si>
    <t>2,3,4599,1000,2021130010232</t>
  </si>
  <si>
    <t>FORMACION DESARROLLO DE LAS COMPETENCIAS DE LOS SERVIDORES Y SERVIDORAS PUBLICAS DEL DISTRITO DE CARTAGENA DE INDIAS</t>
  </si>
  <si>
    <t>2,3,4599,1000,2021130010242</t>
  </si>
  <si>
    <t>FORMACION MI ORGULLO ES CARTAGENA</t>
  </si>
  <si>
    <t>2,3,4599,1000,2021130010241</t>
  </si>
  <si>
    <t xml:space="preserve">DESARROLLO E IMPLEMENTACION DEL CURSO DE FORMACION VIRTUAL EN LA ESCUELA DE GOBIERNO DEL DISTRITO DE CARTAGENA DE INDIAS </t>
  </si>
  <si>
    <t>2,3,4599,1000,2021130010238</t>
  </si>
  <si>
    <t>FORMULACION AGENDA PROSPECTIVA DE CIUDAD NUESTRA CARTAGENA SO?ADA CARTAGENA DE INDIAS</t>
  </si>
  <si>
    <t>INSTITUTO DE DEPORTE Y RECREACION</t>
  </si>
  <si>
    <t>1,3,3,2,00-93-097 R,B, ICDE IDER 3% ICA</t>
  </si>
  <si>
    <t>CONSERVACION, MANTENIMIENTO Y MEJORAMIENTO DE LOS ESCENARIOS DEPORTIVOS DE LA CIUDAD COMO ESTRATEGIA DE PRESERVACION DEL PATRIMONIO MATERIAL DEL DISTRITO DE   CARTAGENA DE INDIAS</t>
  </si>
  <si>
    <t>1,3,3,2,00-95-097 R,B, ICDE IDER 3% ICA</t>
  </si>
  <si>
    <t>2,3,4301,1604,2020130010194</t>
  </si>
  <si>
    <t>FORTALECIMIENTO DEL DEPORTE ESTUDIANTIL MEDIANTE LA IMPLEMENTACION DE LOS JUEGOS INTERCOLEGIADOS Y UNIVERSITARIOS EN EL DISTRITO DE   CARTAGENA DE INDIAS</t>
  </si>
  <si>
    <t>2,3,4301,1604,2021130010011</t>
  </si>
  <si>
    <t>INTEGRACION COMUNITARIA A TRAVES DEL DEPORTE COMO HERRAMIENTA PARA LA INCLUSION SOCIAL DESDE LOS DIFERENTES ENFOQUES POBLACIONALES CARTAGENA DE INDIAS</t>
  </si>
  <si>
    <t>2,3,4302,1604,2021130010270</t>
  </si>
  <si>
    <t>IMPLEMENTACION DEL OBSERVATORIO DE CIENCIAS APLICADAS AL DEPORTE, LA RECREACION, LA ACTIVIDAD FISICA Y EL APROVECHAMIENTO DEL TIEMPO LIBRE EN EL DISTRITO DE CARTAGENA DE INDIAS</t>
  </si>
  <si>
    <t>2,3,4301,1604,2020130010053</t>
  </si>
  <si>
    <t>1,3,3,3,19-95-025 R,B, TASA PRODEPORTE Y RECREACION</t>
  </si>
  <si>
    <t>DESARROLLO DE LA ESCUELA DE INICIACION Y FORMACION DEPORTIVA - EIFD EN EL DISTRITO DE CARTAGENA DE INDIAS</t>
  </si>
  <si>
    <t>1,3,3,8,01-93-122 R,B, SGP DEPORTE</t>
  </si>
  <si>
    <t>1,3,3,8,01-95-059 - R,B, SGP DEPORTE</t>
  </si>
  <si>
    <t>DESARROLLO DE LA ESCUELA DE INICIACION Y FORMACION DEPORTIVA - EIFD EN EL DISTRITO DE  CARTAGENA DE INDIAS</t>
  </si>
  <si>
    <t>2,3,4301,1604,2020130010055</t>
  </si>
  <si>
    <t>MEJORAMIENTO DE LOS ESTILOS DE VIDA MEDIANTE LA PROMOCION MASIVA DE UNA VIDA ACTIVA DE LA CIUDADANIA EN EL DISTRITO DE  CARTAGENA DE INDIAS</t>
  </si>
  <si>
    <t>2,3,4301,1604,2021130010230</t>
  </si>
  <si>
    <t>RECREACION COMUNITARIA Y APROVECHAMIENTO DEL TIEMPO LIBRE, COMO MECANISMO DE COHESION E INTEGRACION SOCIAL EN EL DISTRITO DE   CARTAGENA DE INDIAS</t>
  </si>
  <si>
    <t>2,3,4302,1604,2020130010038</t>
  </si>
  <si>
    <t>CONSOLIDACION DEL SISTEMA DEPORTIVO DISTRITAL MEDIANTE UNA ESTRATEGIA DE ESTIMULOS Y/O APOYOS A LAS ORGANIZACIONES DEPORTIVAS Y DEPORTISTAS DE ALTOS LOGROS-0  CARTAGENA DE INDIAS</t>
  </si>
  <si>
    <t>1,3,3,8,01-95-122 R,B, SGP DEPORTE</t>
  </si>
  <si>
    <t>1,3,3,1,00-95-001 RB DE LIBRE DESTINACION</t>
  </si>
  <si>
    <t>CONSERVACION , MANTENIMIENTO Y MEJORAMIENTO DE LOS ESCENARIOS DEPORTIVOS DE LA CIUDAD COMO ESTRATEGIA DE PRESERVACION DEL PATRIMONIO MATERIAL DEL DISTRITO DE   CARTAGENA DE INDIAS ? DEFICIT</t>
  </si>
  <si>
    <t>1,3,1,1,02-03 -EXCEDENTES FINANCIEROS IDER</t>
  </si>
  <si>
    <t>DESARROLLO DE LA ESCUELA DE INICIACION Y FORMACION DEPORTIVA EIFD EN EL DISTRITO DE CARTAGENA DE INDIAS</t>
  </si>
  <si>
    <t>MEJORAMIENTO DE LOS ESTILOS DE VIDA MEDIANTE LA PROMOCION MASIVA DE UNA VIDA ACTIVA DE LA CIUDADANIA EN EL DISTRITO DE CARTAGENA DE INDIAS - DEFICIT</t>
  </si>
  <si>
    <t>RECREACION COMUNITARIA Y APROVECHAMIENTO DEL TIEMPO LIBRE, COMO MECANISMO DE COHESION E INTEGRACION SOCIAL EN EL DISTRITO DE   CARTAGENA DE INDIAS - DEFICIT</t>
  </si>
  <si>
    <t>1,2,3,2,05-025 - OTRAS TASAS Y DERECHOS ADMINISTRATIVOS TASA PRODEPORTE</t>
  </si>
  <si>
    <t>IMPLEMENTACION DEL OBSERVATORIO DE CIENCIAS APLICADAS AL DEPORTE, LA RECREACION, LA ACTIVIDAD FISICA Y EL APROVECHAMIENTO DEL TIEMPO LIBRE EN EL DISTRITO DE  CARTAGENA DE INDIAS</t>
  </si>
  <si>
    <t>1,2,4,3,01-059 - SGP DEPORTE</t>
  </si>
  <si>
    <t>CONSERVACION , MANTENIMIENTO Y MEJORAMIENTO DE LOS ESCENARIOS DEPORTIVOS DE LA CIUDAD COMO ESTRATEGIA DE PRESERVACION DEL PATRIMONIO MATERIAL DEL DISTRITO DE   CARTAGENA DE INDIAS</t>
  </si>
  <si>
    <t>INTEGRACION COMUNITARIA A TRAVES DEL DEPORTE COMO HERRAMIENTA PARA LA INCLUSION SOCIAL DESDE LOS DIFERENTES ENFOQUES POBLACIONALES  CARTAGENA DE INDIAS</t>
  </si>
  <si>
    <t>1,2,3,3,01-092 - PARTICIPACIONES DISTINTAS DEL SGP (IMPUESTO AL CONSUMO DE CIGARRILLOS Y TABACO)</t>
  </si>
  <si>
    <t>1,2,2,0,00-097 - ICDE IDER 3% ICA</t>
  </si>
  <si>
    <t>1,3,2,2,08-122 - RF SGP DEPORTE</t>
  </si>
  <si>
    <t>1,2,3,2,09-135 - VENTA DE BIENES Y SERVICIOS IDER</t>
  </si>
  <si>
    <t>1,3,2,3,05-011 - OTROS RENDIMIENTOS FINANCIEROS IDER</t>
  </si>
  <si>
    <t>1,2,3,1,12-024 - IMPUESTO DE ESPECTACULOS PUBLICOS NACIONAL IDER</t>
  </si>
  <si>
    <t>FONDO DE VIVIENDA DE INTERES SOCIAL Y REFORMA URBANA</t>
  </si>
  <si>
    <t>2,3,4001,1400,2020130010152</t>
  </si>
  <si>
    <t>1,3,3,2,00-95-039 R,B, ICDE-CORVIVIENDA 15% IPU</t>
  </si>
  <si>
    <t>APLICACION A SUBSIDIOS FAMILIARES DE VIVIENDA PARA LA POBLACION BENEFICIADA DEL PROGRAMA JUNTOS POR UNA VIVIENDA DIGNA DE LA CIUDAD DE CARTAGENA DE INDIAS</t>
  </si>
  <si>
    <t>APLICACION A SUBSIDIOS FAMILIARES DE VIVIENDA PARA LA POBLACION BENEFICIADA DEL PROGRAMA JUNTOS POR UNA VIVIENDA DIGNA DE LA CIUDAD DE  CARTAGENA DE INDIAS</t>
  </si>
  <si>
    <t>2,3,4002,1400,2020130010308</t>
  </si>
  <si>
    <t>1,2,2,0,00-039 - ICDE-CORVIVIENDA 15% IPU</t>
  </si>
  <si>
    <t>ELABORACION DE ESTUDIOS Y TRAMITES DE LEGALIZACION URBANISTICA DE BARRIOS DEL PROGRAMA MI CASA MI ENTORNO MI HABITAT DE LA CIUDAD DE CARTAGENA DE INDIAS</t>
  </si>
  <si>
    <t>2,3,4002,1400,2020130010307</t>
  </si>
  <si>
    <t>ELABORACION DE ESTUDIOS PARA LA FORMULACION YO PARTICIPACION EN PLANES PARCIALES DEL PROGRAMA MI CASA MI ENTORNO MI HABITAT DE LA CIUDAD DE CARTAGENA DE INDIAS</t>
  </si>
  <si>
    <t>2,3,4002,1400,2020130010306</t>
  </si>
  <si>
    <t>ELABORACION DE ESTUDIOS SECTORIALES Y SEGUIMIENTO A LA LINEA ESTRATEGICA DE VIVIENDA A TRAVES DE UN OBSERVATORIO DE VIVIENDA DE INTERES SOCIAL DEL PROGRAMA MI CASA MI ENTORNO MI HABITAT DE LA CIUDAD DE CARTAGENA DE INDIAS</t>
  </si>
  <si>
    <t>2,3,4001,1400,2021130010167</t>
  </si>
  <si>
    <t>ELABORACION DE DTS Y ADQUISICION DE TIERRAS POR ENAJENACION, EXPROPIACION, EXTINCION DE DOMINIO, CESION, DONACION Y/O COMPRAVENTA PARA LA CONSTRUCCION DE VIVIENDA VIS/VIP DEL PROGRAMA UN LUGAR APTO PARA MI HOGAR CARTAGENA DE INDIAS</t>
  </si>
  <si>
    <t>2,3,4001,1400,2020130010154</t>
  </si>
  <si>
    <t>Titulacion y/o legalizacion de predios para la poblacion beneficiada del programa mi casa a lo legal de la ciudad de  Cartagena de Indias</t>
  </si>
  <si>
    <t>2,3,4001,1400,2020130010153</t>
  </si>
  <si>
    <t>MEJORAMIENTO DE LAS CONDICIONES DE HABITABILIDAD PARA LA POBLACION BENEFICIADA DEL SECTOR URBANO Y RURAL DEL PROGRAMA MEJORO MI CASA, COMPROMISO DE TODOS DEL DISTRITO DE   CARTAGENA DE INDIAS</t>
  </si>
  <si>
    <t>TITULACION Y/O LEGALIZACION DE PREDIOS PARA LA POBLACION BENEFICIADA DEL PROGRAMA MI CASA A LO LEGAL DE LA CIUDAD DE  CARTAGENA DE INDIAS</t>
  </si>
  <si>
    <t>INSTITUTO DE PATRIMONIO Y CULTURA DE CARTAGENA DE INDIAS</t>
  </si>
  <si>
    <t>2,3,3302,1603,2021130010255</t>
  </si>
  <si>
    <t>FORTALECIMIENTO Y SALVAGUARDIA DE LAS PRACTICAS SIGNIFICATIVAS DEL PATRIMONIO INMATERIAL EN EL DISTRITO DE CARTAGENA DE INDIAS</t>
  </si>
  <si>
    <t>2,3,3301,1603,2020130010218</t>
  </si>
  <si>
    <t>1,3,3,2,00-93-085 R,B,  ICDE IPCC 20% DELINEACION URBANA</t>
  </si>
  <si>
    <t>MANTENIMIENTO DE LA INFRAESTRUCTURA CULTURAL PARA LA INCLUSION EN EL DISTRITO DE  CARTAGENA DE INDIAS</t>
  </si>
  <si>
    <t>2,3,3399,1603,2020130010163</t>
  </si>
  <si>
    <t>PROTECCION Y GARANTIA DE LOS DERECHOS CULTURALES EN EL DISTRITO DE  CARTAGENA DE INDIAS</t>
  </si>
  <si>
    <t>2,3,3301,1603,2020130010042</t>
  </si>
  <si>
    <t>1,2,4,3,02-057 - SGP CULTURA</t>
  </si>
  <si>
    <t>FORTALECIMIENTO DE LOS PROCESOS DE MEDIACION Y BIBLIOTECAS PARA LA INCLUSION EN EL DISTRITO DE  CARTAGENA DE INDIAS</t>
  </si>
  <si>
    <t>2,3,3301,1603,2020130010043</t>
  </si>
  <si>
    <t>FORTALECIMIENTO DE ESTIMULOS PARA LAS ARTES Y LA CULTURA EN EL DISTRITO DE  CARTAGENA DE INDIAS</t>
  </si>
  <si>
    <t>2,3,3301,1603,2020130010045</t>
  </si>
  <si>
    <t>FORMACION Y DIVULGACION PARA LAS ARTES Y EL EMPRENDIMIENTO EN EL DISTRITO DE  CARTAGENA DE INDIAS</t>
  </si>
  <si>
    <t>2,3,3301,1603,2021130010005</t>
  </si>
  <si>
    <t>FORTALECIMIENTO Y MODERNIZACION INSTITUCIONAL DEL INSTITUTO DE PATRIMONIO Y CULTURA (IPCC) EN EL DISTRITO DE CARTAGENA DE INDIAS</t>
  </si>
  <si>
    <t>2,3,3302,1603,2020130010213</t>
  </si>
  <si>
    <t>FORTALECIMIENTO A LA APROPIACION SOCIAL Y DIVULGACION DEL PATRIMONIO MATERIAL EN EL DISTRITO DE  CARTAGENA DE INDIAS</t>
  </si>
  <si>
    <t>2,3,3302,1603,2021130010006</t>
  </si>
  <si>
    <t xml:space="preserve">FORTALECIMIENTO DE PLANES ESPECIALES DE SALVAGUARDIA PARA INCLUSION DE LAS MANIFESTACIONES CULTURALES EN EL DISTRITO DE CARTAGENA DE INDIAS </t>
  </si>
  <si>
    <t>2,3,3302,1603,2021130010265</t>
  </si>
  <si>
    <t>FORTALECIMIENTO SALVAGUARDA VALORACION CUIDADO Y CONTROL DEL PATRIMONIO MATERIAL EN EL DISTRITO DE CARTAGENA DE INDIAS</t>
  </si>
  <si>
    <t>1,3,2,3,05-073 - OTROS RENDIMIENTOS FINANCIEROS IPCC</t>
  </si>
  <si>
    <t>1,2,3,1,19-082 - ESTAMPILLAS PROCULTURA</t>
  </si>
  <si>
    <t>1,2,2,0,00-083 - ICDE IPCC 20% DELINEACION URBANA</t>
  </si>
  <si>
    <t>1,3,2,2,08-123 - RF SGP CULTURA</t>
  </si>
  <si>
    <t>1,2,3,1,12-134 - IMPUESTO DE ESPECTACULOS PUBLICOS NACIONAL IPCC</t>
  </si>
  <si>
    <t>1,2,3,2,07-166 - OTRAS MULTAS, SANCIONES E INTERESES DE MORA (SANCION IPCC)</t>
  </si>
  <si>
    <t>2,3,3302,1603,2021130010134</t>
  </si>
  <si>
    <t>DESARROLLO DEL FESTIVAL DE MEMORIA ORAL UNA ESTRATEGIA PARA LA SOSTENIBILIDAD CULTURAL COMO GARANTIA DE PERMANENCIA DE LOS VALORES CULTURALES EN EL DISTRITO DE CARTAGENA DE INDIAS</t>
  </si>
  <si>
    <t>2,3,3301,1603,2021130010264</t>
  </si>
  <si>
    <t>INVESTIGACION Y DIVULGACION CULTURAL SOBRE EL IMPACTO DE LA CORRUPCION EN EL MARCO DEL PREMIO JORGE PIEDRAHITA ADUEN EN EL DISTRITO DE CARTAGENA DE INDIAS</t>
  </si>
  <si>
    <t>1,2,3,2,09-032- VENTA DE BIENES Y SERVICIOS TEATRO ADOLFO MEJIA</t>
  </si>
  <si>
    <t>1,3,3,8,02-93-123 R,B, SGP CULTURA</t>
  </si>
  <si>
    <t>FORMACION Y DIVULGACION PARA LAS ARTES Y EL EMPRENDIMIENTO EN EL DISTRITO DE CARTAGENA DE INDIAS</t>
  </si>
  <si>
    <t>1,3,3,3,12-95-134 R,B, IMPUESTO DE ESPECTACULOS PUBLICOS</t>
  </si>
  <si>
    <t>MANTENIMIENTO DE LA INFRAESTRUCTURA CULTURAL PARA LA INCLUSION EN EL DISTRITO DE CARTAGENA DE INDIAS</t>
  </si>
  <si>
    <t>2,3,3301,1603,2021130010090</t>
  </si>
  <si>
    <t>DESARROLLO DE ACTIVIDADES CULTURALES Y ARTISTICAS PARA LOS JOVENES ENTRE 14 Y 28 A?OS DEL DISTRITO DE   CARTAGENA DE INDIAS</t>
  </si>
  <si>
    <t>1,2,3,2,09-012 - VENTA DE BIENES Y SERVICIOS IPCC</t>
  </si>
  <si>
    <t>ESTABLECIMIENTO PUBLICO AMBIENTAL-EPA</t>
  </si>
  <si>
    <t>2,3,3299,0900,2020130010183</t>
  </si>
  <si>
    <t>1,3,3,4,02-93-031- R,B, CONTRIBUCION DEL SECTOR ELECTRICO</t>
  </si>
  <si>
    <t>IMPLEMENTACION DEL SISTEMA DE MONITOREO INTELIGENTE AMBIENTAL CARTAGENA DE INDIAS</t>
  </si>
  <si>
    <t>2,3,3202,0900,2021130010191</t>
  </si>
  <si>
    <t>IMPLEMENTACION DE UN SISTEMA DE ARBOLADO URBANO EN LA CIUDAD DE CARTAGENA DE INDIAS,</t>
  </si>
  <si>
    <t>2,3,3202,0900,2021130010197</t>
  </si>
  <si>
    <t>RECUPERACION DE AREAS AMBIENTALES DEGRADADAS CARTAGENA DE INDIAS</t>
  </si>
  <si>
    <t>2,3,3203,0900,2021130010198</t>
  </si>
  <si>
    <t>IMPLEMENTACION DE LA GESTION INTEGRAL DEL RECUSROS HIDRICO CARTAGENA DE INDIAS</t>
  </si>
  <si>
    <t>2,3,3204,0900,2021130010217</t>
  </si>
  <si>
    <t>1,3,3,4,18-93-010- R,B, MULTAS AMBIENTALES EPA</t>
  </si>
  <si>
    <t>FORTALECIMIENTO DE EPA MODERNA EFICIENTE Y TRANSPARENTE EN EL DISTRITO DE CARTAGENA DE INDIAS</t>
  </si>
  <si>
    <t>1,3,3,4,04-93-014 - R,B, TASAS RETRIBUTIVAS</t>
  </si>
  <si>
    <t>2,3,3299,0900,2020130010203</t>
  </si>
  <si>
    <t>1,3,3,4,12-93-094- R,B, SOBRETASA AMBIENTAL - PEAJES</t>
  </si>
  <si>
    <t>IMPLEMENTACION DEL SISTEMA DE GESTION HIDRICA DE LA CIENAGA DE LA VIRGEN Y RECUPERACION DEL MANGLAR DE CARTAGENA DE INDIAS MONITOREO INTELIGENTE AMBIENTAL CARTAGENA DE INDIAS</t>
  </si>
  <si>
    <t>2,3,3201,0900,2020130010179</t>
  </si>
  <si>
    <t>GENERACION DE NEGOCIOS VERDES, ECONOMIA CIRCULAR, PRODUCCION Y CONSUMO SOSTENIBLE, NEGOCIOS VERDES INCLUSIVOS EN LA CIUDAD DE   CARTAGENA DE INDIAS</t>
  </si>
  <si>
    <t>2,3,3202,0900,2020130010216</t>
  </si>
  <si>
    <t>DOTACION Y ADECUACION DEL CENTRO DE ATENCION VALORACION Y REHABILITACION DE FAUNA SILVESTRE (CAVR BOCANA) DEL EPA CARTAGENA DE INDIAS</t>
  </si>
  <si>
    <t>IMPLEMENTACION DE UN SISTEMA DE ARBOLADO URBANO EN LA CIUDAD DE  CARTAGENA DE INDIAS</t>
  </si>
  <si>
    <t>RECUPERACION DE AREAS AMBIENTALMENTE DEGRADADAS  CARTAGENA DE INDIAS</t>
  </si>
  <si>
    <t>2,3,3202,0900,2021130010200</t>
  </si>
  <si>
    <t>IMPLEMENTACION DE UN ORDENAMIENTO PARA EL DESARROLLO AMBIENTAL EN EL AREA DE JURISDICCION DEL ESTABLECIMIENTO PUBLICO AMBIENTAL DE   CARTAGENA DE INDIAS</t>
  </si>
  <si>
    <t>FORTALECIMIENTO DE EPA MODERNA EFICIENTE Y TRANSPARENTE EN EL DISTRITO DE  CARTAGENA DE INDIAS</t>
  </si>
  <si>
    <t>2,3,3206,0900,2021130010201</t>
  </si>
  <si>
    <t>FORMULACION Y ADOPCION DEL PLAN INTEGRAL DE GESTION DEL CAMBIO CLIMATICO PIACC DEL DISTRITO DE CARTAGENA DE INDIAS EN EL MARCO DE LO DISPUESTO POR LA LEY 1931 DEL 2018 BOLIVAR</t>
  </si>
  <si>
    <t>IMPLEMENTACION DEL SISTEMA DE MONITOREO INTELIGENTE AMBIENTAL   CARTAGENA DE INDIAS</t>
  </si>
  <si>
    <t>1,2,3,2,03-014 - TASA RETRIBUTIVA</t>
  </si>
  <si>
    <t>IMPLEMENTACION DE LA GESTION INTEGRAL DEL RECURSO HIDRICO  CARTAGENA DE INDIAS</t>
  </si>
  <si>
    <t xml:space="preserve">1,2,3,2,12-031 - CONTRIBUCCION DEL SECTOR ELECTRICO - GENERAL </t>
  </si>
  <si>
    <t>2,3,3204,0900,2021130010223</t>
  </si>
  <si>
    <t>1,3,2,3,05-063 - OTROS RENDIMIENTOS FINANCIEROS EPA</t>
  </si>
  <si>
    <t>FORTALECIMIENTO DE LA INVESTIGACION E INNOVACION PARA LA GESTION AMBIENTAL SOSTENIBLE EN EL DISTRITO DE  CARTAGENA DE INDIAS</t>
  </si>
  <si>
    <t>2,3,3208,0900,2020130010201</t>
  </si>
  <si>
    <t>FORTALECIMIENTO DE LA EDUCACION Y CULTURA AMBIENTAL EN EL DISTRITO DE  CARTAGENA DE INDIAS</t>
  </si>
  <si>
    <t>1,2,3,2,05-094 - OTRAS TASAS Y DERECHOS ADMINISTRATIVOS SOBRETASA PEAJE</t>
  </si>
  <si>
    <t>IMPLEMENTACION SISTEMA DE GESTION HIDRICA DE LA CIENAGA DE LA VIRGEN Y RECUPERACION DEL MANGLAR DE CARTAGENA DE INDIAS</t>
  </si>
  <si>
    <t>1,3,1,1,02-05 -EXCEDENTES FINANCIEROS EPA</t>
  </si>
  <si>
    <t>FORTALECIMIENTO DE LA INVESTIGACION E INNOVACION PARA LA GESTION AMBIENTAL SOSTENIBLE EN EL DISTRITO DE CARTAGENA DE INDIAS</t>
  </si>
  <si>
    <t xml:space="preserve"> FORTALECIMIENTO DE LA EDUCACION Y CULTURA AMBIENTAL EN EL DISTRITO DE CARTAGENA DE INDIAS</t>
  </si>
  <si>
    <t>FORTALECIMIENTO DE LA EDUCACION Y CULTURA AMBIENTAL EN EL DISTRITO DE CARTAGENA DE INDIAS</t>
  </si>
  <si>
    <t>DISTRISEGURIDAD</t>
  </si>
  <si>
    <t>2,3,4501,1000,2021130010180</t>
  </si>
  <si>
    <t>1,3,1,1,02-01 - EXCEDENTES DISTRISEGURIDAD</t>
  </si>
  <si>
    <t>IMPLEMENTACION Y SOSTENIMIENTO DE HERRAMIENTAS TECCNOLOGICAS PARA SEGURIDAD Y SOCORRO EN CARTAGENA DE INDIAS</t>
  </si>
  <si>
    <t>2,3,4501,1000,2021130010192</t>
  </si>
  <si>
    <t>FORTALECIMIENTO LOGISTICO PARA LA SEGURIDAD, CONVIVENCIA, JUSTICIA Y SOCORRO EN CARTAGENA DE INDIAS</t>
  </si>
  <si>
    <t>2,3,4501,1000,2021130010279</t>
  </si>
  <si>
    <t>1,3,3,4,21-95-084 - RB RENDIMIENTOS FINANCIEROS DISTRISEGURIDAD</t>
  </si>
  <si>
    <t>IMPLEMENTACION DEL PROGRAMA VIGILANCIA DE LAS PLAYAS DEL DISTRITO DE CARTAGENA DE INDIAS</t>
  </si>
  <si>
    <t>1,3,3,2,00-95-051 RB ICDE DISTRISEGURIDAD 1% IPU</t>
  </si>
  <si>
    <t>1,3,3,2,00-95-037 RECURSOS DEL BALANCE DE DESTINACION ESPECIFICA POR ACTO ADMINISTRATIVO RF ICLD</t>
  </si>
  <si>
    <t>FORTALECIMIENTO LOGISTICO PARA LA SEGURIDAD, CONVIVENCIA, JUSTICIA Y SOCORRO EN CARTAGENA DE INDIAS CARTAGENA DE INDIAS</t>
  </si>
  <si>
    <t>1,3,3,2,00-93-083 RB  ICDE DISTRISEGURIDAD 10% DELINEACION URBANA</t>
  </si>
  <si>
    <t>1,2,2,0,00-085 - ICDE DISTRISEGURIDAD 10% DELINEACION URBANA</t>
  </si>
  <si>
    <t>FORTALECIMIENTO LOGISTICO PARA LA SEGURIDAD, CONVIVENCIA, JUSTICIA Y SOCORRO EN  CARTAGENA DE INDIAS  CARTAGENA DE INDIAS</t>
  </si>
  <si>
    <t>IMPLEMENTACION Y SOSTENIMIENTO DE HERRAMIENTAS TECNOLOGICAS PARA LA SEGURIDAD Y SOCORRO EN</t>
  </si>
  <si>
    <t>1,3,2,3,05-084 - OTROS RENDIMIENTOS FINANCIEROS DISTRISEGURIDAD</t>
  </si>
  <si>
    <t>1,2,2,0,00-076 - ICDE IMPUESTO A LA TELEFONIA BASICA CONMUTADA</t>
  </si>
  <si>
    <t>IMPLEMENTACION DEL PROGRAMA VIGILANCIA DE LAS PLAYAS DEL DISTRITO DE  CARTAGENA DE INDIAS</t>
  </si>
  <si>
    <t>1,2,2,0,00-051 - ICDE DISTRISEGURIDAD 1% IPU</t>
  </si>
  <si>
    <t>1,3,2,3,05-037 - OTROS RENDIMIENTOS FINANCIEROS ICLD</t>
  </si>
  <si>
    <t>2,3,4501,1000,2021130010176</t>
  </si>
  <si>
    <t>CONSTRUCCION DE CONVIVENCIA PARA LA SEGURIDAD EN CARTAGENA DE INDIAS CARTAGENA DE INDIAS</t>
  </si>
  <si>
    <t>LOCALIDAD INDUSTRIAL Y DE LA BAHIA</t>
  </si>
  <si>
    <t>2,3,4102,1500,2021130010083</t>
  </si>
  <si>
    <t>FORTALECIMIENTO DE LOS PROCESOS DE FORMACION SOBRE LOS DERECHOS DE LOS NI?OS NI?AS Y ADOLESCENTES EN LA LOCALIDAD INDUSTRIAL Y DE LA BAHIA,  CARTAGENA DE INDIAS</t>
  </si>
  <si>
    <t>2,3,4104,1500,2021130010087</t>
  </si>
  <si>
    <t>FORTALECIMIENTO A LA ATENCION INCLUSIVA DE LAS PERSONAS CON DISCAPACIDAD EN LA LOCALIDAD INDUSTRIAL Y DE LA BAHIA,  CARTAGENA DE INDIAS</t>
  </si>
  <si>
    <t>2,3,0000,0000,0000130012303</t>
  </si>
  <si>
    <t>2,3,1702,1100,2021130010085</t>
  </si>
  <si>
    <t>FORTALECIMIENTO DE LA INCLUSION ETNICA EN LA LOCALIDAD INDUSTRIAL Y DE LA BAHIA,  CARTAGENA DE INDIAS</t>
  </si>
  <si>
    <t>2,3,4104,1500,2021130010088</t>
  </si>
  <si>
    <t>FORTALECIMIENTO A LA ATENCION INTEGRAL DE LOS ADULTOS MAYORES DE LA LOCALIDAD INDUSTRIAL Y DE LA BAHIA,  CARTAGENA DE INDIAS</t>
  </si>
  <si>
    <t>2,3,4301,1604,2021130010082</t>
  </si>
  <si>
    <t>FORTALECIMIENTO DEL DEPORTE RECREACION Y LUDICA DE LOS HABITANTES DE LA LOCALIDAD INDUSTRIAL Y DE LA BAHIA CARTAGENA DE INDIAS</t>
  </si>
  <si>
    <t>2,3,4501,1000,2021130010045</t>
  </si>
  <si>
    <t>IMPLEMENTACION DE PROTECCION Y ATENCION A LOS ANIMALES EN CONDICION DE CALLE EVITANDO SU REPRODUCCION Y PREVINIENDO EL ABANDONO DE ANIMALES A TRAVES DE CAMPA?AS MASIVAS EN LA LOCALIDAD INDUSTRIAL Y DE LA BAHIA CARTAGENA DE INDIAS</t>
  </si>
  <si>
    <t>2,3,4501,1000,2021130010062</t>
  </si>
  <si>
    <t>ASISTENCIA MUJER LIBRE DE VIOLENCIA EN LA LOCALIDAD INDUSTRIAL Y DE LA BAHIA   CARTAGENA DE INDIAS</t>
  </si>
  <si>
    <t>2,3,4501,1000,2021130010065</t>
  </si>
  <si>
    <t>FORTALECIMIENTO DE ESTRATEGIAS PARA GARANTIZAR EL DERECHO FUNDAMENTAL A LA VIDA Y LA INTEGRIDAD PERSONAL EN LA LOCALIDAD INDUSTRIAL Y DE LA BAHIA CARTAGENA DE INDIAS</t>
  </si>
  <si>
    <t>2,3,4502,1000,2021130010089</t>
  </si>
  <si>
    <t>FORTALECIMIENTO DE LAS ORGANIZACIONES Y LIDERES COMUNITARIOS PARA LA PARTICIPACION LOCAL EN LA LOCALIDAD INDUSTRIAL Y DE LA BAHIA,  CARTAGENA DE INDIAS</t>
  </si>
  <si>
    <t>2,3,4502,1000,2021130010093</t>
  </si>
  <si>
    <t>FORMACION DE LA POBLACION JUVENIL DE LA LOCALIDAD PARA FOMENTAR SU PARTICIPACION CIUDADANA EN LA LOCALIDAD INDUSTRIAL Y DE LA BAHIA,  CARTAGENA DE INDIAS</t>
  </si>
  <si>
    <t>2,3,4599,1000,2021130010073</t>
  </si>
  <si>
    <t>FORTALECIMIENTO DEL CONSEJO LOCAL DE PLANEACION Y DE LOS CONSEJOS COMUNEROS DE GOBIERNOS URBANOS Y RURALES EN LA LOCALIDAD INDUSTRIAL Y DE LA BAHIA CARTAGENA DE INDIAS</t>
  </si>
  <si>
    <t>2,3,4502,1500,2021130010123</t>
  </si>
  <si>
    <t>FORTALECIMIENTO DE PROCESOS DE RECONOCIMIENTO Y PROMOCION DE LA DIVERSIDAD SEXUAL EN MEDIO DE LA COMUNIDAD DE LA LOCALIDAD INDUSTRIAL Y DE LA BAHIA, CARTAGENA DE INDIAS,</t>
  </si>
  <si>
    <t>2,3,3604,1300,2021130010063</t>
  </si>
  <si>
    <t>FORMACION PARA IMPULSAR LOS ESPACIOS Y PROCESOS DE PARTICIPACION DE LAS MUJERES PARA EL PLENO GOCE DE SUS DERECHOS EN LA LOCALIDAD INDUSTRIAL Y DE LA BAHIA CARTAGENA DE INDIAS</t>
  </si>
  <si>
    <t>2,3,3602,1300,2021130010051</t>
  </si>
  <si>
    <t>FORMACION EN ECONOMIA INCLUSIVA COMPETITIVIDAD Y GENERACION DE EMPLEO PARA EL DESARROLLO DE LA ECONOMIA LOCAL EN LA LOCALIDAD INDUSTRIAL Y DE LA BAHIA CARTAGENA DE INDIAS</t>
  </si>
  <si>
    <t>2,3,3602,1300,2021130010050</t>
  </si>
  <si>
    <t>APOYO EL DESARROLLO ECONOMICO SOSTENIBLE E INCLUYENTE DE LA LOCALIDAD PROMOVIENDO LA FORMACION EL EMPRENDIMIENTO Y BRINDANDO LAS ASESORIAS NECESARIAS PARA EL FORTALECIMIENTO DE LA COMPETITIVIDAD Y EMPLEABILIDAD LOCAL CARTAGENA DE INDIAS</t>
  </si>
  <si>
    <t>2,3,3602,1300,2021130010049</t>
  </si>
  <si>
    <t>FORMACION PARA PROMOVER EL EJERCICIO Y GARANTIA DE LOS DERECHOS ECONOMICOS DE LAS MUJERES COMPETENCIAS LABORALES Y EMPRESARIALES QUE LES PERMITA MEJORAR SUS INGRESOS Y SU AUTONOMICA ECONOMICA A TRAVES DE INICIATIVAS PRODUCTIVAS CARTAGENA DE INDIAS</t>
  </si>
  <si>
    <t>2,3,3602,1300,2021130010048</t>
  </si>
  <si>
    <t>APOYO PARA ORIENTAR Y FORMAR EN EMPRENDIMIENTO Y OFICIOS ACORDE CON LA DINAMICA LABORAL Y PRODUCTIVA DE LA LOCALIDAD QUE COADYUVEN A MEJORAR LAS CONDICIONES DE EMPLEABILIDAD DE LOS JOVENES CARTAGENA DE INDIAS</t>
  </si>
  <si>
    <t>2,3,3301,1603,2021130010095</t>
  </si>
  <si>
    <t>FORTALECIMIENTO AL DESARROLLO DE LAS EXPRESIONES ARTISTICAS Y CULTURALES EN LA LOCALIDAD INDUSTRIAL Y DE LA BAHIA CARTAGENA DE INDIAS</t>
  </si>
  <si>
    <t>2,3,3208,0900,2021130010044</t>
  </si>
  <si>
    <t>CAPACITACION PARA LOGRAR SENSIBILIZAR Y MEJORAR LA CULTURA AMBIENTAL EN LA LOCALIDAD INDUSTRIAL Y DE LA BAHIA QUE PRESERVE EL EQUILIBRIO NATURAL DE LOS ECOSISTEMAS CARTAGENA DE INDIAS</t>
  </si>
  <si>
    <t>2,3,3205,0900,2021130010047</t>
  </si>
  <si>
    <t>DIFUSION DE LAS MEDIDAS NECESARIAS PARA LA ADAPTACION A LOS IMPACTOS GENERADOS POR EL CAMBIO CLIMATICO Y POR LOS ACTUALES NIVELES DE CONTAMINACION, CARTAGENA DE INDIAS</t>
  </si>
  <si>
    <t>2,3,3202,0900,2021130010070</t>
  </si>
  <si>
    <t>RESTAURACION DE LAS AREAS NATURALES COMO PATRIMONIO AMBIENTAL EN LA LOCALIDAD INDUSTRIAL Y DE LA BAHIA,  CARTAGENA DE INDIAS</t>
  </si>
  <si>
    <t>2,3,2401,0600,2021130010166</t>
  </si>
  <si>
    <t>REHABILITACION Y RECONSTRUCCION DE LA MALLA VIAL DE LA LOCALIDAD INDUSTRIAL Y DE LA BAHIA CARTAGENA DE INDIAS</t>
  </si>
  <si>
    <t>2,3,1905,0300,2021130010064</t>
  </si>
  <si>
    <t>FORMACION PARA PROMOVER LOS DERECHOS SEXUALES Y REPRODUCTIVOS EN LA LOCALIDAD INDUSTRIAL Y DE LA BAHIA CARTAGENA DE INDIAS</t>
  </si>
  <si>
    <t>COLEGIO MAYOR DE BOLIVAR</t>
  </si>
  <si>
    <t>2,3,2202,0700,2021130010152</t>
  </si>
  <si>
    <t>1,3,2,3,05-103 - OTROS RENDIMIENTOS FINANCIEROS COLEGIO MAYOR</t>
  </si>
  <si>
    <t>FORTALECIMIENTO DE LA INSTITUCION UNIVERSITARIA MAYOR DE CARTAGENA CARTAGENA DE INDIAS</t>
  </si>
  <si>
    <t>2,3,2202,0700,2021130010151</t>
  </si>
  <si>
    <t>AMPLIACION DE LA OFERTA ACADEMICA DE LA INSTITUCION UNIVERSITARIA MAYOR DE CARTAGENA, UMAYOR,CON CALIDAD Y PERTINENCIA EN CARTAGENA DE INDIAS -EG+-0 CARTAGENA DE INDIAS</t>
  </si>
  <si>
    <t>BPIN</t>
  </si>
  <si>
    <t>UE2</t>
  </si>
  <si>
    <t>PILAR/EJE</t>
  </si>
  <si>
    <t>LINEA ESTRATEGICA</t>
  </si>
  <si>
    <t>PROGRAMA</t>
  </si>
  <si>
    <t>10. PILAR: CARTAGENA TRANSPARENTE</t>
  </si>
  <si>
    <t>10.7 LÍNEA ESTRATÉGICA: PARTICIPACIÓN Y DESCENTRALIZACIÓN</t>
  </si>
  <si>
    <t xml:space="preserve">10.7.2 PROGRAMA: MODERNIZACIÓN DEL SISTEMA DISTRITAL DE PLANEACIÓN Y DESCENTRALIZACIÓN  </t>
  </si>
  <si>
    <t>10.3 LÍNEA ESTRATÉGICA: CONVIVENCIA Y SEGURIDAD PARA LA GOBERNABILIDAD</t>
  </si>
  <si>
    <t>10.3.5 PROGRAMA:  PROMOCIÓN AL ACCESO A LA JUSTICIA</t>
  </si>
  <si>
    <t>10.3.3 PROGRAMA:  MEJORAR LA CONVIVENCIA CIUDADANA CON LA IMPLEMENTACIÓN DEL CÓDIGO NACIONAL DE SEGURIDAD Y CONVIVENCIA CIUDADANA</t>
  </si>
  <si>
    <t>10.4 LÍNEA ESTRATÉGICA DERECHOS HUMANOS PARA LA PAZ</t>
  </si>
  <si>
    <t xml:space="preserve">10.4.2 PROGRAMA: SISTEMA PENITENCIARIO Y CARCELARIO EN EL MARCO DE LOS DERECHOS HUMANOS </t>
  </si>
  <si>
    <t>07. PILAR CARTAGENA RESILIENTE</t>
  </si>
  <si>
    <t>7.4 LÍNEA ESTRATÉGICA GESTIÓN DEL RIESGO</t>
  </si>
  <si>
    <t>7.4.3 MANEJO DE DESASTRE</t>
  </si>
  <si>
    <t>7.4.2 REDUCCIÓN DEL RIESGO</t>
  </si>
  <si>
    <t>08. PILAR CARTAGENA INCLUYENTE</t>
  </si>
  <si>
    <t xml:space="preserve">8.4 LÍNEA ESTRATÉGICA DEPORTE Y RECREACIÓN PARA LA TRANSFORMACION SOCIAL </t>
  </si>
  <si>
    <t>8.4.7 ADMINISTRACION, MANTENIMIENTO, ADECUACION, MEJORAMIENTO Y CONSTRUCCION DE ESCENARIOS DEPORTIVOS</t>
  </si>
  <si>
    <t>10.3.2 PROGRAMA: FORTALECIMIENTO DE LA CONVIVENCIA Y LA SEGURIDAD CIUDADANA</t>
  </si>
  <si>
    <t>8.4.2 DEPORTE ASOCIADO "INCENTIVOS CON-SENTIDO"</t>
  </si>
  <si>
    <t>8.5 LÍNEA ESTRATÉGICA ARTES, CULTURA Y PATRIMONIO PARA UNA CARTAGENA INCLUYENTE</t>
  </si>
  <si>
    <t>8.5.1 PROGRAMA: MEDIACION Y BIBLIOTECAS PARA LA INCLUSION</t>
  </si>
  <si>
    <t>8.5.2 PROGRAMA: ESTIMULOS PARA LAS ARTES Y EL EMPRENDIMIENTO PARA UNA CARTAGENA INCLUYENTE</t>
  </si>
  <si>
    <t>8.2 LÍNEA ESTRATEGICA DE EDUCACION: CULTURA DE LA FORMACION "CON LA EDUCACION PARA TODOS Y TODAS SALVAMOS JUNTOS A CARTAGENA"</t>
  </si>
  <si>
    <t>8.2.1 PROGRAMA: ACOGIDA “ATENCIÓN A POBLACIONES Y ESTRATEGIAS DE ACCESO Y PERMANENCIA”</t>
  </si>
  <si>
    <t xml:space="preserve">8.4.1 “LA ESCUELA Y EL DEPORTE SON DE TODOS” </t>
  </si>
  <si>
    <t>8.4.4 HABITOS Y ESTILO DE VIDA SALUDABLE</t>
  </si>
  <si>
    <t>8.3 LÍNEA ESTRATÉGICA SALUD PARA TODOS</t>
  </si>
  <si>
    <t>8.3.8 VIDA SALUDABLE Y ENFERMEDADES TRANSMISIBLES</t>
  </si>
  <si>
    <t>10.5 LÍNEA ESTRATÉGICA: ATENCIÓN Y REPARACIÓN A VICTIMAS PARA LA CONSTRUCCIÓN DE LA PAZ TERRITORIAL</t>
  </si>
  <si>
    <t>10.5.1 PROGRAMA: ATENCIÓN, ASISTENCIA Y REPARACIÓN INTEGRAL A LAS VÍCTIMAS</t>
  </si>
  <si>
    <t>8.3.1 PROGRAMA: FORTALECIMIENTO DE LA AUTORIDAD SANITARIA</t>
  </si>
  <si>
    <t>8.3.7 SEXUALIDAD, DERECHOS SEXUALES Y REPRODUCTIVOS</t>
  </si>
  <si>
    <t>8.1 LÍNEA ESTRATÉGICA: SUPERACIÓN DE LA POBREZA Y DESIGUALDAD.</t>
  </si>
  <si>
    <t>8.1.7 PROGRAMA: DINÁMICA FAMILIAR PARA LA SUPERACIÓN DE LA POBREZA EXTREMA</t>
  </si>
  <si>
    <t>8.3.6 NUTRICIÓN E INOCUIDAD DE ALIMENTOS</t>
  </si>
  <si>
    <t>7.2 LÍNEA ESTRATÉGICA ESPACIO PÚBLICO, MOVILIDAD Y TRANSPORTE RESILIENTE</t>
  </si>
  <si>
    <t>7.2.5 TRANSPORTE PARA TODOS</t>
  </si>
  <si>
    <t>8.1.3 PROGRAMA: EDUCACIÓN PARA LA SUPERACIÓN DE LA POBREZA EXTREMA Y LA DESIGUALDAD</t>
  </si>
  <si>
    <t>10.3.6 PROGRAMA: ASISTENCIA Y ATENCIÓN INTEGRAL A LOS NIÑOS, NIÑAS, ADOLESCENTES Y JÓVENES EN RIESGO DE VINCULARSE A ACTIVIDADES DELICTIVAS</t>
  </si>
  <si>
    <t>09. PILAR CARTAGENA CONTINGENTE</t>
  </si>
  <si>
    <t>9.1 LÍNEA ESTRATÉGICA: DESARROLLO ECONÓMICO Y EMPLEABILIDAD</t>
  </si>
  <si>
    <t>9.1.3 PROGRAMA: "EMPLEO INCLUSIVO PARA LOS JÓVENES”</t>
  </si>
  <si>
    <t>9.1.2 PROGRAMA: MUJERES CON AUTONOMÍA ECONÓMICA</t>
  </si>
  <si>
    <t>9.1.1 PROGRAMA: CENTROS PARA EL EMPRENDIMIENTO Y LA GESTIÓN DE LA EMPLEABILIDAD EN CARTAGENA DE INDIAS</t>
  </si>
  <si>
    <t>11. EJE TRANSVERSAL: CARTAGENA CON ATENCION Y GARANTIA DE DERECHOS A POBLACION DIFERENCIAL.</t>
  </si>
  <si>
    <t>11.3 LÍNEA ESTRATÉGICA: INCLUSIÓN Y OPORTUNIDAD PARA NIÑOS, NIÑAS Y ADOLESCENTES Y FAMILIAS.</t>
  </si>
  <si>
    <t>11.3.4 PROGRAMA: FORTALECIMIENTO FAMILIAR.</t>
  </si>
  <si>
    <t>11.3.2 PROTECCIÓN DE LA INFANCIA Y LA ADOLESCENCIA PARA LA PREVENCIÓN Y ATENCIÓN DE VIOLENCIAS</t>
  </si>
  <si>
    <t>11.3.1 PROGRAMA: COMPROMETIDOS CON LA SALVACIÓN DE NUESTRA PRIMERA INFANCIA</t>
  </si>
  <si>
    <t>11.3.3 PROGRAMA: LOS NIÑOS, LAS NIÑAS Y ADOLESCENTES DE CARTAGENA PARTICIPAN Y DISFRUTAN SUS DERECHOS.</t>
  </si>
  <si>
    <t>8.3.10 SALUD Y ÁMBITO LABORAL</t>
  </si>
  <si>
    <t>8.3.4 VIDA SALUDABLE Y CONDICIONES NO TRANSMISIBLES</t>
  </si>
  <si>
    <t>11.5 LÍNEA ESTRATÉGICA EN CARTAGENA SALVAMOS NUESTROS ADULTOS MAYORES</t>
  </si>
  <si>
    <t>11.5.1 PROGRAMA: ATENCION INTEGRAL PARA MANTENER A SALVO LOS ADULTOS MAYORES</t>
  </si>
  <si>
    <t>8.2.8 PROGRAMA: MOVILIZACIÓN  “POR UNA GESTIÓN EDUCATIVA TRANSPARENTE, PARTICIPATIVA Y EFICIENTE”</t>
  </si>
  <si>
    <t>8.3.3 SALUD AMBIENTAL</t>
  </si>
  <si>
    <t>7.5 LÍNEA ESTRATÉGICA VIVIENDA PARA TODOS</t>
  </si>
  <si>
    <t>7.5.1 JUNTOS POR UNA VIVIENDA DIGNA</t>
  </si>
  <si>
    <t>7.5.2 MEJORO MI CASA, COMPROMISO DE TODOS</t>
  </si>
  <si>
    <t xml:space="preserve">7.5.3 ¡MI CASA A LO LEGAL!  </t>
  </si>
  <si>
    <t>7.2.4 MOVILIDAD EN CARTAGENA</t>
  </si>
  <si>
    <t>8.2.7 PROGRAMA: EDUCACIÓN PARA TRANSFORMAR “EDUCACIÓN MEDIA TÉCNICA Y SUPERIOR”</t>
  </si>
  <si>
    <t>8.5.5 PROGRAMA: DERECHOS CULTURALES Y BUEN GOBIERNO PARA EL FORTALECIMIENTO INSTITUCIONAL Y CIUDADANO</t>
  </si>
  <si>
    <t>8.3.5 CONVIVENCIA SOCIAL Y SALUD MENTAL</t>
  </si>
  <si>
    <t>11.4 LÍNEA ESTRATÉGICA JÓVENES SALVANDO A CARTAGENA</t>
  </si>
  <si>
    <t>11.4.2 PROGRAMA: POLITICA PUBLICA DE JUVENTUD</t>
  </si>
  <si>
    <t>11.4.1 PROGRAMA: JOVENES PARTICIPANDO Y SALVANDO A CARTAGENA</t>
  </si>
  <si>
    <t>8.3.2 TRANSVERSAL GESTIÓN DIFERENCIAL DE POBLACIONES VULNERABLES</t>
  </si>
  <si>
    <t>7.1 LÍNEA ESTRATÉGICA: “SALVEMOS JUNTOS NUESTRO PATRIMONIO NATURAL”</t>
  </si>
  <si>
    <t>7.1.6 NEGOCIOS VERDES, ECONOMÍA CIRCULAR, PRODUCCIÓN Y CONSUMO SOSTENIBLE (NEGOCIOS VERDES INCLUSIVOS)</t>
  </si>
  <si>
    <t>7.1.3 ASEGURAMIENTO, MONITOREO, CONTROL Y VIGILANCIA AMBIENTAL (SISTEMA INTEGRADO DE MONITOREO AMBIENTAL)</t>
  </si>
  <si>
    <t>8.2.4 DESARROLLO DE POTENCIALIDADES</t>
  </si>
  <si>
    <t>8.2.3 PROGRAMA: FORMANDO CON AMOR “GENIO SINGULAR”</t>
  </si>
  <si>
    <t>10.5.2 PROGRAMA: CONSTRUCCIÓN DE PAZ TERRITORIAL</t>
  </si>
  <si>
    <t>7.1.4 INVESTIGACIÓN, EDUCACIÓN Y CULTURA AMBIENTAL (EDUCACIÓN Y CULTURA AMBIENTAL)</t>
  </si>
  <si>
    <t>7.7 LÍNEA ESTRATÉGICA INSTRUMENTOS DE ORDENAMIENTO TERRITORIAL.</t>
  </si>
  <si>
    <t>7.7.3 ORDENACIÓN TERRITORIAL Y  RECUPERACIÓN SOCIAL, AMBIENTAL Y URBANA DE LA CIÉNAGA DE LA VIRGEN.</t>
  </si>
  <si>
    <t>10.3.4 PROGRAMA: FORTALECIMIENTO CAPACIDAD OPERATIVA DE LA SECRETARIA DEL INTERIOR Y CONVIVENCIA CIUDADANA</t>
  </si>
  <si>
    <t>7.2.1 SOSTENIBILIDAD DEL ESPACIO PÚBLICO</t>
  </si>
  <si>
    <t xml:space="preserve">8.5.4 PROGRAMA: VALORACION, CIUDADO Y APROPIACION SOCIAL DEL PATRIMONIO MATERIAL </t>
  </si>
  <si>
    <t>7.1.1 RECUPERAR Y RESTAURAR NUESTRAS ÁREAS NATURALES (BOSQUES Y BIODIVERSIDAD Y SERVICIOS ECO SISTÉMICOS)</t>
  </si>
  <si>
    <t>8.5.6 PROGRAMA: INFRAESTRUCTURA CULTURAL PARA LA INCLUSIÓN</t>
  </si>
  <si>
    <t>7.3 LÍNEA ESTRATÉGICA DESARROLLO URBANO</t>
  </si>
  <si>
    <t>7.3.2 SISTEMA HÍDRICO Y PLAN MAESTRO DE ALCANTARILLADO PLUVIALES EN LA CIUDAD PARA SALVAR EL HÁBITAT</t>
  </si>
  <si>
    <t>8.2.5 PARTICIPACIÓN, DEMOCRACIA Y AUTONOMÍA</t>
  </si>
  <si>
    <t xml:space="preserve">7.3.3 CARTAGENA CIUDAD DE BORDES Y ORILLAS RESILIENTE </t>
  </si>
  <si>
    <t>10.3.1 PLAN INTEGRAL DE SEGURIDAD Y CONVIVENCIA CIUDADANA</t>
  </si>
  <si>
    <t>8.2.2 PROGRAMA: SABIDURÍA DE LA PRIMERA INFANCIA “GRANDES BANDERAS, GESTO E IDEAS PARA CAMBIAR EL PLANETA”</t>
  </si>
  <si>
    <t>10.1 LÍNEA ESTRATÉGICA GESTIÓN Y DESEMPEÑO INSTITUCIONAL PARA LA GOBERNANZA</t>
  </si>
  <si>
    <t>10.1.1 PROGRAMA: GESTIÓN PÚBLICA INTEGRADA Y TRANSPARENTE</t>
  </si>
  <si>
    <t>7.6 LÍNEA ESTRATÉGICA SERVICIOS PÚBLICOS BÁSICOS DEL DISTRITO DE CARTAGENA DE INDIAS: “TODOS CON TODO”</t>
  </si>
  <si>
    <t>7.6.1 DE AHORRO Y USO EFICIENTE DE LOS SERVICIOS PÚBLICOS, "AGUA Y SANEAMIENTO BÁSICO PARA TODOS"</t>
  </si>
  <si>
    <t>9.1.5 PROGRAMA: CARTAGENA FACILITA EL EMPRENDIMIENTO</t>
  </si>
  <si>
    <t>9.2 LÍNEA ESTRATÉGICA: COMPETITIVIDAD E INNOVACIÓN</t>
  </si>
  <si>
    <t>9.2.1 PROGRAMA: CARTAGENA CIUDAD INNOVADORA</t>
  </si>
  <si>
    <t>7.7.1 PLAN DE ORDENAMIENTO TERRITORIAL Y ESPECIAL DE MANEJO DE PATRIMONIO.</t>
  </si>
  <si>
    <t xml:space="preserve">7.5.5 MI CASA, MI ENTORNO, MI HABITAT    </t>
  </si>
  <si>
    <t>9.4 LÍNEA ESTRATÉGICA: PLANEACIÓN E INTEGRACIÓN CONTINGENTE DEL TERRITORIO</t>
  </si>
  <si>
    <t>9.4.2 PROGRAMA: NORMAS DE PROMOCIÓN DEL DESARROLLO URBANO Y ECONÓMICO</t>
  </si>
  <si>
    <t>11.7 LÍNEA ESTRATÉGICA TRATO HUMANITARIO AL HABITANTE DE CALLE</t>
  </si>
  <si>
    <t>11.7.2 FORMACIÓN PARA EL TRABAJO - GENERACIÓN DE INGRESOS Y RESPONSABILIDAD SOCIAL EMPRESARIAL</t>
  </si>
  <si>
    <t>9.1.4 PROGRAMA: ENCADENAMIENTOS PRODUCTIVOS</t>
  </si>
  <si>
    <t>9.1.7 PROGRAMA: CIERRE DE BRECHAS DE EMPLEABILIDAD</t>
  </si>
  <si>
    <t>9.2.2 PROGRAMA: CARTAGENA DESTINO DE INVERSIÓN</t>
  </si>
  <si>
    <t>9.1.6 PROGRAMA: ZONAS DE AGLOMERACIÓN PRODUCTIVA</t>
  </si>
  <si>
    <t>7.2.8 MOVILIDAD SOSTENIBLE EN EL DISTRITO DE CARTAGENA</t>
  </si>
  <si>
    <t>9.1.8 PROGRAMA: CIERRE DE BRECHAS DE CAPITAL HUMANO</t>
  </si>
  <si>
    <t>8.6 LÍNEA ESTRATÉGICA PLANEACIÓN SOCIAL DEL TERRITORIO</t>
  </si>
  <si>
    <t>8.6.2 PROGRAMA: CATASTRO MULTIPROPÓSITO</t>
  </si>
  <si>
    <t>8.5.3 PROGRAMA: PATRIMONIO INMATERIAL: PRACTICAS SIGNIFICATIVAS PARA LA MEMORIA</t>
  </si>
  <si>
    <t>8.4.3 DEPORTE SOCIAL COMUNITARIO CON INCLUSION "CARTAGENA INCLUYENTE"</t>
  </si>
  <si>
    <t>11.1 LÍNEA ESTRATÉGICA PARA LA EQUIDAD E INCLUSIÓN DE LOS NEGROS, AFROS, PALENQUEROS E INDÍGENA.</t>
  </si>
  <si>
    <t>11.1.4 PROGRAMA: PROMOCIÓN, PREVENCIÓN Y ATENCIÓN EN SALUD PARA LA POBLACIÓN NEGRA, AFROCOLOMBIANA, RAIZAL Y PALENQUERA EN EL DISTRITO DE CARTAGENA.</t>
  </si>
  <si>
    <t>11.1.6 PROGRAMA: SOSTENIBILIDAD CULTURAL COMO GARANTÍA DE PERMANENCIA.</t>
  </si>
  <si>
    <t>7.4.4 FORTALECIMIENTO CUERPO DE BOMBEROS</t>
  </si>
  <si>
    <t>10.4.1 PROGRAMA: PREVENCIÓN, PROMOCIÓN Y PROTECCIÓN DE LOS DERECHOS HUMANOS EN EL DISTRITO DE CARTAGENA</t>
  </si>
  <si>
    <t>11.1.7 PROGRAMA: FORTALECIMIENTO DE LA POBLACIÓN INDÍGENA EN EL DISTRITO DE CARTAGENA.</t>
  </si>
  <si>
    <t>9.3 LÍNEA ESTRATÉGICA: TURISMO, MOTOR DE REACTIVACIÓN ECONÓMICA PARA CARTAGENA DE INDIAS</t>
  </si>
  <si>
    <t>9.3.1 PROGRAMA: PROMOCIÓN NACIONAL E INTERNACIONAL DE CARTAGENA DE INDIAS</t>
  </si>
  <si>
    <t>7.4.1 CONOCIMIENTO DEL RIESGO</t>
  </si>
  <si>
    <t>11.1.1 FORTALECIMIENTO DE POBLACIÓN NEGRA, AFROCOLOMBIANA, RAIZAL Y PALENQUERA EN EL DISTRITO DE CARTAGENA</t>
  </si>
  <si>
    <t>8.2.10 FORTALECIMIENTO DE LA OFERTA DE EDUCACIÓN SUPERIOR OFICIAL DEL DISTRITO DE CARTAGENA D. T. Y C.</t>
  </si>
  <si>
    <t>7.3.4 CARTAGENA SE CONECTA</t>
  </si>
  <si>
    <t xml:space="preserve">7.3.1 CARTAGENA SE MUEVE </t>
  </si>
  <si>
    <t>8.1.1 PROGRAMA: IDENTIFICACIÓN PARA LA SUPERACION DE LA POBREZA EXTREMA Y DESIGUALDAD</t>
  </si>
  <si>
    <t xml:space="preserve">8.1.10 PROGRAMA: FORTALECIMIENTO INSTITUCIONAL PARA LA SUPERACION DE LA POBREZA EXTREMA Y DESIGUALDAD </t>
  </si>
  <si>
    <t>8.1.8 PROGRAMA: SEGURIDAD ALIMENTARIA Y NUTRICIÓN PARA LA SUPERACIÓN DE LA POBREZA EXTREMA</t>
  </si>
  <si>
    <t>8.1.5 INGRESO Y TRABAJO PARA LA SUPERACIÓN DE LA POBREZA EXTREMA Y DESIGUALDAD</t>
  </si>
  <si>
    <t>8.1.4 PROGRAMA: HABITABILIDAD PARA LA SUPERACIÓN DE LA POBREZA EXTREMA Y LA DESIGUALDAD</t>
  </si>
  <si>
    <t>8.1.6 PROGRAMA: BANCARIZACIÓN PARA LA SUPERACIÓN DE LA POBREZA EXTREMA Y DESIGUALDAD</t>
  </si>
  <si>
    <t>8.1.9 PROGRAMA: ACCESO A LA JUSTICIA PARA LA SUPERACIÓN DE LA POBREZA EXTREMA Y DESIGUALDAD</t>
  </si>
  <si>
    <t>8.1.2 PROGRAMA: SALUD PARA LA SUPERACIÓN DE LA POBREZA EXTREMA Y DESIGUALDAD</t>
  </si>
  <si>
    <t>7.5.4 UN LUGAR APTO PARA MI HOGAR</t>
  </si>
  <si>
    <t>8.3.9 SALUD PÚBLICA EN EMERGENCIAS Y DESASTRES</t>
  </si>
  <si>
    <t>8.2.9 PROGRAMA: POR UNA EDUCACIÓN POST SECUNDARIA DISTRITAL</t>
  </si>
  <si>
    <t>7.6.5 CEMENTERIOS</t>
  </si>
  <si>
    <t xml:space="preserve">10.3.11 PROGRAMA: CONVIVENCIA PARA LA SEGURIDAD </t>
  </si>
  <si>
    <t xml:space="preserve">10.7.3 PROGRAMA: POLÍTICAS PÚBLICAS INTERSECTORIALES Y CON VISIÓN INTEGRAL DE ENFOQUES BASADOS EN DERECHOS HUMANOS </t>
  </si>
  <si>
    <t>8.6.1 PROGRAMA: INSTRUMENTOS DE PLANIFICACIÓN SOCIAL DEL TERRITORIO</t>
  </si>
  <si>
    <t>10.3.8 PROGRAMA: IMPLEMENTACION Y SOSTENIMIENTO DE HERRAMIENTAS TECNOLOGICAS PARA SEGURIDAD Y SOCORRO.</t>
  </si>
  <si>
    <t>7.1.8 BIENESTAR Y PROTECCIÓN ANIMAL</t>
  </si>
  <si>
    <t>9.2.3 PROGRAMA: CARTAGENA FOMENTA LA CIENCIA, TECNOLOGÍA E INNOVACIÓN : JUNTOS POR LA EXTENSIÓN AGROPECUARIA A PEQUEÑOS PRODUCTORES.</t>
  </si>
  <si>
    <t>7.3.5 INTEGRAL DE CAÑOS, LAGOS Y CIÉNAGAS DE CARTAGENA DE INDIAS</t>
  </si>
  <si>
    <t>9.1.10 PROGRAMA: CARTAGENA EMPRENDEDORA PARA PEQUEÑOS PRODUCTORES RURALES</t>
  </si>
  <si>
    <t>11.1.2 FORTALECIMIENTO E INCLUSIÓN PRODUCTIVA PARA POBLACIÓN NEGRA, AFROCOLOMBIANA, RAIZAL Y PALENQUERA EN EL DISTRITO DE CARTAGENA</t>
  </si>
  <si>
    <t>11.7.1 PROGRAMA: HABITANTE DE CALLE CON DESARROLLO HUMANO INTEGRAL</t>
  </si>
  <si>
    <t>10.2 LÍNEA ESTRATÉGICA: CARTAGENA INTELIGENTE CON TODOS Y PARA TODOS</t>
  </si>
  <si>
    <t>10.2.1 PROGRAMA: CARTAGENA INTELIGENTE CON TODOS Y PARA TODOS</t>
  </si>
  <si>
    <t>9.1.11 PROGRAMA: SISTEMAS DE MERCADOS PÚBLICOS</t>
  </si>
  <si>
    <t>10.3.9 PROGRAMA: OPTIMIZACIÓN DE LA INFRAESTRUCTURA Y MOVILIDAD DE LOS ORGANISMOS DE SEGURIDAD Y SOCORRO</t>
  </si>
  <si>
    <t>9.1.12 PROGRAMA: MAS COOPERACIÓN INTERNACIONAL</t>
  </si>
  <si>
    <t>7.6.2 ENERGÍA ASEQUIBLE, CONFIABLE SOSTENIBLE Y MODERNA PARA TODOS.</t>
  </si>
  <si>
    <t>7.1.5 SALVEMOS JUNTOS NUESTRO RECURSO HÍDRICO (GESTION INTEGRAL RECURSOS HÍDRICOS)</t>
  </si>
  <si>
    <t>10.2.3 PROGRAMA: CARTAGENA HACIA LA MODERNIDAD</t>
  </si>
  <si>
    <t>7.1.2 ORDENAMIENTO AMBIENTAL Y ADAPTACIÓN AL CAMBIO CLIMÁTICO PARA LA SOSTENIBILIDAD AMBIENTAL. (MITIGACIÓN Y GESTIÓN DEL RIESGO AMBIENTAL)</t>
  </si>
  <si>
    <t>9.3.3 PROGRAMA: TURISMO COMPETITIVO Y SOSTENIBLE</t>
  </si>
  <si>
    <t>9.3.2 PROGRAMA: CONECTIVIDAD</t>
  </si>
  <si>
    <t>11.6 LÍNEA ESTRATÉGICA: TODOS POR LA PROTECCIÓN SOCIAL DE LAS PERSONAS CON DISCAPACIDAD: “RECONOCIDAS, EMPODERADAS Y RESPETADAS”.</t>
  </si>
  <si>
    <t>11.6.1 PROGRAMA: GESTIÓN SOCIAL INTEGRAL Y ARTICULADORA POR LA PROTECCIÓN DE LAS PERSONAS CON DISCAPACIDAD Y/O SU FAMILIA O CUIDADOR.</t>
  </si>
  <si>
    <t>11.6.3 PROGRAMA: DESARROLLO LOCAL INCLUSIVO DE LAS PERSONAS CON DISCAPACIDAD: RECONOCIMIENTO DE CAPACIDADES, DIFERENCIAS Y DIVERSIDAD.</t>
  </si>
  <si>
    <t>11.6.2 PROGRAMA: PACTO O ALIANZA POR LA INCLUSIÓN SOCIAL Y PRODUCTIVA DE LAS PERSONAS CON DISCAPACIDAD.</t>
  </si>
  <si>
    <t>7.6.3 GESTIÓN INTEGRAL DE RESIDUOS SÓLIDOS "CULTURA CIUDADANA PARA EL RECICLAJE INCLUSIVO Y LA ECONOMÍA CIRCULAR"</t>
  </si>
  <si>
    <t>11.2 LÍNEA ESTRATÉGICA MUJERES CARTAGENERAS POR SUS DERECHOS.</t>
  </si>
  <si>
    <t>11.2.1 PROGRAMA: LAS MUJERES DECIDIMOS SOBRE EL EJERCICIO DEL PODER</t>
  </si>
  <si>
    <t>7.1.7 INSTITUCIONES AMBIENTALES MÁS MODERNAS, EFICIENTES Y TRANSPARENTES (FORTALECIMIENTO INSTITUCIONAL)</t>
  </si>
  <si>
    <t>10.7.1 PROGRAMA: PARTICIPANDO SALVAMOS A CARTAGENA</t>
  </si>
  <si>
    <t>11.2.4 PROGRAMA: CARTAGENA LIBRE DE UNA CULTURA MACHISTA</t>
  </si>
  <si>
    <t>8.2.6 DE EDUCACIÓN MEDIANA A TRAVÉS DE TECNOLOGÍAS DE LA INFORMACIÓN Y LAS COMUNICACIONES-TIC´S</t>
  </si>
  <si>
    <t>11.2.2 PROGRAMA: UNA VIDA LIBRE DE VIOLENCIAS PARA LAS MUJERES</t>
  </si>
  <si>
    <t>11.2.3 PROGRAMA: MUJER, CONSTRUCTORAS DE PAZ</t>
  </si>
  <si>
    <t>8.4.5 RECREACION COMUNITARIA "RECREATE CARTAGENA"</t>
  </si>
  <si>
    <t>10.6 LÍNEA ESTRATÉGICA: CULTURA CIUDADANA PARA LA DEMOCRACIA Y LA PAZ</t>
  </si>
  <si>
    <t xml:space="preserve">10.6.2 PROGRAMA: CIUDADANÍA LIBRE, INCLUYENTE Y TRANSFORMADORA </t>
  </si>
  <si>
    <t>10.6.1 PROGRAMA: SERVIDOR Y SERVIDORA PÚBLICA AL SERVICIO DE LA CIUDADANÍA</t>
  </si>
  <si>
    <t>11.8 LÍNEA ESTRATÉGICA DIVERSIDAD SEXUAL Y NUEVAS IDENTIDADES DE GENERO.</t>
  </si>
  <si>
    <t>11.8.1 PROGRAMA: DIVERSIDAD SEXUAL E IDENTIDADES DE GÉNERO</t>
  </si>
  <si>
    <t>11.1.11 PROGRAMA: EMPODERAMIENTO DEL LIDERAZGO DE LAS MUJERES, NIÑEZ, JÓVENES, FAMILIA Y GENERACIÓN INDÍGENA</t>
  </si>
  <si>
    <t>10.6.5 PROGRAMA: NUESTRA CARTAGENA SOÑADA.</t>
  </si>
  <si>
    <t>10.6.3 PROGRAMA: CARTAGENA TE QUIERE, QUIERE A CARTAGENA: PLAN DECENAL DE CULTURA CIUDADANA Y CARTAGENIDAD.</t>
  </si>
  <si>
    <t>10.2.5 PROGRAMA: JORGE PIEDRAHITA ADUEN</t>
  </si>
  <si>
    <t>10.6.6 PROGRAMA: CONECTATE CON CARTAGENA</t>
  </si>
  <si>
    <t>10.6.4 PROGRAMA: YO SOY CARTAGENA</t>
  </si>
  <si>
    <t>9.4.1 INTEGRACIÓN Y PROYECTOS ENTRE CIUDADES</t>
  </si>
  <si>
    <t>7.2.6 REDUCCIÓN DE LA SINIESTRALIDAD VIAL</t>
  </si>
  <si>
    <t>7.2.7 FORTALECIMIENTO DE LA CAPACIDAD DE RESPUESTA DEL DEPARTAMENTO ADMINISTRATIVO DE TRÁNSITO Y TRANSPORTE</t>
  </si>
  <si>
    <t xml:space="preserve">7.2.3 GENERACIÓN DEL ESPACIO PÚBLICO  </t>
  </si>
  <si>
    <t xml:space="preserve">7.2.2 RECUPERACIÓN DEL ESPACIO PÚBLICO </t>
  </si>
  <si>
    <t>8.4.6 PROGRAMA: OBSERVATORIO DE CIENCIAS APLICADAS AL DEPORTE, LA RECREACIÓN, LA ACTIVIDAD FÍSICA Y EL APROVECHAMIENTO DEL TIEMPO LIBRE EN EL DISTRITO DE CARTAGENA DE INDIAS.</t>
  </si>
  <si>
    <t>7.7.2 ADMINISTRANDO JUNTOS EL CONTROL URBANO</t>
  </si>
  <si>
    <t>10.8 LÍNEA ESTRATÉGICA: FINANZAS PÚBLICAS PARA SALVAR A CARTAGENA</t>
  </si>
  <si>
    <t>10.8.2 PROGRAMA: SANEAMIENTO FISCAL Y FINANCIERO</t>
  </si>
  <si>
    <t>10.3.7 PROGRAMA:  FORTALECIMIENTO SISTEMA DE RESPONSABILIDAD PENAL PARA ADOLESCENTES –SRPA</t>
  </si>
  <si>
    <t>11.1.10 PROGRAMA: INTEGRIDAD CULTURAL, GOBIERNO PROPIO, VIVIENDA Y HÁBITAT PARA LAS COMUNIDADES INDÍGENAS EN EL DISTRITO CARTAGENA</t>
  </si>
  <si>
    <t>10.3.10 PROGRAMA: VIGILANCIA DE LAS PLAYAS DEL DISTRITO DE CARTAGENA</t>
  </si>
  <si>
    <t xml:space="preserve">10.2.4 PROGRAMA: ORGANIZACIÓN Y RECUPERACIÓN DEL PATRIMONIO PÚBLICO DE CARTAGENA </t>
  </si>
  <si>
    <t>10.1.2 PROGRAMA: TRANSPARENCIA PARA EL FORTALECIMIENTO DE LA CONFIANZA EN LAS INSTITUCIONES DEL DISTRITO DE CARTAGENA.</t>
  </si>
  <si>
    <t>10.2.2 PROGRAMA: CARTAGENEROS CONECTADOS Y ALFABETIZADOS</t>
  </si>
  <si>
    <t>7.6.4 SISTEMA DE INFORMACIÓN DE LOS SERVICIOS PÚBLICOS, “SERVINFO”</t>
  </si>
  <si>
    <t xml:space="preserve">9.1.9 PROGRAMA: DESARROLLO DEL ECOSISTEMA DIGITAL BASADO EN LA CUARTA REVOLUCION INDUSTRIAL </t>
  </si>
  <si>
    <t>10.8.1 PROGRAMA: FINANZAS SOSTENIBLES PARA SALVAR A CARTAGENA</t>
  </si>
  <si>
    <t>RUBRO+BPIN</t>
  </si>
  <si>
    <t>EJE</t>
  </si>
  <si>
    <t>LINEA</t>
  </si>
  <si>
    <t>01 DESPACHO DEL ALCALDE</t>
  </si>
  <si>
    <t>02 SECRETARIA DEL INTERIOR Y CONVIVENCIA CIUDADANAL</t>
  </si>
  <si>
    <t>03 SECRETARIA DE HACIENDA PUBLICA</t>
  </si>
  <si>
    <t>04 LOCALIDAD TURISTICA Y DE LA VIRGEN</t>
  </si>
  <si>
    <t>05 SECRETARIA GENERAL</t>
  </si>
  <si>
    <t>06 SECRETARIA DE INFRAESTRUCTURA</t>
  </si>
  <si>
    <t>07 SECRETARIA DE EDUCACION</t>
  </si>
  <si>
    <t>08 SECRETARIA DE PARTICIPACION Y DESARROLLO SOCIAL</t>
  </si>
  <si>
    <t>09 SECRETARIA DE PLANEACION</t>
  </si>
  <si>
    <t>10 DEPARTAMENTO ADMINISTRATIVO DE SALUD</t>
  </si>
  <si>
    <t>11 LOCALIDAD HISTORICA Y DEL CARIBE NORTE</t>
  </si>
  <si>
    <t>12 DEPARTAMENTO ADMINISTRATIVO DE TRANSITO Y TRANSPORTE</t>
  </si>
  <si>
    <t>13 DEPARTAMENTO ADMINISTRATIVO DE VALORIZACION</t>
  </si>
  <si>
    <t>14 ESCUELA DE GOBIERNO</t>
  </si>
  <si>
    <t>15 INSTITUTO DE DEPORTE Y RECREACION</t>
  </si>
  <si>
    <t>16 FONDO DE VIVIENDA DE INTERES SOCIAL Y REFORMA URBANA</t>
  </si>
  <si>
    <t>17 INSTITUTO DE PATRIMONIO Y CULTURA DE CARTAGENA DE INDIAS</t>
  </si>
  <si>
    <t>21 ESTABLECIMIENTO PUBLICO AMBIENTAL-EPA</t>
  </si>
  <si>
    <t>22 DISTRISEGURIDAD</t>
  </si>
  <si>
    <t>23 LOCALIDAD INDUSTRIAL Y DE LA BAHIA</t>
  </si>
  <si>
    <t>25 COLEGIO MAYOR DE BOLIVAR</t>
  </si>
  <si>
    <t>2020130010211 CONSERVACION INTEGRAL DEL ESPACIO PUBLICO  CARTAGENA DE INDIAS</t>
  </si>
  <si>
    <t>2021130010267 RECUPERACION DEL ESPACIO PUBLICO  CARTAGENA DE INDIAS</t>
  </si>
  <si>
    <t>2021130010268 MEJORAMIENTO DE PARQUES Y ZONAS VERDES PARA LA RECUPERACION  DEL  ESPACIO PUBLICO   CARTAGENA DE INDIAS</t>
  </si>
  <si>
    <t>2021130010266 GENERACION  DEL ESPACIO PUBLICO  CARTAGENA DE INDIAS</t>
  </si>
  <si>
    <t>2021130010272 IMPLEMENTACION DEL SISTEMA DISTRITAL DE CICLOINFRAESTRUCTURA  CARTAGENA DE INDIAS</t>
  </si>
  <si>
    <t>2020130010160 DISE?O DE PLAN INTEGRAL PARA MEJORAR LA MOVILIDAD EN  CARTAGENA DE INDIAS</t>
  </si>
  <si>
    <t>2020130010075 FORTALECIMIENTO FORTALECIMIENTO OPERACIONAL DEL SISTEMA INTEGRADO DE TRANSPORTE MASIVO DE CARTAGENA DE INDIAS  TRANSCARIBE  CARTAGENA DE INDIAS</t>
  </si>
  <si>
    <t>2021130010147 EXTENSION DEL CONOCIMIENTO DEL RIESGO EN NUESTRO TERRITORIO   CARTAGENA DE INDIAS</t>
  </si>
  <si>
    <t>2020130010034 APORTES PARA MITIGAR EL RIESGO EN LAS COMUNIDADES DEL DISTRITO   CARTAGENA DE INDIAS</t>
  </si>
  <si>
    <t>2020130010033 CONTROL DE LOS RIESGOS EN NUESTRO TERRITORIO  CARTAGENA DE INDIAS</t>
  </si>
  <si>
    <t>2020130010033 CONTROL DE LOS RIESGOS EN NUESTRO TERRITORIO CARTAGENA DE INDIAS</t>
  </si>
  <si>
    <t>2021130010158 APOYO IDENTIFICACION PARA LA SUPERACION DE LA POBREZA Y DESIGUALDAD</t>
  </si>
  <si>
    <t xml:space="preserve">2021130010159 APOYO FORTALECIMIENTO PARA LA SUPERACION DE LA POBREZA EXTREMA Y DEISIGUALDAD </t>
  </si>
  <si>
    <t>2021130010259 APOYO  IMPLEMENTACION DEL PROGRAMA DE FAMILIAS EN ACCION EN CARTAGENA DE INDIAS -GT+  CARTAGENA DE INDIAS</t>
  </si>
  <si>
    <t xml:space="preserve">2021130010165 APOYO SALUD PARA LA SUPERACION DE LA POBREZA Y DESIGUALDAD </t>
  </si>
  <si>
    <t>2020130010079 APOYO EDUCACION PARA LA SUPERACION DE LA POBREZA Y LA DESIGUALDAD-0INCREMENTAR EL ACCESO A LOS DIFERENTES NIVELES EDUCATIVOS DE NI?OS NI?AS ADOLESCENTES JOVENES Y ADULTOS EN CONDICION DE POBREZA EXTREMA DE  CARTAGENA DE INDIAS</t>
  </si>
  <si>
    <t>2021130010162 APOYO HABITABILIDAD PARA LA SUPERACION DE LA POBREZA Y DESIGUALDAD</t>
  </si>
  <si>
    <t>2021130010161 APOYO INGRESO Y TRABAJO PARA LA SUPERACION DE LA POBREZA EXTREMA Y DESIGUALDAD</t>
  </si>
  <si>
    <t>2021130010163 APOYO BANCARIZACION PARA LA SUPERACION DE LA POBREZA EXTREMA Y DESIGUALDAD-0 ESTRUCTURAR EL ACCESO DE LA POBLACION EN POBREZA EXTREMA DEL DISTRITO DE CARTAGENA AL SISTEMA FINANCIERO</t>
  </si>
  <si>
    <t xml:space="preserve">2020130010071 APOYO DINAMICA FAMILIAR PARA SUPERACION DE LA POBREZA Y DESIGUALDAD </t>
  </si>
  <si>
    <t>2021130010160 APOYO SEGURIDAD ALIMENTARIA Y NUTRICION PARA LA SUPERACION DE LA POBREZA EXTREMA Y DESIGUALDAD</t>
  </si>
  <si>
    <t>2021130010164  APOYO ACCESO A LA JUSTICIA PARA LA SUPERACION DE LA POBREZA Y DESIGUALDAD</t>
  </si>
  <si>
    <t>2020130010036 CONSERVACION , MANTENIMIENTO CONSERVACION, MANTENIMIENTO Y MEJORAMIENTO DE LOS ESCENARIOS DEPORTIVOS DE LA CIUDAD COMO ESTRATEGIA DE PRESERVACION DEL PATRIMONIO MATERIAL DEL DISTRITO DE CARTAGENA DE INDIAS</t>
  </si>
  <si>
    <t>2021130010142 FORTALECIMIENTO DEL CUERPO DE BOMBEROS DEL DISTRITO DE   CARTAGENA DE INDIAS</t>
  </si>
  <si>
    <t>2020130010254 FORTALECIMIENTO EN PARQUE AUTOMOTOR Y TECNOLOGIA PARA LA POLICIA METROPOLITANA DE   CARTAGENA DE INDIAS</t>
  </si>
  <si>
    <t>2020130010272 FORTALECIMIENTO DE LAS CAPACIDADES OPERATIVAS DE LA ARMADA NACIONAL PARA LA OPORTUNA ASISTENCIA MILITAR E INCREMENTO DE LA PROTECCION Y SEGURIDAD CIUDADANA EN EL DISTRITO DE   CARTAGENA DE INDIAS</t>
  </si>
  <si>
    <t>2020130010304 MEJORAMIENTO DE LA SEDE DE LA FISCALIA GENERAL DE LA NACION UBICADA EN EL BARRIO CRESPO CALLE 66 4 -86 EDIFICIO HOCOL PISOS 1 Y 2 DEL DISTRITO DE CARTAGENA DE INDIAS</t>
  </si>
  <si>
    <t>2021130010283 FORTALECIMIENTO DE LAS CAPACIDADES TECNOLOGICAS Y OPERATIVAS DE LA UNIDAD ADMINISTRATIVA ESPECIAL MIGRACION COLOMBIA EN EL DISTRITO DE   CARTAGENA DE INDIAS</t>
  </si>
  <si>
    <t>2022130010013 FORTALECIMIENTO INTEGRAL  DE LAS CAPACIDADES INSTITUCIONALES DE LA POLICIA METROPOLITANA DE  CARTAGENA DE INDIAS</t>
  </si>
  <si>
    <t>2020130010037 FORTALECIMIENTO DE LOS MECANISMOS COMUNITARIOS  E INSTITUCIONALES DE PREVENCION Y REACCION A SITUACIONES DE RIESGO POR CONDUCTAS DELICTIVAS EN EL DISTRITO DE   CARTAGENA DE INDIAS</t>
  </si>
  <si>
    <t>2020130010037 FORTALECIMIENTO DE LOS MECANISMOS COMUNITARIOS E INSTITUCIONALES DE PREVENCION Y REACCION A SITUACIONES DE RIESGO POR CONDUCTAS DELICTIVAS EN EL DISTRITO DE CARTAGENA DE INDIAS</t>
  </si>
  <si>
    <t>2020130010031 MEJORAMIENTO DE LA CONVIVENCIA CON LA IMPLEMENTACIN DEL CODIGO NACIONAL DE SEGURIDAD Y CONVIVENCIA CIUDADANA  Y  LA MODERNIZACIN DE LAS INSPECCIONES DE POLICA EN EL DISTRITO DE  CARTAGENA DE INDIAS</t>
  </si>
  <si>
    <t>2020130010031 MEJORAMIENTO DE LA CONVIVENCIA CON LA IMPLEMENTACIN DEL CODIGO NACIONAL DE SEGURIDAD Y CONVIVENCIA CIUDADANA  Y  LA MODERNIZACION DE LAS INSPECCIONES DE POLICA EN EL DISTRITO DE  CARTAGENA DE INDIAS</t>
  </si>
  <si>
    <t>2020130010210 FORTALECIMIENTO DE LA CAPACIDAD OPERATIVA  DE LA SECRETARIA DEL INTERIOR Y CONVIVENCIA CIUDADANA  CARTAGENA DE INDIAS</t>
  </si>
  <si>
    <t>2020130010030 FORTALECIMIENTO Y PROMOCION AL ACCESO A LA JUSTICIA DESDE LAS CASAS DE JUSTICIA Y COMISARIAS DE FAMILIA EN EL DISTRITO DE   CARTAGENA DE INDIAS</t>
  </si>
  <si>
    <t>2020130010084 ASISTENCIA Y ATENCION INTEGRAL A LOS NI?OS Y NI?AS,  JOVENES  Y ADOLESCENTES EN RIESGO DE VINCULACION A  ACTIVIDADES DELICTIVAS Y  AQUELLOS EN CONFLICTO CON LA LEY PENAL EN EL DISTRITO DE   CARTAGENA DE INDIAS</t>
  </si>
  <si>
    <t>2020130010084 ASISTENCIA Y ATENCION INTEGRAL A LOS NI?OS, NI?AS,  JOVENES  Y ADOLESCENTES EN RIESGO DE VINCULACION A  ACTIVIDADES DELICTIVAS Y  AQUELLOS EN CONFLICTO CON LA LEY PENAL EN EL DISTRITO DE   CARTAGENA DE INDIAS</t>
  </si>
  <si>
    <t>2021130010275 FORTALECIMIENTO DEL SISTEMA DE RESPONSABILIDAD PENAL PARA ADOLESCENTES- SRPA EN EL CARTAGENA DE INDIAS</t>
  </si>
  <si>
    <t>2021130010143 GENERACION DE UNA CULTURA DE PREVENCION, PROMOCION Y PROTECCION DE LOS DERECHOS HUMANOS CON ENFOQUE DIFERENCIAL Y DE GENERO EN EL DISTRITO DE CARTAGENA DE INDIAS</t>
  </si>
  <si>
    <t xml:space="preserve">2020130010032 FORTALECIMIENTO Y ATENCION INTEGRAL A INTERNOS DE LOS ESTABLECIMIENTOS CARCELARIOS DEL DISTRITO DE  CARTAGENA DE INDIAS </t>
  </si>
  <si>
    <t>2020130010061 ASISTENCIA ATENCION Y REPARACION INTEGRAL A LAS VICTIMAS DEL CONFLICTO ARMADO EN EL DISTRITO DE   CARTAGENA DE INDIAS</t>
  </si>
  <si>
    <t>2020130010187 CONSTRUCCION DE PAZ TERRITORIAL EN EL DISTRITO DE   CARTAGENA DE INDIAS</t>
  </si>
  <si>
    <t>2021130010148 FORTALECIMIENTO DEL PROCESO ORGANIZATIVO Y ATENCION DIFERENCIAL A LA POBLACION NEGRA, AFRODESCENDIENTE, RAIZAL Y PALENQUERA EN EL DISTRITO DE CARTAGENA DE INDIAS</t>
  </si>
  <si>
    <t>2021130010276 IMPLEMENTACION DE LA JURISDICCION ESPECIAL INDIGENA- JEI EN EL DISTRITO DE CARTAGENA DE INDIAS</t>
  </si>
  <si>
    <t xml:space="preserve">2021130010145 FORTALECIMIENTO DE LA GOBERNANZA Y AUTODETERMINACION DE LA CULTURA E INSTITUCIONES PROPIAS DE LA POBLACION INDIGENA EN EL DISTRITO DE CARTAGENA DE INDIAS </t>
  </si>
  <si>
    <t>2021130010145 FORTALECIMIENTO DE LA GOBERNANZA Y AUTODETERMINACION DE LA CULTURA EN INSTITUCIONES PROPIAS DE LA POBLACION INDIGENA EN EL DISTRITO DE CARTAGENA DE INDIAS</t>
  </si>
  <si>
    <t>2021130010280 IDENTIFICACION Y CREACION DE INICIATIVAS PRODUCTIVAS ADAPTADAS A LAS CONDICIONES DE CRISIS SANITARIAS SOCIALES Y AMBIENTALES EN POBLACION JOVEN DEL DISTRITO DE CARTAGENA DE INDIAS</t>
  </si>
  <si>
    <t>2020130010324 DESARROLLO DE ESTRATEGIAS PARA EL FORTALECIMIENTO DE LOS ENCADENAMIENTOS PRODUCTIVOS Y REDES DE PROVEEDURIA EN EL DISTRITO DE CARTAGENA DE INDIAS</t>
  </si>
  <si>
    <t>2020130010296 IMPLEMENTACION DEL CENTRO DE FOMENTO AL EMPRENDIMIENTO Y A LA EMPLEABILIDAD PARA UNA CARTAGENA DE INDIAS INCLUSIVA Y MAS COMPETITIVA EN  CARTAGENA DE INDIAS</t>
  </si>
  <si>
    <t>2020130010327 DESARROLLO DE ESTRATEGIAS PARA EL APROVECHAMIENTO DE LAS ECONOMIAS DE AGLOMERACION EN EL DISTRITO DE CARTAGENA DE INDIAS</t>
  </si>
  <si>
    <t>2020130010325 CONSOLIDACION DEL CIERRE DE BRECHAS PARA LA EMPLEABILIDAD Y EMPLEOS INCLUSIVOS A LOS GRUPOS POBLACIONALES VULNERABLES EN EL DISTRITO DE   CARTAGENA DE INDIAS</t>
  </si>
  <si>
    <t>2020130010331 HABILITACION DE LAS ACCIONES PARA IDENTIFICAR Y CERRAR LAS BRECHAS DE CAPITAL HUMANO DE FORMA PERTINENTE SUFICIENTE Y DE CALIDAD EN EL DISTRITO DE   CARTAGENA DE INDIAS</t>
  </si>
  <si>
    <t>2020130010297 IMPLEMENTACION DE ESTRATEGIAS DE ARTICULACION ENTRE ACTORES E INICIATIVAS PARA EL IMPULSO DE UNA CULTURA DE LA INNOVACION EN  CARTAGENA DE INDIAS</t>
  </si>
  <si>
    <t>2020130010297 IMPLEMENTACION DE ESTRATEGIAS DE ARTICULACION ENTRE ACTORES E INICIATIVAS PARA EL IMPULSO DE UNA CULTURA DE LA INNOVACION EN CARTAGENA DE INDIAS</t>
  </si>
  <si>
    <t>2020130010326 IMPLEMENTACION DE UNA ESTRATEGIA DE PROMOCION Y POSICIONAMIENTO PARA LA ATRACCION DE LOS DIVERSOS TIPOS DE INVERSION EN CARTAGENA DE INDIAS</t>
  </si>
  <si>
    <t>2021130010239 IMPLEMENTACION PLAN DECENAL DE CULTURA CIUDADANA Y CARTAGENEIDAD</t>
  </si>
  <si>
    <t>2022130010001 IMPLEMENTACION DE ESTRATEGIAS PARA EL MEJORAMIENTO Y SOSTENIBILIDAD DE LAS FINANZAS EN EL DISTRITO DE CARTAGENA DE INDIAS  CARTAGENA DE INDIAS</t>
  </si>
  <si>
    <t>2022130010001 IMPLEMENTACION DE ESTRATEGIAS PARA EL MEJORAMIENTO Y SOSTENIBILIDAD DE LAS FINANZAS EN EL DISTRITO DE CARTAGENA DE INDIAS CARTAGENA DE INDIAS</t>
  </si>
  <si>
    <t>2021130010274 IMPLEMENTACION DEL PLAN DE SANEAMIENTO FISCAL Y FINANCIERO DEL DISTRITO DE CARTAGENA DE INDIAS</t>
  </si>
  <si>
    <t xml:space="preserve">2021130010282 FORTALECIMIENTO DE LAS ESTRATEGIAS DE INCLUSION PRODUCTIVA PARA POBLACION NEGRA, AFROCOLOMBIANA, RAIZAL Y PALENQUERA EN EL DISTRITO DE CARTAGENA </t>
  </si>
  <si>
    <t>2021130010281 FORTALECIMIENTO DE LAS ESTRATEGIAS PARA LA GENERACION DE INGRESOS DE LA POBLACION INDIGENA EN EL DISTRITO DE CARTAGENA,</t>
  </si>
  <si>
    <t xml:space="preserve">130010402  MODERNIZACION DEL SISTEMA DISTRITAL DE PLANEACION Y DESCENTRALIZACION  </t>
  </si>
  <si>
    <t xml:space="preserve">130010402 MODERNIZACION DEL SISTEMA DISTRITAL DE PLANEACION Y DESCENTRALIZACION  </t>
  </si>
  <si>
    <t>2021130010042 FORTALECIMIENTO APOYAR A LOS TRABAJADORES Y LAS TRABAJADORAS DE LA CULTURA EN SUS PROCESOS DE FORMACION INVESTIGACION CREACION PRODUCCION Y CIRCULACION A TRAVES DE PROCESOS PEDAGOGICOS Y DE CONVOCATORIAS TRANSPARENTES CARTAGENA DE INDIAS</t>
  </si>
  <si>
    <t>2021130010052 CARACTERIZACION PARA LA CREACION DE ESTRATEGIAS Y ACCIONES CON EL FIN DE GARANTIZAR EL MANTENIMIENTO Y SOSTENIMIENTO DEL ESPACIO PUBLICO DE LA LOCALIDAD DE LA VIRGEN Y TURISTICA CARTAGENA DE INDIAS</t>
  </si>
  <si>
    <t>2021130010054 ASISTENCIA PARA PROMOVER Y ACOMPA?AR LOS SISTEMAS PRODUCTIVOS MEDIANTE LA PRESTACION DEL SERVICIO PUBLICO DE EXTENSION AGROPECUARIO A LOS PRODUCTORES RURALES PESQUEROS Y ACUICOLAS CARTAGENA DE INDIAS</t>
  </si>
  <si>
    <t>2021130010055 FORMACION PARA LA GENERACION DE EMPLEO INCLUSIVO PARA LOS JOVENES DE LA LOCALIDAD DE LA VIRGEN Y TURISTICA CARTAGENA DE INDIAS</t>
  </si>
  <si>
    <t>2021130010056 GENERACION DE INGRESOS EMPRENDIMIENTO Y EMPRESARISMO EN LAS FAMILIAS EN POBREZA EXTREMA DE LA LOCALIDAD DE LA VIRGEN Y TURISTICA CARTAGENA DE INDIAS</t>
  </si>
  <si>
    <t>2021130010058 ASISTENCIA PARA GARANTIZAR LOS DERECHOS Y DEBERES EN SALUD CON ENFOQUE DIFERENCIAL EN ARAS DE MINIMIZAR TANTO LAS BARRERAS DE ACCESO A LOS SERVICIOS DE SALUD COMO OTRAS FORMAS DE EXCLUSION, CARTAGENA DE INDIAS</t>
  </si>
  <si>
    <t>2021130010059 FORMACION PARA EL FORTALECIMIENTO DE LA DINAMICA FAMILIAR DE LAS FAMILIAS EN SITUACION DE POBREZA EXTREMA DE LA LOCALIDAD DE LA VIRGEN Y TURISTICA CARTAGENA DE INDIAS</t>
  </si>
  <si>
    <t>2021130010060 ASISTENCIA INTEGRAL A LA FAUNA DOMESTICA EN CONDICION DE CALLE DE LA LOCALIDAD DE LA VIRGEN Y TURISTICA CARTAGENA DE INDIAS</t>
  </si>
  <si>
    <t>2021130010061 DOTACION DE ELEMENTOS DE BIOSEGURIDAD QUE CONTRIBUYAN COMO MEDIDA DE INTERVENCION DIRIGIDA A MODIFICAR O DISMINUIR LAS CONDICIONES DE RIESGO ACTUALES A EVITAR NUEVOS RIESGOS Y GENERAR MECANISMOS PARA LA ATENCION DE EMERGENCIAS CARTAGENA DE INDIAS</t>
  </si>
  <si>
    <t>2021130010091 INCREMENTO DE ZONAS VERDES A TRAVES DE LA RECUPERACION DE ESPACIO PUBLICO DE LA LOCALIDAD DE LA VIRGEN Y TURISTICA CARTAGENA DE INDIAS</t>
  </si>
  <si>
    <t>2021130010092 MUJERES CON AUTONOMIA ECONOMICA</t>
  </si>
  <si>
    <t>2021130010098 FORTALECIMIENTO DEL MANEJO Y PREVENCION DE DESASTRES DE LA LOCALIDAD DE LA VIRGEN Y TURISTICA CARTAGENA DE INDIAS</t>
  </si>
  <si>
    <t>2021130010099 ADECUACION DE SANEAMIENTO BASICO PARA VIVIENDAS DE LA POBLACION EN CONDICION POBREZA DE LA LOCALIDAD DE LA VIRGEN Y TURISTICA CARTAGENA DE INDIAS</t>
  </si>
  <si>
    <t>2021130010100 DESARROLLO DE MEDIDAS PARA MEJORAR LA CAPACIDAD HIDRAULICA DE LOS CANALES PLUVIALES EN LA LOCALIDAD DE LA VIRGEN Y TURISTICA CARTAGENA DE INDIAS</t>
  </si>
  <si>
    <t>2021130010101 ELABORACION DE CAMPA?AS EDUCATIVAS PARA REDUCIR LA SINIESTRALIDAD VIAL EN LA LOCALIDAD DE LA VIRGEN Y TURISTICA CARTAGENA DE INDIAS</t>
  </si>
  <si>
    <t>2021130010102 FORTALECIMIENTO DEL EMPRENDIMIENTO EN LOS PEQUE?OS PRODUCTORES RURALES DE LA LOCALIDAD DE LA VIRGEN Y TURISTICA CARTAGENA DE INDIAS</t>
  </si>
  <si>
    <t>2021130010103 FORMACION DE ADOLESCENTES EN SALUD SEXUAL Y REPRODUCTIVA EN LA LOCALIDAD DE LA VIRGEN Y TURISTICA CARTAGENA DE INDIAS</t>
  </si>
  <si>
    <t>2021130010104 CAPACITACION DE LOS PRESTADORES DE SERVICIOS TURISTICOS PARA LA REACTIVACION ECONOMICA DEL SECTOR EN LA LOCALIDAD DE LA VIRGEN Y TURISTICA, CARTAGENA DE INDIAS</t>
  </si>
  <si>
    <t>2021130010105 FORTALECIMIENTO DEL EMPRENDIMIENTO Y LA EMPLEABILIDAD EN LA LOCALIDAD DE LA VIRGEN Y TURISTICA, CARTAGENA DE INDIAS</t>
  </si>
  <si>
    <t>2021130010106 CONSTRUCCION Y MANTENIMIENTO DE INFRAESTRUCTURA CULTURAL EN LA LOCALIDAD DE LA VIRGEN Y TURISTICA, CARTAGENA DE INDIAS</t>
  </si>
  <si>
    <t>2021130010107 FORTALECIMIENTO DE LA PARTICIPACION DE ARTISTAS Y GESTORES CULTURALES EN LOS FESTEJOS Y FIESTAS DE LA LOCALIDAD DE LA VIRGEN Y TURISTICA CARTAGENA DE INDIAS</t>
  </si>
  <si>
    <t>2021130010110 DESARROLLO DE EVENTOS O TORNEOS DEPORTIVOS PARA IMPULSAR LA INTEGRACION SOCIAL EN LA LOCALIDAD DE LA VIRGEN Y TURISTICA CARTAGENA DE INDIAS</t>
  </si>
  <si>
    <t>2021130010111 ASISTENCIA PSICOSOCIAL A LA POBLACION NNA CON RIESGO DE VINCULARSE A ACTIVIDADES DELICTIVAS EN LA LOCALIDAD DE LA VIRGEN Y TURISTICA, CARTAGENA DE INDIAS</t>
  </si>
  <si>
    <t>2021130010113 GENERACION DE MEDIDAS ENCAMINADAS A RECUPERAR EL ESPACIO PUBLICO DE LA LOCALIDAD DE LA VIRGEN Y TURISTICA, CARTAGENA DE INDIAS</t>
  </si>
  <si>
    <t>2021130010114 FORTALECIMIENTO DE LA CAPACIDAD DE MANEJO Y RESOLUCION DE CONFLICTOS DE LOS ESTUDIANTES DE LAS IEO DE LA LOCALIDAD DE LA VIRGEN Y TURISTICA?</t>
  </si>
  <si>
    <t>2021130010115 CONTRIBUCION A LA GENERACION DE INGRESOS DE LOS GRUPOS ETNICOS DE LA LOCALIDAD DE LA VIRGEN Y TURISTICA CARTAGENA DE INDIAS</t>
  </si>
  <si>
    <t>2021130010117 DESARROLLO DE ACCIONES PARA DISMINUIR LA VIOLENCIA CONTRA LA MUJER EN LA LOCALIDAD DE LA VIRGEN Y TURISTICA CARTAGENA DE INDIAS</t>
  </si>
  <si>
    <t>2021130010118 FORMACION DE MUJERES PARA EJERCER LIDERAZGO EN LA COMUNIDAD DE LA LOCALIDAD DE LA VIRGEN Y TURISTICA, CARTAGENA DE INDIAS</t>
  </si>
  <si>
    <t>2021130010125 DIVERSIDAD SEXUAL Y NUEVAS IDENTIDADES DE GENERO EN LA LOCALIDAD</t>
  </si>
  <si>
    <t>2021130010126 FORTALECIMIENTO TECNICO Y LOGISTICO DE LAS ORGANIZACIONES COMUNALES DE LA LOCALIDAD DE LA VIRGEN Y TURISTICA CARTAGENA DE INDIAS</t>
  </si>
  <si>
    <t>2021130010127 FORTALECIMIENTO TECNICO Y LOGISTICO DEL CONSEJO LOCAL DE PLANEACION DE LA LOCALIDAD DE LA VIRGEN Y TURISTICA, CARTAGENA DE INDIAS</t>
  </si>
  <si>
    <t>2021130010131 FORMACION SOCIOPOLITICA PARA IMPULSAR LA PARTICIPACION CIUDADANA DE LOS JOVENES DE LA LOCALIDAD DE LA VIRGEN Y TURISTICA CARTAGENA DE INDIAS</t>
  </si>
  <si>
    <t>2021130010132 FORTALECIMIENTO ORGANIZACIONAL ASOCIADO A LA ATENCION DE PERSONAS MAYORES EN CENTROS DE VIDA DE LA LOCALIDAD DE LA VIRGEN Y TURISTICA CARTAGENA DE INDIAS</t>
  </si>
  <si>
    <t>2022130010002 CONSTRUCCION Y ADECUACION DE LA MALLA VIAL DEL LA LOCALIDAD DE LA VIRGEN Y TURISTICA DEL DISTRITO DE CARTAGENA DE INDIAS BOLIVAR</t>
  </si>
  <si>
    <t>2022130010003 ADECUACION DE ESCENARIOS PARA RECREACION Y DEPORTE EN LA LOCALIDAD DE LA VIRGEN Y TURISTICA</t>
  </si>
  <si>
    <t xml:space="preserve">2022130010005 FORTALECIMIENTO AL CUIDADO INCLUSIVO DE LA POBLACION CON DISCAPACIDAD EN LA LOCALIDAD  DE LA VIRGEN Y TURISTICA EN CARTAGENA DE INDIAS,     </t>
  </si>
  <si>
    <t>2022130010006 FORTALECIMIENTO DE LA CONVIVENCIA Y SEGURIDAD CIUDADANA</t>
  </si>
  <si>
    <t>2022130010007 IMPLEMENTACION Y MANTENIMIENTO DE HERRAMIENTAS TECNOLOGICAS PARA SEGURIDAD Y SOCORRO EN LA LOCALIDAD DE LA VIRGEN Y TURISTICA DE CARTAGENA DE INDIAS CARTAGENA DE INDIAS</t>
  </si>
  <si>
    <t>2022130010009 CONSTRUCCION DE POZOS PROFUNDOS PARA EL DESARROLLO AGROPECUARIO EN LA VEREDA PUA EN EL CORREGIMIENTO DE ARROYO DE PIEDRA DEL DISTRITO DE   CARTAGENA DE INDIAS</t>
  </si>
  <si>
    <t>2020130010292 ACTUALIZACION  PLAN DE SANEAMIENTO Y MANEJO DE VERTIMIENTOS PSMV ETV+  CARTAGENA DE INDIAS</t>
  </si>
  <si>
    <t>2021130010196 ADMINISTRACION DEL FONDO DE SOLIDARIDAD Y REDISTRIBUCION DEL INGRESOS PARA LOS SERVICIOS PUBLICOS DOMICILIARIOS DE ACUEDUCTO, ALCANTARILLADO Y ASEO EN EL DISTRITO DE CARTAGENA DE INDIAS</t>
  </si>
  <si>
    <t>2021130010208  ACTUALIZACION EXTENSION DE REDES DE ACUEDUCTO EN EL DISTRITO DE CARTAGENA  DE INDIAS</t>
  </si>
  <si>
    <t>2021130010208  ACTUALIZACION EXTENSION DE REDES DE ACUEDUCTO EN EL DISTRITO DE CARTAGENA CARTAGENA DE INDIAS</t>
  </si>
  <si>
    <t>2021130010218 PROTECCION DE PREDIOS QUE CONSITUYEN AREAS DE IMPORTANCIA ESTRATEGICA AIE PARA EL SISTEMA DE ACUEDUCTO DEFINIDO EN EL POMCA EN EL DISTRITO DE CARTAGENA DE INDIAS,</t>
  </si>
  <si>
    <t>2021130010292 DEFINICION E IMPLEMENTACION DEL ESQUEMA DE PRESTACION DE LOS SERVICIOS  DE ACUEDUCTO Y ALCANTARILLAO DE LAS COMUNIDADES DE TIERRABOMBA, ARCHIPIELAGO DE SAN BERNARDO, ISLA FUERTE E ISLA DE BARU</t>
  </si>
  <si>
    <t>2021130010292 DEFINICION E IMPLEMENTACION DEL ESQUEMA DE PRESTACION DE LOS SERVICIOS DE ACUEDUCTO Y ALCANTARILLADO DE LAS COMUNIDADES DE TIERRA BOMBA, ARCHIPIELAGO DE SAN BERNARDO, ISLA FUERTE E ISLA DE BARU,</t>
  </si>
  <si>
    <t xml:space="preserve">2021130010293 SANEAMIENTO DE FORMA SEGURA PARA TODOS EN EL DISTRITO DE CARTAGENA </t>
  </si>
  <si>
    <t>2021130010195 IMPLEMENTACION DE LA OPTIMIZACION DEL SERVICIO DE ALUMBRADO PUBLICO Y EL SUMINISTRO DE ENERGIA PARA EL SISTEMA, EN EL DISTRITO DE CARTAGENA DE INDIAS</t>
  </si>
  <si>
    <t xml:space="preserve">2021130010195 IMPLEMENTACION DE LA OPTIMIZACION DEL SERVICIO DE ALUMBRADO PUBLICO Y EL SUMINISTRO DE ENERGIA PARA EL SISTEMA, EN EL DISTRITO DE CARTAGENA DE INDIAS </t>
  </si>
  <si>
    <t>2021130010202 IMPLEMENTACION DE LA GARANTIA AL ACCESO A UNA ENERGIA LIMPIA, ASEQUIBLE, SEGURA, SOSTENIBLE, MODERNA Y EFICIENTE PARA LAS ZONAS RURAL E INSULAR DE CARTAGENA DE INDIAS</t>
  </si>
  <si>
    <t>2021130010212 ACTUALIZACION IMPLEMENTACION DEL PLAN DE GESTION INTEGRAL DE RESIDUOS SOLIDOS (PGIRS) EN EL DISTRITO DE CARTAGENA DE INDIAS CARTAGENA DE INDIAS</t>
  </si>
  <si>
    <t>2021130010288 DESARROLLO DE UN SISTEMA DE INFORMACION DE LOS SERVICIOS PUBLICOS DEL DISTRITO CARTAGENA DE INDIAS</t>
  </si>
  <si>
    <t>2021130010174 ADMINISTRACION Y OPERACION DE LOS CEMENTERIOS PUBLICOS DISTRITALES  POR UNA CARTAGENA LIBRE Y RESILIENTE CARTAGENA DE INDIAS</t>
  </si>
  <si>
    <t>2021130010174 ADMINISTRACION Y OPERACION DE LOS CEMENTERIOS PUBLICOS DISTRITALES ? POR UNA CARTAGENA LIBRE Y RESILIENTE? CARTAGENA DE INDIAS</t>
  </si>
  <si>
    <t>2021130010172 IMPLEMENTACION DEL PROGRAMA DE FORMACION INTEGRAL ESCUELA TALLER CARTAGENA DE INDIAS DEL DISTRITO DE  CARTAGENA DE INDIAS</t>
  </si>
  <si>
    <t>2021130010190 FORTALECIMIENTO DEL SISTEMA INTEGRADO DE MERCADOS PUBLICOS MEDIANTE EL DESARROLLO DE ACTIVIDADES Y/O ACTUACIONES ADMINISTRATIVAS, OPERATIVAS, JURIDICAS, CONTRACTUALES Y AMBIENTALES EN EL DISTRITO DE CARTAGENA DE INDIAS</t>
  </si>
  <si>
    <t>2021130010193 FORMULACION PLAN DE INTERNACIONALIZACION DE CARTAGENA DE INDIAS</t>
  </si>
  <si>
    <t>2021130010216 FORTALECIMIENTO DEL ECOSISTEMA DE COOPERACION DEL DISTRITO DE CARTAGENA DE INDIAS</t>
  </si>
  <si>
    <t xml:space="preserve">2021130010290 DESARROLLO DEL ECOSISTEMA DIGITAL BASADO EN LA CUARTA REVOLUCION INDUSTRIAL CARTAGENA DE INDIAS </t>
  </si>
  <si>
    <t>2021130010146 APOYO A LA REALIZACION DEL FESTIVAL INTERNACIONAL DE CINE DE CARTAGENA FICCI 2021 PARA LOS BARRIOS DE CARTAGENA DE INDIAS</t>
  </si>
  <si>
    <t>2021130010204 CONSOLIDACION DE LA CONECTIVIDAD PARA CARTAGENA DE INDIAS</t>
  </si>
  <si>
    <t>2021130010278 IMPLEMENTACION DEL PROYECTO CARTAGENA XVI FESTIVAL DE MUSICA CARTAGENA DE INDIAS</t>
  </si>
  <si>
    <t xml:space="preserve">2021130010289 APOYO PARA LA IMPLEMENTACION DE HAY FESTIVAL CARTAGENA DE INDIAS DIGITAL EN EL DISTRITO DE CARTAGENA DE INDIAS </t>
  </si>
  <si>
    <t>2021130010205 CONSOLIDACION DE LA PROMOCION NACIONAL E INTERNACIONAL DE CARTAGENA DE INDIAS</t>
  </si>
  <si>
    <t>2021130010203 DESARROLLO DEL TURISMO COMPETITIVO Y SOSTENIBLE PARA CARTAGENA DE INDIAS</t>
  </si>
  <si>
    <t>2020130010277 INTEGRACION DEL SISTEMA DE GESTION DE LA CALIDAD Y EL SERVICIO AL CIUDADANO PARA LA IMPLEMENTACION DEL MODELO INTEGRADO DE PLANEACION Y GESTION EN LA SECRETARIA GENERAL -TG+ CARTAGENA DE INDIAS</t>
  </si>
  <si>
    <t>2021130010178 GESTION DOCUMENTAL, MEDIANTE EL AVANCE EN LA IMPLEMENTACION DEL PLAN INSTITUCIONAL DE ARCHIVO-PINAR, PARA AUMENTAR LA EFICIENCIA Y EFICACIA EN LOS PROCESOS DOCUMENTALES</t>
  </si>
  <si>
    <t>2021130010285 DISE?O IMPLEMENTACION DE LA ESTRATEGIA DISTRITAL DE TRANSPARENCIA, PREVENCION DE LA CORRUPCION Y CULTURA CIUDADANA ANTICORRUPCION, PARA EL FORTALECIMIENTO DE LA CONFIANZA EN LAS INSTITUCIONES DEL DISTRITO DE CARTAGENA DE INDIAS</t>
  </si>
  <si>
    <t>2021130010189 TRANSFORMACION DIGITAL PARA UNA CARTAGENA INTELIGENTE CON TODOS Y PARA TODOS CARTAGENA DE INDIAS</t>
  </si>
  <si>
    <t>2021130010287 INSTALACION DE ZONAS WIFI EN LA ALCALDIA DISTRITAL DE CARTAGENA DE INDIAS</t>
  </si>
  <si>
    <t>2021130010199 MODERNIZACION CARTAGENA HACIA LA MODERNIDAD  CARTAGENA DE INDIAS</t>
  </si>
  <si>
    <t>2021130010284 INVENTARIO ?SANEAMIENTO INTEGRAL DEL PATRIMONIO INMOBILIARIO DEL DISTRITO DE CARTAGENA?, CARTAGENA DE INDIAS</t>
  </si>
  <si>
    <t>2021130010286 DISE?O IMPLEMENTACION DE AUDITORIA FORENSE PARA LA PROTECCION Y RECUPERACION DEL PATRIMONIO PUBLICO DE CARTAGENA DE INDIAS</t>
  </si>
  <si>
    <t>2021130010155 ESTUDIOS Y DISE?OS CONSTRUCCION, MEJORAMIENTO Y REHABILITACION DE VIAS PARA EL TRANSPORTE Y LA MOVILIDAD EN EL DISTRITO DE CARTAGENA DE INDIAS</t>
  </si>
  <si>
    <t>2021130010155 ESTUDIOS Y DISE?OS, CONSTRUCCION, MEJORAMIENTO Y REHABILITACION DE VIAS PARA EL TRANSPORTE Y LA MOVILIDAD EN EL DISTRITO DE CARTAGENA DE INDIAS</t>
  </si>
  <si>
    <t>2021130010215 ESTUDIOS TECNICOS, DISE?OS Y OBRAS CONTINGENTES DERIVADAS DE SENTENCIAS JUDICIALES Y OBRAS DE EMERGENCIA EN INFRAESTRUCTURA DIFERENTES A VIAS EN EL DISTRITO DE CARTAGENA DE INDIAS</t>
  </si>
  <si>
    <t>2021130010141 CONSTRUCCION, RECTIFICACION Y RECUPERACION DEL SISTEMA HIDRICO Y PLAN MAESTRO DE ALCANTARILLADO PLUVIAL PARA SALVAR EL HABITAT EN EL DISTRITO DE CARTAGENA DE INDIAS</t>
  </si>
  <si>
    <t>2021130010184 RECUPERACION Y APROVECHAMIENTO INTEGRAL DEL SISTEMA INTEGRAL DE CA?OS, LAGOS Y CIENAGAS DEL DISTRITO DE CARTAGENA DE INDIAS</t>
  </si>
  <si>
    <t xml:space="preserve">2021130010184 RECUPERACION Y APROVECHAMIENTO INTEGRAL DEL SISTEMA INTEGRAL DE CA?OS, LAGOS Y CIENAGAS DEL DISTRITO DE CARTAGENA DE INDIAS </t>
  </si>
  <si>
    <t>2021130010035 ELABORACION DE ESTUDIOS Y DISE?OS AJUSTADOS DE LA VIA PERIMETRAL EN EL MARCO DEL PROGRAMA ORDENACION TERRITORIAL Y RECUPERACION SOCIAL AMBIENTAL Y URBANA DE LA CIENAGA DE LA VIRGEN EN EL DISTRITO DE  CARTAGENA DE INDIAS</t>
  </si>
  <si>
    <t>2021130010121 ADECUACION DE CENTROS DE SALUD PARA LA POBLACION NEGRA AFROCOLOMBIANA RAIZAL Y PALENQUERA EN EL DISTRITO DE   CARTAGENA DE INDIAS</t>
  </si>
  <si>
    <t>2020130010052 ADMINISTRACION DEL TALENTO HUMANO DEL SERVICIO EDUCATIVO OFICIAL DOCENTES, DIRECTIVOS DOCENTES Y ADMINISTRATIVOS DEL DISTRITO DE   CARTAGENA DE INDIAS</t>
  </si>
  <si>
    <t>2020130010052 ADMINISTRACION DEL TALENTO HUMANO DEL SERVICIO EDUCATIVO OFICIAL DOCENTES, DIRECTIVOS DOCENTES Y ADMINISTRATIVOS DEL DISTRITO DE CARTAGENA DE INDIAS</t>
  </si>
  <si>
    <t>2020130010057 OPTIMIZACION DE LA OPERACION DE LAS INSTITUCIONES EDUCATIVAS OFICIALES DEL DISTRITO DE   CARTAGENA DE INDIAS</t>
  </si>
  <si>
    <t>2020130010065 IMPLEMENTACION DE LA ESTRATEGIA ESCUELA DINAMICA: LLEGO Y ME QUEDO EN LA ESCUELA EN EL DISTRITO DE  CARTAGENA DE INDIAS</t>
  </si>
  <si>
    <t>2020130010082 IMPLEMENTACION DE LA ESTRATEGIA PERMANECER : MI ESCUELA, MI LUGAR FAVORITO, TRANSPORTE Y OTRAS ESTRATEGIAS DE PERMANENCIA EN CARTAGENA DE INDIAS</t>
  </si>
  <si>
    <t>2020130010082 IMPLEMENTACION DE LA ESTRATEGIA PERMANECER: MI ESCUELA, MI LUGARFAVORITO, TRANSPORTE Y OTRAS ESTRATEGIAS DE PERMANENCIA EN  CARTAGENA DE INDIAS</t>
  </si>
  <si>
    <t>2020130010085 IMPLEMENTACION DE LA ESTRATEGIA ESCUELA DINAMICA: YO TAMBIEN LLEGO , ATENCION A POBLACION CON EXTRAEDAD EN EL  DISTRITO DE CARTAGENA DE INDIAS</t>
  </si>
  <si>
    <t>2020130010085 IMPLEMENTACION DE LA ESTRATEGIA ESCUELA DINAMICA: YO TAMBIEN LLEGO, ATENCION A POBLACION CON EXTRAEDAD EN EL DISTRITO DE  CARTAGENA DE INDIAS</t>
  </si>
  <si>
    <t>2020130010094 FORTALECIMIENTO DE LOS AMBIENTES DE APRENDIZAJE DE LAS SEDES DE LAS INSTITUCIONES EDUCATIVAS DE  CARTAGENA DE INDIAS</t>
  </si>
  <si>
    <t>2020130010117 IMPLEMENTACION DE LA ESTRATEGIA UNICOS E INAGOTABLES PARA LA ATENCION A POBLACION DIVERSA: UNA ESCUELA DE Y PARA TODAS Y TODOS, EN  CARTAGENA DE INDIAS</t>
  </si>
  <si>
    <t>2020130010136 IMPLEMENTACION DE LA ESTRATEGIA UNICOS E INAGOTABLES ACOGIDA - ATENCION A JOVENES Y ADULTOS EN EL DISTRITO DE  CARTAGENA DE INDIAS</t>
  </si>
  <si>
    <t>2020130010195 IMPLEMENTACION DE LA ESTRATEGIA PERMANECER: ME ALIMENTO Y APRENDO ALIMENTACION ESCOLAR EN  CARTAGENA DE INDIAS</t>
  </si>
  <si>
    <t xml:space="preserve">2020130010195 IMPLEMENTACION DE LA ESTRATEGIA PERMANECER: ME ALIMENTO Y APRENDO ALIMENTACION ESCOLAR EN  CARTAGENA DE INDIAS </t>
  </si>
  <si>
    <t>2020130010256 IMPLEMENTACION DE LA ESTRATEGIA SENDERO DE LA CREATIVIDAD: TRANSITO ARMONICO DE EDUCACION INICIAL A PREESCOLAR EN EL MARCO DEL PROGRAMA SABIDURIA DE LA PRIMERA INFANCIA  EN  CARTAGENA DE INDIAS</t>
  </si>
  <si>
    <t>2020130010270 IMPLEMENTACION DE LA ESTRATEGIA DESCUBRIENDO EL MUNDO: UNA ESCUELA QUE ACOGE LA PRIMERA INFANCIA EN EL MARCO DEL PROGRAMA SABIDURIA DE LA PRIMERA INFANCIA EN  CARTAGENA DE INDIAS</t>
  </si>
  <si>
    <t>2021130010036 IMPLEMENTACION DE LA ESTRATEGIA DESCUBRIENDO EL MUNDO: UN GOBIERNO QUE CREE EN LAS NI?AS Y LOS NI?OS EN EL MARCO DEL PROGRAMA SABIDURIA DE LA PRIMERA INFANCIA -TG+ EN  CARTAGENA DE INDIAS</t>
  </si>
  <si>
    <t>2020130010186 MEJORAMIENTO DE LA CALIDAD EDUCATIVA DE LAS INSTITUCIONES EDUCATIVAS DEL DISTRITO: FORMANDO CON AMOR  CARTAGENA DE INDIAS</t>
  </si>
  <si>
    <t>2020130010257 FORTALECIMIENTO DE LAS PRACTICAS ETNOEDUCATIVAS EN INSTITUCIONES EDUCATIVAS OFICIALES  DEL DISTRITO   CARTAGENA DE INDIAS</t>
  </si>
  <si>
    <t>2020130010185 FORTALECIMIENTO DE LA GESTION ESCOLAR PARA EL MEJORAMIENTO DE LA CALIDAD EDUCATIVA   CARTAGENA DE INDIAS</t>
  </si>
  <si>
    <t>2021130010227 FORTALECIMIENTO DE LOS PROCESOS FORMATIVOS EN LAS INSTITUCIONES EDUCATIVAS OFICIALES DEL DISTRITO DE CARTAGENA: DESARROLLO DE POTENCIALIDADES</t>
  </si>
  <si>
    <t>2020130010240 FORMACION DE LOS DERECHOS HUMANOS DE LAS MUJERES DIRIGIDO A NI?AS NI?OS Y JOVENES DE LAS INSTITUCIONES EDUCATIVAS OFICIALES DEL DISTRITO: PARTICIPACION DEMOCRACIA Y AUTONOMIA  CARTAGENA DE INDIAS</t>
  </si>
  <si>
    <t>2021130010224 FORTALECIMIENTO DE LA EDUCACION INTEGRAL DESDE LA PARTICIPACION, DEMOCRACIA Y AUTONOMIA  EN LAS INSTITUCIONES EDUCATIVAS OFICIALES DEL DISTRITO DE CARTAGENA?</t>
  </si>
  <si>
    <t>2021130010226 TRANSFORMACION DEL APRENDIZAJE, INSPIRANDO, CREANDO Y DISE?ANDO CON LAS TECNOLOGIAS DE LA INFORMACION Y LAS COMUNICACIOONES EN LAS IEO Y SED DEL DISTRITO DE CARTAGENA DE INDIAS</t>
  </si>
  <si>
    <t>2020130010162 MEJORAMIENTO DEL PROCESO FORMATIVO DE LA EDUCACION MEDIA TECNICA OFICIAL EN LAS IEO  DESARROLLO DE POTENCIALIDADES PRODUCTIVAS DE   CARTAGENA DE INDIAS</t>
  </si>
  <si>
    <t>2020130010268 CONSOLIDACION DE BECAS UNIVERSITARIAS PARA EGRESADOS DE LAS INSTITUCIONES EDUCATIVAS  OFICIALES  DE  CARTAGENA DE INDIAS</t>
  </si>
  <si>
    <t>2020130010268 CONSOLIDACION DE BECAS UNIVERSITARIAS PARA EGRESADOS DE LAS INSTITUCIONES EDUCATIVAS OFICIALES DE  CARTAGENA DE INDIAS</t>
  </si>
  <si>
    <t>2020130010268 CONSOLIDACION DE BECAS UNIVERSITARIAS PARA EGRESADOS DE LAS INSTITUCIONES EDUCATIVAS OFICIALES DE CARTAGENA DE INDIAS</t>
  </si>
  <si>
    <t>2020130010309 APOYO AL MEJORAMIENTO DE LAS COMPETENCIAS LABORALES DE LOS EGRESADOS DE LAS INSTITUCIONES EDUCATIVAS OFICIALES DE   CARTAGENA DE INDIAS</t>
  </si>
  <si>
    <t>2020130010139 MODERNIZACION Y FORTALECIMIENTO DE LA GESTION EDUCATIVA DEL DISTRITO DE   CARTAGENA DE INDIAS</t>
  </si>
  <si>
    <t>2020130010165 MEJORAMIENTO DEL BIENESTAR Y PROTECCION DE LOS FUNCIONARIOS DE LA SECRETARIA DE EDUCACION DISTRITAL  PARA CONTRIBUIR A UNA MEJOR CALIDAD DE VIDA EN EL DISTRITO DE  CARTAGENA DE INDIAS</t>
  </si>
  <si>
    <t>2021130010039 FORMULACION POLITICA PUBLICA DISTRITAL SECTOR EDUCATIVO EG+  CARTAGENA DE INDIAS</t>
  </si>
  <si>
    <t>2021130010182 SERVICIO DE ESTERILIZACION DE CANINOS Y FELINOS EN EL DISTRITO DE CARTAGENA-0 CARTAGENA DE INDIAS</t>
  </si>
  <si>
    <t>2021130010185 IMPLEMENTACION PROYECTO DE ATENCION Y PROTECCION ANIMAL - VEHICULOS DE TRACCION ANIMAL CARTAGENA DE INDIAS</t>
  </si>
  <si>
    <t>2021130010225 ELABORACION POLITICA PUBLICA Y REGLAMENTACION PROYECTOS PROTECCION ANIMAL CARTAGENA DE INDIAS</t>
  </si>
  <si>
    <t>2020130010103 IMPLEMENTACION ESTRATEGIAS DE EMPRENDIMIENTO Y EMPRESARISMO PARA LA INCLUSION PRODUCTIVA Y LA VINCULACION LABORAL EN EL DISTRITO DE CARTAGENA:  CENTROS PARA EL EMPRENDIMIENTO Y LA GESTION DE LA EMPLEABILIDAD  CARTAGENA DE INDIAS</t>
  </si>
  <si>
    <t>2021130010186 ASISTENCIA CARTAGENA EMPRENDEDORA PARA PEQUE?OS PRODUCTORES RURALES CARTAGENA DE INDIAS</t>
  </si>
  <si>
    <t>2020130010102 FORTALECIMIENTO MUJERES CON AUTONOMIA ECONOMICA  CARTAGENA DE INDIAS</t>
  </si>
  <si>
    <t>2020130010101 FORTALECIMIENTO EMPLEO INCLUSIVO PARA LOS JOVENES-0  CARTAGENA DE INDIAS</t>
  </si>
  <si>
    <t xml:space="preserve">2021130010183 PRESTACION DEL SERVICIO DE EXTENSION RURAL AGROPECUARIA A LOS PEQUE?OS PRODUCTORES ASENTADOS EN LA ZONA RURAL DEL DISTRITO DE CARTAGENA DE INDIAS </t>
  </si>
  <si>
    <t>2021130010219 FORTALECIMIENTO DE LA CAPACIDAD ADMINISTRATIVA, OPERATIVA Y TECNOLOGICA DE LAS ORGANIZACIONES COMUNALES DEL DISTRITO DE CARTAGENA DE INDIAS</t>
  </si>
  <si>
    <t>2021130010220 FORTALECIMIENTO DE LA INCIDENCIA DE LOS CIUDADANOS EN LOS PROCESOS DE PARTICIPACION PARA LA CONSTRUCCION DE LO PUBLICO EN EL DISTRITO DE CARTAGENA DE INDIAS</t>
  </si>
  <si>
    <t>2021130010221 FORTALECIMIENTO DE LA GESTION ADMINISTRATIVA Y LABOR SOCIAL DE LOS ORGANISMOS COMUNALES DEL DISTRITO DE CARTAGENA DE INDIAS</t>
  </si>
  <si>
    <t>2021130010237 ASISTENCIA EMPODERAMIENTO DEL LIDERAZGO DE LAS MUJERES NI?EZ JOVENES FAMILIA Y GENERACION INDIGENA  CARTAGENA DE INDIAS</t>
  </si>
  <si>
    <t xml:space="preserve">2021130010187 FORTALECIMIENTO DOTACION Y CAPACITACION A ORGANIZADORES DE PESCADORES PERTENECIENTES A GRUPOS ETNICOS AFRO CARTAGENA DE INDIAS </t>
  </si>
  <si>
    <t>2021130010213 ACTUALIZACION LAS MUJERES DECIDIMOS SOBRE EL EJERCICIO DEL PODER CARTAGENA DE INDIAS</t>
  </si>
  <si>
    <t>2021130010214 ACTUALIZACION Y REFORMULACION DE LA POLITICA PUBLICA DE MUJER CARTAGENA DE INDIAS</t>
  </si>
  <si>
    <t>2021130010233 ACTUALIZACION INSTANCIA RECTORA DE LA POLITICA PUBLICA DE MUJERES CARTAGENA DE INDIAS</t>
  </si>
  <si>
    <t>2021130010228 ACTUALIZACION MUJERES CONSTRUCTORAS DE PAZ-0  CARTAGENA DE INDIAS</t>
  </si>
  <si>
    <t>2021130010229 ACTUALIZACION UNA VIDA LIBRE DE VIOLENCIAS PARA LAS MUJERES  CARTAGENA DE INDIAS</t>
  </si>
  <si>
    <t>2021130010222 ADECUACION CARTAGENA LIBRE DE UNA CULTURA MACHISTA CARTAGENA DE INDIAS CARTAGENA DE INDIAS</t>
  </si>
  <si>
    <t>2020130010119 COMPROMISO CON LA SALVACION DE  NUESTRA PRIMERA INFANCIA EN EL DISTRITO DE  CARTAGENA DE INDIAS</t>
  </si>
  <si>
    <t>2020130010119 COMPROMISO CON LA SALVACION DE NUESTRA PRIMERA INFANCIA EN EL DISTRITO DE CARTAGENA DE INDIAS</t>
  </si>
  <si>
    <t>2020130010112 PROTECCION DE LA INFANCIA Y LA ADOLESCENCIA PARA LA PREVENCION Y ATENCION DE VIOLENCIAS EN EL DISTRITO DE  CARTAGENA DE INDIAS</t>
  </si>
  <si>
    <t xml:space="preserve">2020130010120 LOS NINOS, LAS NINAS Y ADOLESCENTES DE CARTAGENA PARTICIPAN Y DISFRUTAN SUS DERECHOS </t>
  </si>
  <si>
    <t>2020130010110 FORTALECIMIENTO FAMILIAR  CARTAGENA DE INDIAS</t>
  </si>
  <si>
    <t>2020130010170 FORTALECIMIENTO AL PROGRAMA JOVENES PARTICIPANDO Y SALVANDO A  CARTAGENA DE INDIAS</t>
  </si>
  <si>
    <t>2020130010168 FORMULACION E IMPLEMENTACION DE LA POLITICA PUBLICA DE JUVENTUD EN  CARTAGENA DE INDIAS</t>
  </si>
  <si>
    <t>2020130010133 APOYO PARA LA ATENCION INTEGRAL A LOS ADULTOS MAYORES EN CENTROS DE VIDA Y GRUPOS ORGANIZADOS EN EL DISTRITO DE  CARTAGENA DE INDIAS</t>
  </si>
  <si>
    <t>2020130010133 APOYO PARA LA ATENCION INTEGRAL A LOS ADULTOS MAYORES EN CENTROS DE VIDA Y GRUPOS ORGANIZADOS EN EL DISTRITO DE CARTAGENA DE INDIAS</t>
  </si>
  <si>
    <t>2020130010319 APOYO PARA LA ATENCION INTEGRAL AL ADULTO MAYOR EN ESTADO DE ABANDONO MALTRATO Y SITUACION DE CALLE EN EL DISTRITO DE   CARTAGENA DE INDIAS</t>
  </si>
  <si>
    <t>2021130010209 ASISTENCIA EN LA GESTION SOCIAL INTEGRAL Y ARTICULADORA POR LA PROTECCION DE LAS PERSONAS CON DISCAPACIDAD Y/O SU FAMILIA O CUIDADOR-0 CARTAGENA DE INDIAS</t>
  </si>
  <si>
    <t>2021130010211 CONTRIBUCION PACTO O ALIANZA POR LA INCLUSION SOCIAL Y PRODUCTIVA DE LAS PERSONAS CON DISCAPACIDAD EN CARTAGENA DE INDIA</t>
  </si>
  <si>
    <t>2021130010210 DESARROLLO LOCAL INCLUSIVO DE LAS PERSONAS CON DISCAPACIDAD: RECONOCIMIENTO DE CAPACIDADES, DIFERENCIAS Y DIVERSIDAD EN CARTAGENA DE INDIAS</t>
  </si>
  <si>
    <t>2021130010188 APOYO INTEGRAL PARA EL DESARROLLO HUMANO A LAS PERSONAS HABITANTES DE CALLE EN CARTAGENA DE INDIAS</t>
  </si>
  <si>
    <t>2020130010321 APOYO A LA FORMACION PARA EL TRABAJO GENERACION DE INGRESOS Y RESPONSABILIDAD SOCIAL EMPRESARIAL A PERSONAS HABITANTES DE CALLE EN  CARTAGENA DE INDIAS</t>
  </si>
  <si>
    <t>2021130010234 ACTUALIZACION DIVERSIDAD SEXUAL E IDENTIDADES DE GENERO CARTAGENA DE INDIAS</t>
  </si>
  <si>
    <t>2021130010235 FORMULACION DE LA POLITICA PUBLICA DE DIVERSIDAD SEXUAL E IDENTIDADES DE GENERO CARTAGENA DE INDIAS</t>
  </si>
  <si>
    <t>2021130010194 ASISTENCIA NUEVO PROYECTO DE CA?OS LAGOS LAGUNAS Y CIENAGAS DEL DISTRITO DE  CARTAGENA DE INDIAS</t>
  </si>
  <si>
    <t>2020130010300 IMPLEMENTACION OBSERVATORIO DE DINAMICAS URBANAS Y SOCIALES DE CARTAGENA DE INDIAS TG+  CARTAGENA DE INDIAS</t>
  </si>
  <si>
    <t>2021130010261 CONSTRUCCION DE LOS INSTRUMENTOS DE PLANIFICACION (PEMP Y POT) DE LA CIUDAD DE  CARTAGENA DE INDIAS</t>
  </si>
  <si>
    <t>2021130010261 CONSTRUCCION DE LOS INSTRUMENTOS DE PLANIFICACION (PEMP Y POT) DE LA CIUDAD DE CARTAGENA DE INDIAS</t>
  </si>
  <si>
    <t>2021130010262 FORTALECIMIENTO A LA REGLAMENTACION URBANISTICA DEL ORDENAMIENTO TERRITORIAL Y ESTRATEGIAS DE PLANEACION PARA PLANES PARCIALES EN EL DISTRITO DE  CARTAGENA DE INDIAS</t>
  </si>
  <si>
    <t>2021130010271 NORMALIZACION URBANISTICA DE CARTAGENA DE INDIAS</t>
  </si>
  <si>
    <t>2021130010181 ASISTENCIA TECNICA AL PROYECTO DE ELABORACION DE ESTUDIOS Y DISE?OS AJUSTADOS DE LA VIA PERIMETRAL EN EL MARCO DEL PROGRAMA ORDENACION TERRITORIAL RECUPERACION SOCIAL AMBIENTAL URBANA DE LA CIENAGA DE LA VIRGEN DISTRITO DE CARTAGENA DE INDIAS</t>
  </si>
  <si>
    <t>2021130010179 FORTALECIMIENTO DEL PROCESO DE ESTRATIFICACION SOCIOECONOMICA EN EL DISTRITO DE  CARTAGENA DE INDIAS</t>
  </si>
  <si>
    <t>2021130010244 ACTUALIZACION Y OPTIMIZACION DEL SISTEMAS DE INFORMACION GEOGRAFICA PARA LA PLANEACION SOCIAL Y TOMA DE DECISIONES DEL TERRITORIO EN  CARTAGENA DE INDIAS</t>
  </si>
  <si>
    <t>2021130010256 IMPLEMENTACION DE LA METODOLOGIA IV DEL SISBEN EN   CARTAGENA DE INDIAS</t>
  </si>
  <si>
    <t>2021130010003 ASISTENCIA TECNICA Y DESARROLLO DE ACCIONES PARA LA IMPLEMENTACION DEL CATASTRO MULTIPROPOSITO EN EL DISTRITO DE CARTAGENA DE INDIAS - TG+  CARTAGENA DE INDIAS</t>
  </si>
  <si>
    <t>2021130010245 ACTUALIZACION DEL AREA METROPOLITANA DE CARTAGENA DE INDIAS BUSCANDO FORTALECER LA CONSOLIDACION DEL AREA DE INTEGRACION COMO UN ESQUEMA ASOCIATIVO QUE FAVOREZCA EL SURGIMIENTO DE PROYECTOS TERRITORIALES  CARTAGENA DE INDIAS</t>
  </si>
  <si>
    <t>2020130010320 IMPLEMENTACION REGLAMENTACION URBANISTICA PARA LA HABILITACION DE SUELO PARA DESARROLLO ECONOMICO Y URBANO EN EL DISTRITO TG+  CARTAGENA DE INDIAS</t>
  </si>
  <si>
    <t>2020130010332 FORTALECIMIENTO DEL CONSEJO TERRITORIAL DE PLANEACION DEL DISTRITO DE CARTAGANEA DE INDIAS - TG+   CARTAGENA DE INDIAS</t>
  </si>
  <si>
    <t>2021130010001 ASISTENCIA TECNICA PARA MEJORAMIENTO DEL BANCO DE PROGRAMAS Y PROYECTOS CENTRAL Y DE LOS BANCOS DE PROGRAMAS Y PROYECTOS LOCALES DEL DISTRITO DE CARTAGENA DE INDIAS  TG +  CARTAGENA DE INDIAS</t>
  </si>
  <si>
    <t>2021130010257 MODERNIZACION DEL SISTEMA DISTRITAL DE PLANEACION EN  CARTAGENA DE INDIAS</t>
  </si>
  <si>
    <t>2021130010257 MODERNIZACION DEL SISTEMA DISTRITAL DE PLANEACION EN CARTAGENA DE INDIAS</t>
  </si>
  <si>
    <t>2021130010177 ASISTENCIA TECNICA AL DISE?O DE POLITICAS PUBLICAS INTERSECTORIALES Y CON VISION INTEGRAL DE ENFOQUES BASADOS EN DERECHOS HUMANOS EN EL DISTRITO DE  CARTAGENA DE INDIAS</t>
  </si>
  <si>
    <t>2021130010177 ASISTENCIA TECNICA AL DISE?O DE POLITICAS PUBLICAS INTERSECTORIALES Y CON VISION INTEGRAL DE ENFOQUES BASADOS EN DERECHOS HUMANOS EN EL DISTRITO DE CARTAGENA DE INDIAS</t>
  </si>
  <si>
    <t>2020130010063 CONTROL , VIGILANCIA, INSPECCION Y PROMOCION DEL SISTEMA OBLIGATORIO DE GARANTIA DE LA CALIDAD EN EL DISTRITO DE  CARTAGENA DE INDIAS</t>
  </si>
  <si>
    <t>2020130010063 CONTROL, VIGILANCIA, INSPECCION Y PROMOCION DEL SISTEMA OBLIGATORIO DE GARANTIA DE LA CALIDAD EN EL DISTRITO DE  CARTAGENA DE INDIAS</t>
  </si>
  <si>
    <t>2020130010132 DESARROLLO INSTITUCIONAL DEL DEPARTAMENTO ADMINISTRATIVO DISTRITAL DE SALUD DE  CARTAGENA DE INDIAS</t>
  </si>
  <si>
    <t>2020130010151 PROGRAMACION DE LA VIGILANCIA EN SALUD PUBLICA EN EL DISTRITO DE  CARTAGENA DE INDIAS</t>
  </si>
  <si>
    <t>2020130010157 CONTROL Y VIGILANCIA DE MEDICAMENTOS EN EL DISTRITO DE  CARTAGENA DE INDIAS</t>
  </si>
  <si>
    <t>2021130010150 PRESTACION DE SERVICIOS BASICOS DE TECNOLOGIA DE INFORMACION Y COMUNICACION EN SALUD EN EL DEPARTAMENTO ADMINISTRATIVO DISTRITAL DE SALUD DE   CARTAGENA DE INDIAS</t>
  </si>
  <si>
    <t>2021130010153 FORTALECIMIENTO DE LA CALIDAD DE LA ATENCION EN SALUD  PARA LA POBLACION POBRE NO ASEGURADA RESIDENTE  EN EL DISTRITO    CARTAGENA DE INDIAS</t>
  </si>
  <si>
    <t>2021130010153 FORTALECIMIENTO DE LA CALIDAD DE LA ATENCION EN SALUD  PARA LA POBLACION POBRE NO ASEGURADA RESIDENTE EN EL DISTRITO DE CARTAGENA DE INDIAS</t>
  </si>
  <si>
    <t>2021130010153 FORTALECIMIENTO DE LA CALIDAD DE LA ATENCION EN SALUD PARA LA POBLACION POBRE NO ASEGURADA RESIDENTE EN EL DISTRITO CARTAGENA DE INDIAS</t>
  </si>
  <si>
    <t>2021130010156 AMPLIACION Y CONTINUIDAD DE LA AFILIACION AL REGIMEN SUBSIDIADO EN SALUD EN EL DISTRITO DE  CARTAGENA DE INDIAS</t>
  </si>
  <si>
    <t>2021130010156 AMPLIACION Y CONTINUIDAD DE LA AFILIACION AL REGIMEN SUBSIDIADO EN SALUD EN EL DISTRITO DE CARTAGENA DE INDIAS</t>
  </si>
  <si>
    <t>2021130010168 FORTALECIMIENTO DEL CENTRO DE OPERACIONES Y EMERGENCIAS EN SALUD DEL DISTRITO DE  CARTAGENA DE INDIAS</t>
  </si>
  <si>
    <t>2021130010170 FORTALECIMIENTO DE LA GESTION DEL PLAN DE SALUD PUBLICA EN   CARTAGENA DE INDIA</t>
  </si>
  <si>
    <t>2020130010129 FORTALECIMIENTO DE LA PROMOCION DE LA SALUD Y SEGURIDAD EN EL ENTORNO LABORAL DE LA ECONOMIA FORMAL E INFORMAL DEL DISTRITO DE  CARTAGENA DE INDIAS</t>
  </si>
  <si>
    <t>2020130010177 PREVENCION Y PROMOCION DE LA SALUD INFANTIL EN EL DISTRITO DE CARTAGENA DE INDIAS</t>
  </si>
  <si>
    <t>2021130010157 FORTALECIMIENTO DE LA PROMOCION SOCIAL EN SALUD DE LOS GRUPOS POBLACIONALES VULNERABLES Y DE LA PARTICIPACION SOCIAL EN SALUD EN EL DISTRITO DE  CARTAGENA DE INDIAS</t>
  </si>
  <si>
    <t>2020130010150 PREVENCION Y PROMOCION DE LA ZOONOSIS EN EL DISTRITO DE  CARTAGENA DE INDIAS</t>
  </si>
  <si>
    <t>2020130010169 CONTROL Y VIGILANCIA DE LA CALIDAD DEL AGUA PARA CONSUMO HUMANO Y DE DIVERSION EN EL DISTRITO DE  CARTAGENA DE INDIAS</t>
  </si>
  <si>
    <t>2020130010175 SANEAMIENTO EN SEGURIDAD SANITARIA DEL AMBIENTE  CARTAGENA DE INDIAS</t>
  </si>
  <si>
    <t>2020130010130 FORTALECIMIENTO DE VIDA SALUDABLE Y ATENCION DE CONDICIONES CRONICAS NO TRANSMISIBLES EN EL DISTRITO DE  CARTAGENA DE INDIAS</t>
  </si>
  <si>
    <t>2020130010144 PREVENCION Y CONTROL DE LAS ALTERACIONES DE LA SALUD ORAL  CARTAGENA DE INDIAS</t>
  </si>
  <si>
    <t>2020130010145 PREVENCION Y CONTROL DE LAS ALTERACIONES DE LA SALUD VISUAL  CARTAGENA DE INDIAS</t>
  </si>
  <si>
    <t>2020130010146 PREVENCION Y CONTROL DE SALUD AUDITIVA  CARTAGENA DE INDIAS</t>
  </si>
  <si>
    <t>2020130010166 PREVENCION EN SALUD MENTAL EN EL DISTRITO DE  CARTAGENA DE INDIAS</t>
  </si>
  <si>
    <t>2020130010072 FORTALECIMIENTO DE LA NUTRICION, CONSUMO Y APROVECHAMIENTO DE ALIMENTOS DE LA POBLACION DEL DISTRITO DE  CARTAGENA DE INDIAS</t>
  </si>
  <si>
    <t>2020130010158 CONTROL Y VIGILANCIA DE ALIMENTOS EN EL DISTRITO DE   CARTAGENA DE INDIAS</t>
  </si>
  <si>
    <t>2020130010069 MEJORAMIENTO DE LA SALUD SEXUAL Y REPRODUCTIVA DE LOS Y LAS CARTAGENERAS EN EL DISTRITO DE  CARTAGENA DE INDIAS</t>
  </si>
  <si>
    <t>2020130010070 PREVENCION DE LA MORTALIDAD MATERNA Y PERINATAL  CARTAGENA DE INDIAS</t>
  </si>
  <si>
    <t>2020130010058 PREVENCION Y CONTROL DE LA LEPRA EN EL DISTRITO DE  CARTAGENA DE INDIAS</t>
  </si>
  <si>
    <t>2020130010060 PREVENCION Y CONTROL DE LA TUBERCULOSIS EN EL DISTRITO DE  CARTAGENA DE INDIAS</t>
  </si>
  <si>
    <t>2020130010124 PREVENCION Y CONTROL DE LAS ENFERMEDADES INMUNOPREVENIBLES EN EL DISTRITO DE  CARTAGENA DE INDIAS</t>
  </si>
  <si>
    <t>2020130010164 PREVENCION, PROMOCION , VIGILANCIA Y CONTROL DE ENFERMEDADES DE TRANSMISION VECTORIAL EN EL DISTRITO DE CARTAGENA DE INDIAS</t>
  </si>
  <si>
    <t>2020130010164 PREVENCION, PROMOCION, VIGILANCIA Y CONTROL DE ENFERMEDADES DE TRANSMISION VECTORIAL EN EL DISTRITO DE CARTAGENA DE INDIAS</t>
  </si>
  <si>
    <t>2020130010173 PREVENCION , MANEJO Y CONTROL DE LA INFECCION RESPIRATORIA AGUDA EN NI?OS Y NI?AS MENORES DE CINCO A?OS EN  CARTAGENA DE INDIAS</t>
  </si>
  <si>
    <t>2020130010173 PREVENCION, MANEJO Y CONTROL DE LA INFECCION RESPIRATORIA AGUDA EN NI?OS Y NI?AS MENORES DE CINCO A?OS EN  CARTAGENA DE INDIAS</t>
  </si>
  <si>
    <t>2021130010169 SERVICIO  DE GESTION INTEGRAL Y RESPUESTA EN SALUD ANTE EMERGENCIAS Y DESASTRES EN EL DISTRITO DE   CARTAGENA DE INDIAS</t>
  </si>
  <si>
    <t xml:space="preserve">130011101  MODERNIZACION DEL SISTEMA DISTRITAL DE PLANEACION Y DESCENTRALIZACION  </t>
  </si>
  <si>
    <t xml:space="preserve">130011101 MODERNIZACION DEL SISTEMA DISTRITAL DE PLANEACION Y DESCENTRALIZACION  </t>
  </si>
  <si>
    <t xml:space="preserve">2019130010081 IMPLEMENTACION PROYECTO DE HABITOS Y ESTILO DE VIDA SALUDABLE A TRAVES DE LA PRACTICA DEL DEPORTE EN LA LOCALIDAD HISTORICA Y DEL CARIBE NORTE ??COPA ASOJAC ? </t>
  </si>
  <si>
    <t>2021130010012 IMPLEMENTACION PROYECTO MUJERES FORMADAS PARA LA PROMOCION Y EL APRENDIZAJE DE LA DETECCION TEMPRANA DEL CANCER DE CERVIX Y DE MAMA ZONA INSULAR DE LA LOCALIDAD HISTORICA Y DEL CARIBE NORTE DEL DISTRITO DE CARTAGENA DE INDIAS</t>
  </si>
  <si>
    <t>2021130010013 IMPLEMENTACION PROYECTO CREAR Y FORTALECER UNIDADES PRODUCTIVAS CON CAPITAL SEMILLA PARA LA POBLACION DE LA LOCALIDAD HISTORICA Y DEL CARIBE NORTE</t>
  </si>
  <si>
    <t>2021130010014 IMPLEMENTACION PROYECTO MUJERES FORMADAS PARA LA PROMOCION DE SUS DERECHOS SEXUALES Y REPRODUCTIVOS Y LA IGUALDAD DE GENERO ZONA INSULAR O URBANA DE LA LOCALIDAD HISTORICA Y DEL CARIBE NORTE DEL DISTRITO DE CARTAGENA DE INDIAS</t>
  </si>
  <si>
    <t>2021130010015 IMPLEMENTACION DEL PROYECTO DE CAPACITACION A LOS HABITANTES (MUJERES) DE LA LOCALIDAD HISTORICA Y DEL CARIBE NORTE EN EL EMPRENDIMIENTO Y ENCADENAMIENTO PRODUCTIVO INCORPORADO EL ENFOQUE DIFERENCIAL EN EL DISTRITO DE CARTAGENA DE INDIAS,</t>
  </si>
  <si>
    <t xml:space="preserve">2021130010017 IMPLEMENTACION DEL PROYECTO EMPRENDIMIENTO Y GESTION DE LA EMPLEABILIDAD EN LOCALIDAD HISTORICA Y DEL CARIBE NORTE EN EL DISTRITO DE CARTAGENA DE INDIAS, </t>
  </si>
  <si>
    <t xml:space="preserve">2021130010018 IMPLEMENTACION DEL PROYECTO PARA CAPACITAR Y FORMAR A CUIDADORES DE PERSONAS EN CONDICION DE DISCAPACIDAD EN LA LOCALIDAD HISTORICA Y DEL CARIBE NORTE DEL DISTRITO DE CARTAGENA DE INDIAS, </t>
  </si>
  <si>
    <t xml:space="preserve">2021130010019 IMPLEMENTACION PROYECTO APOYANDO EL IMPULSO DE GRUPOS CULTURALES DE LA LOCALIDAD, HISTORICA Y DEL CARIBENORTE  </t>
  </si>
  <si>
    <t>2021130010020 APLICACION PROMOCION DEL EMPRENDIMIENTO JUVENIL EN ZONA INSULAR DE LA LOCALIDAD HISTORICA Y DEL CARIBE NORTE DEL DISTRITO DE CARTAGENA DE INDIAS</t>
  </si>
  <si>
    <t>2021130010021 APLICACION PROMOCION A EL FORTALECIMIENTO Y FORMACION A FRENTES DE SEGURIDAD DE LA LOCALIDAD HISTORICA Y DEL CARIBE NORTE</t>
  </si>
  <si>
    <t>2021130010022 IMPLEMENTACION PROYECTO DE FORMACION EN CONVIVENCIA Y PAZ PARA LOS MIEMBROS DE JAC Y LOS FUNCIONARIOS DE LA ALCALDIA LOCAL LHCN</t>
  </si>
  <si>
    <t>2021130010023 APLICACION PROMOCION DEL EMPRENDIMIEN A PROYECTOS PRODUCTIVOS, QUE INCLUYAN CAPITAL SEMILLA EN POBLACION NEGRA, AFROCOLOMBIANA, RAIZAL EN ZONA INSULAR O URBANA DE LA LOCALIDAD HISTORICA Y DEL CARIBE NORTE DISTRITO DE CARTAGENA DE INDIAS</t>
  </si>
  <si>
    <t>2021130010025 ELABORACION DE ESTUDIOS Y DISE?OS PARA VIAS EN LOS BARRIOS DE LA LOCALIDAD HISTORICA Y DEL CARIBE NORTE DEL DISTRITO DE CARTAGENA</t>
  </si>
  <si>
    <t>2021130010074 IMPLEMENTACION PROYECTO DEL FORTALECIMIENTO DE LA POLITICA NACIONAL DE SALUD MENTAL Y POLITICA INTEGRAL PARA LA PREVENCION Y ATENCION DEL CONSUMO DE SUSTANCIAS PSICOACTIVAS EN LOS NI?OS JOVENES Y ADOLESCENTES</t>
  </si>
  <si>
    <t>2021130010075 FORTALECIMIENTO PARA EL EMPRENDIMIENTO DE NEGOCIOS PARA LOS HABITANTES DE LA LOCALIDAD HISTORICA Y DEL CARIBE NORTE EN EL DISTRITO DE CARTAGENA DE INDIAS,</t>
  </si>
  <si>
    <t>2021130010076 CONSTRUCCION MEJORAMIENTO Y REHABILITACION DE VIAS PARA EL TRANSPORTE Y LA MOVILIDAD EN LA LOCALIDAD HISTORICA Y DEL CARIBE NORTE EN EL DISTRITO DE CARTAGENA</t>
  </si>
  <si>
    <t>2021130010079 CONSTRUCCION MANTENIMIENTOS ADECUACIONES REPARACIONES DE CANCHAS DEPORTIVAS Y PARQUES  EN LA ZONA URBANA DE LA LOCALIDAD HISTORICA Y DEL CARIBE NORTE DEL DISTRITO DE CARTAGENA DE INDIAS</t>
  </si>
  <si>
    <t xml:space="preserve">2021130010079 CONSTRUCCION MANTENIMIENTOS ADECUACIONES REPARACIONES DE CANCHAS DEPORTIVAS Y PARQUES EN LA ZONA URBANA DE LA LOCALIDAD HISTORICA Y DEL CARIBE NORTE DEL DISTRITO DE CARTAGENA DE INDIAS   </t>
  </si>
  <si>
    <t xml:space="preserve">2022130010004 IMPLEMENTACION PROYECTO CAMPA?AS PARA EL RESCATE DE LOS DERECHOS A LOS ADULTOS MAYORES DE LA LOCALIDAD, HISTORICA Y DEL CARIBENORTE  </t>
  </si>
  <si>
    <t>2021130010246 FORTALECIMIENTO DE LA EDUCACION CULTURA Y SEGURIDAD VIAL EN EL DISTRITO DE   CARTAGENA DE INDIAS</t>
  </si>
  <si>
    <t>2021130010247 AMPLIACION Y MANTENIMIENTO DE LA SE?ALIZACION VIAL EN EL DISTRITO DE  CARTAGENA DE INDIAS</t>
  </si>
  <si>
    <t>2021130010247 AMPLIACION Y MANTENIMIENTO DE LA SE?ALIZACION VIAL EN EL DISTRITO DE CARTAGENA DE INDIAS</t>
  </si>
  <si>
    <t>2021130010251 FORMULACION Y ADOPCION DEL PLAN LOCAL DE SEGURIDAD VIAL EN EL DISTRITO DE  CARTAGENA DE INDIAS</t>
  </si>
  <si>
    <t>2021130010248 IMPLEMENTACION DE REINGENIERIA INSTITUCIONAL Y FORTALECIMIENTO FINANCIERO DEL DEPARTAMENTO ADMINISTRATIVO DE TRANSITO Y TRANSPORTE DE   CARTAGENA DE INDIAS</t>
  </si>
  <si>
    <t>2021130010252 DISE?O E IMPLEMENTACION DE UNA PLATAFORMA TECNOLOGICA  VIRTUAL PARA LA INFORMACION Y LA GESTION DE TRAMITES EN EL DEPARTAMENTO ADMINISTRATIVO DE TRANSITO Y TRANSPORTE EN EL DISTRITO DE   CARTAGENA DE INDIAS</t>
  </si>
  <si>
    <t>2021130010253 ESTUDIOS PARA IMPLEMENTAR EL SISTEMA DE FISCALIZACION ELECTRONICA PARA LA REGULACION Y EL CONTROL DEL TRANSITO EN EL DISTRITO DE   CARTAGENA DE INDIAS</t>
  </si>
  <si>
    <t>2020130010329 SUSTITUCION DE VEHICULOS DE TRACCION ANIMAL DEDICADOS AL TRANSPORTE DE CARGA LIVIANA EXISTENTES EN EL DISTRITO DE   CARTAGENA DE INDIAS</t>
  </si>
  <si>
    <t>2021130010249 IMPLEMENTACION SISTEMA DE MOVILIDAD SOSTENIBLE EN EL DISTRITO DE   CARTAGENA DE INDIAS</t>
  </si>
  <si>
    <t>2021130010250 APOYO PARA LA GESTION DEL TRANSPORTE PUBLICO MASIVO COLECTIVO E INDIVIDUAL EN EL DISTRITO DE   CARTAGENA DE INDIAS</t>
  </si>
  <si>
    <t>2020130010239 CONSTRUCCION SISTEMA HIDRICO Y PLAN MAESTRO DE DRENAJES PLUVIALES EN LA CIUDAD DE CARTAGENA PARA SALVAR EL HABITAT  CARTAGENA DE INDIAS</t>
  </si>
  <si>
    <t>2020130010239 CONSTRUCCION SISTEMA HIDRICO Y PLAN MAESTRO DE DRENAJES PLUVIALES EN LA CIUDAD DE CARTAGENA PARA SALVAR EL HABITAT CARTAGENA DE INDIAS</t>
  </si>
  <si>
    <t>2020130010241 CONSTRUCCION PROTECCION COSTERA DE CARTAGENA CIUDAD DE BORDES Y ORILLAS RESILIENTE  CARTAGENA DE INDIAS</t>
  </si>
  <si>
    <t xml:space="preserve">2021130010154 DISE?O Y CONSTRUCCION DE VIAS POR CONTRIBUCION DE VALORIZACION DENTRO DEL PROGRAMA  CARTAGENA SE CONECTA  CARTAGENA DE INDIAS </t>
  </si>
  <si>
    <t>2021130010240 FORMACION INVESTIGACION PREMIOS JORGE PIEDRAHITA ADUEN</t>
  </si>
  <si>
    <t>2021130010232 FORMACION DESARROLLO DE LAS COMPETENCIAS DE LOS SERVIDORES Y SERVIDORAS PUBLICAS DEL DISTRITO DE CARTAGENA DE INDIAS</t>
  </si>
  <si>
    <t>2021130010231 FORMACION DE LA CIUDADANIA LIBRE INCLUYENTE Y TRANSFORMADORA PARA LA DEMOCRACIA 2022 2023</t>
  </si>
  <si>
    <t>2021130010242 FORMACION MI ORGULLO ES CARTAGENA</t>
  </si>
  <si>
    <t>2021130010238 FORMULACION AGENDA PROSPECTIVA DE CIUDAD NUESTRA CARTAGENA SO?ADA CARTAGENA DE INDIAS</t>
  </si>
  <si>
    <t xml:space="preserve">2021130010241 DESARROLLO E IMPLEMENTACION DEL CURSO DE FORMACION VIRTUAL EN LA ESCUELA DE GOBIERNO DEL DISTRITO DE CARTAGENA DE INDIAS </t>
  </si>
  <si>
    <t>2020130010053 DESARROLLO DE LA ESCUELA DE INICIACION Y FORMACION DEPORTIVA - EIFD EN EL DISTRITO DE  CARTAGENA DE INDIAS</t>
  </si>
  <si>
    <t>2020130010053 DESARROLLO DE LA ESCUELA DE INICIACION Y FORMACION DEPORTIVA - EIFD EN EL DISTRITO DE CARTAGENA DE INDIAS</t>
  </si>
  <si>
    <t>2020130010053 DESARROLLO DE LA ESCUELA DE INICIACION Y FORMACION DEPORTIVA EIFD EN EL DISTRITO DE CARTAGENA DE INDIAS</t>
  </si>
  <si>
    <t>2020130010194 FORTALECIMIENTO DEL DEPORTE ESTUDIANTIL MEDIANTE LA IMPLEMENTACION DE LOS JUEGOS INTERCOLEGIADOS Y UNIVERSITARIOS EN EL DISTRITO DE   CARTAGENA DE INDIAS</t>
  </si>
  <si>
    <t>2020130010038 CONSOLIDACION DEL SISTEMA DEPORTIVO DISTRITAL MEDIANTE UNA ESTRATEGIA DE ESTIMULOS Y/O APOYOS A LAS ORGANIZACIONES DEPORTIVAS Y DEPORTISTAS DE ALTOS LOGROS-0  CARTAGENA DE INDIAS</t>
  </si>
  <si>
    <t>2021130010011 INTEGRACION COMUNITARIA A TRAVES DEL DEPORTE COMO HERRAMIENTA PARA LA INCLUSION SOCIAL DESDE LOS DIFERENTES ENFOQUES POBLACIONALES  CARTAGENA DE INDIAS</t>
  </si>
  <si>
    <t>2021130010011 INTEGRACION COMUNITARIA A TRAVES DEL DEPORTE COMO HERRAMIENTA PARA LA INCLUSION SOCIAL DESDE LOS DIFERENTES ENFOQUES POBLACIONALES CARTAGENA DE INDIAS</t>
  </si>
  <si>
    <t>2020130010055 MEJORAMIENTO DE LOS ESTILOS DE VIDA MEDIANTE LA PROMOCION MASIVA DE UNA VIDA ACTIVA DE LA CIUDADANIA EN EL DISTRITO DE  CARTAGENA DE INDIAS</t>
  </si>
  <si>
    <t>2020130010055 MEJORAMIENTO DE LOS ESTILOS DE VIDA MEDIANTE LA PROMOCION MASIVA DE UNA VIDA ACTIVA DE LA CIUDADANIA EN EL DISTRITO DE CARTAGENA DE INDIAS - DEFICIT</t>
  </si>
  <si>
    <t>2021130010230 RECREACION COMUNITARIA Y APROVECHAMIENTO DEL TIEMPO LIBRE, COMO MECANISMO DE COHESION E INTEGRACION SOCIAL EN EL DISTRITO DE   CARTAGENA DE INDIAS</t>
  </si>
  <si>
    <t>2021130010230 RECREACION COMUNITARIA Y APROVECHAMIENTO DEL TIEMPO LIBRE, COMO MECANISMO DE COHESION E INTEGRACION SOCIAL EN EL DISTRITO DE   CARTAGENA DE INDIAS - DEFICIT</t>
  </si>
  <si>
    <t>2021130010270 IMPLEMENTACION DEL OBSERVATORIO DE CIENCIAS APLICADAS AL DEPORTE, LA RECREACION, LA ACTIVIDAD FISICA Y EL APROVECHAMIENTO DEL TIEMPO LIBRE EN EL DISTRITO DE  CARTAGENA DE INDIAS</t>
  </si>
  <si>
    <t>2021130010270 IMPLEMENTACION DEL OBSERVATORIO DE CIENCIAS APLICADAS AL DEPORTE, LA RECREACION, LA ACTIVIDAD FISICA Y EL APROVECHAMIENTO DEL TIEMPO LIBRE EN EL DISTRITO DE CARTAGENA DE INDIAS</t>
  </si>
  <si>
    <t>2020130010036 CONSERVACION , MANTENIMIENTO Y MEJORAMIENTO DE LOS ESCENARIOS DEPORTIVOS DE LA CIUDAD COMO ESTRATEGIA DE PRESERVACION DEL PATRIMONIO MATERIAL DEL DISTRITO DE   CARTAGENA DE INDIAS</t>
  </si>
  <si>
    <t>2020130010036 CONSERVACION , MANTENIMIENTO Y MEJORAMIENTO DE LOS ESCENARIOS DEPORTIVOS DE LA CIUDAD COMO ESTRATEGIA DE PRESERVACION DEL PATRIMONIO MATERIAL DEL DISTRITO DE   CARTAGENA DE INDIAS ? DEFICIT</t>
  </si>
  <si>
    <t>2020130010036 CONSERVACION, MANTENIMIENTO Y MEJORAMIENTO DE LOS ESCENARIOS DEPORTIVOS DE LA CIUDAD COMO ESTRATEGIA DE PRESERVACION DEL PATRIMONIO MATERIAL DEL DISTRITO DE   CARTAGENA DE INDIAS</t>
  </si>
  <si>
    <t>2020130010152 APLICACION A SUBSIDIOS FAMILIARES DE VIVIENDA PARA LA POBLACION BENEFICIADA DEL PROGRAMA JUNTOS POR UNA VIVIENDA DIGNA DE LA CIUDAD DE  CARTAGENA DE INDIAS</t>
  </si>
  <si>
    <t>2020130010152 APLICACION A SUBSIDIOS FAMILIARES DE VIVIENDA PARA LA POBLACION BENEFICIADA DEL PROGRAMA JUNTOS POR UNA VIVIENDA DIGNA DE LA CIUDAD DE CARTAGENA DE INDIAS</t>
  </si>
  <si>
    <t>2020130010153 MEJORAMIENTO DE LAS CONDICIONES DE HABITABILIDAD PARA LA POBLACION BENEFICIADA DEL SECTOR URBANO Y RURAL DEL PROGRAMA MEJORO MI CASA, COMPROMISO DE TODOS DEL DISTRITO DE   CARTAGENA DE INDIAS</t>
  </si>
  <si>
    <t>2020130010154 Titulacion y/o legalizacion de predios para la poblacion beneficiada del programa mi casa a lo legal de la ciudad de  Cartagena de Indias</t>
  </si>
  <si>
    <t>2021130010167 ELABORACION DE DTS Y ADQUISICION DE TIERRAS POR ENAJENACION, EXPROPIACION, EXTINCION DE DOMINIO, CESION, DONACION Y/O COMPRAVENTA PARA LA CONSTRUCCION DE VIVIENDA VIS/VIP DEL PROGRAMA UN LUGAR APTO PARA MI HOGAR CARTAGENA DE INDIAS</t>
  </si>
  <si>
    <t>2020130010306 ELABORACION DE ESTUDIOS SECTORIALES Y SEGUIMIENTO A LA LINEA ESTRATEGICA DE VIVIENDA A TRAVES DE UN OBSERVATORIO DE VIVIENDA DE INTERES SOCIAL DEL PROGRAMA MI CASA MI ENTORNO MI HABITAT DE LA CIUDAD DE CARTAGENA DE INDIAS</t>
  </si>
  <si>
    <t>2020130010307 ELABORACION DE ESTUDIOS PARA LA FORMULACION YO PARTICIPACION EN PLANES PARCIALES DEL PROGRAMA MI CASA MI ENTORNO MI HABITAT DE LA CIUDAD DE CARTAGENA DE INDIAS</t>
  </si>
  <si>
    <t>2020130010308 ELABORACION DE ESTUDIOS Y TRAMITES DE LEGALIZACION URBANISTICA DE BARRIOS DEL PROGRAMA MI CASA MI ENTORNO MI HABITAT DE LA CIUDAD DE CARTAGENA DE INDIAS</t>
  </si>
  <si>
    <t>2020130010042 FORTALECIMIENTO DE LOS PROCESOS DE MEDIACION Y BIBLIOTECAS PARA LA INCLUSION EN EL DISTRITO DE  CARTAGENA DE INDIAS</t>
  </si>
  <si>
    <t>2020130010043 FORTALECIMIENTO DE ESTIMULOS PARA LAS ARTES Y LA CULTURA EN EL DISTRITO DE  CARTAGENA DE INDIAS</t>
  </si>
  <si>
    <t>2020130010045 FORMACION Y DIVULGACION PARA LAS ARTES Y EL EMPRENDIMIENTO EN EL DISTRITO DE  CARTAGENA DE INDIAS</t>
  </si>
  <si>
    <t>2020130010045 FORMACION Y DIVULGACION PARA LAS ARTES Y EL EMPRENDIMIENTO EN EL DISTRITO DE CARTAGENA DE INDIAS</t>
  </si>
  <si>
    <t xml:space="preserve">2021130010006 FORTALECIMIENTO DE PLANES ESPECIALES DE SALVAGUARDIA PARA INCLUSION DE LAS MANIFESTACIONES CULTURALES EN EL DISTRITO DE CARTAGENA DE INDIAS </t>
  </si>
  <si>
    <t>2021130010255 FORTALECIMIENTO Y SALVAGUARDIA DE LAS PRACTICAS SIGNIFICATIVAS DEL PATRIMONIO INMATERIAL EN EL DISTRITO DE CARTAGENA DE INDIAS</t>
  </si>
  <si>
    <t>2020130010213 FORTALECIMIENTO A LA APROPIACION SOCIAL Y DIVULGACION DEL PATRIMONIO MATERIAL EN EL DISTRITO DE  CARTAGENA DE INDIAS</t>
  </si>
  <si>
    <t>2021130010265 FORTALECIMIENTO SALVAGUARDA VALORACION CUIDADO Y CONTROL DEL PATRIMONIO MATERIAL EN EL DISTRITO DE CARTAGENA DE INDIAS</t>
  </si>
  <si>
    <t>2020130010163 PROTECCION Y GARANTIA DE LOS DERECHOS CULTURALES EN EL DISTRITO DE  CARTAGENA DE INDIAS</t>
  </si>
  <si>
    <t>2021130010005 FORTALECIMIENTO Y MODERNIZACION INSTITUCIONAL DEL INSTITUTO DE PATRIMONIO Y CULTURA (IPCC) EN EL DISTRITO DE CARTAGENA DE INDIAS</t>
  </si>
  <si>
    <t>2020130010218 MANTENIMIENTO DE LA INFRAESTRUCTURA CULTURAL PARA LA INCLUSION EN EL DISTRITO DE  CARTAGENA DE INDIAS</t>
  </si>
  <si>
    <t>2020130010218 MANTENIMIENTO DE LA INFRAESTRUCTURA CULTURAL PARA LA INCLUSION EN EL DISTRITO DE CARTAGENA DE INDIAS</t>
  </si>
  <si>
    <t>2021130010264 INVESTIGACION Y DIVULGACION CULTURAL SOBRE EL IMPACTO DE LA CORRUPCION EN EL MARCO DEL PREMIO JORGE PIEDRAHITA ADUEN EN EL DISTRITO DE CARTAGENA DE INDIAS</t>
  </si>
  <si>
    <t>2021130010134 DESARROLLO DEL FESTIVAL DE MEMORIA ORAL UNA ESTRATEGIA PARA LA SOSTENIBILIDAD CULTURAL COMO GARANTIA DE PERMANENCIA DE LOS VALORES CULTURALES EN EL DISTRITO DE CARTAGENA DE INDIAS</t>
  </si>
  <si>
    <t>2021130010090 DESARROLLO DE ACTIVIDADES CULTURALES Y ARTISTICAS PARA LOS JOVENES ENTRE 14 Y 28 A?OS DEL DISTRITO DE   CARTAGENA DE INDIAS</t>
  </si>
  <si>
    <t>2020130010216 DOTACION Y ADECUACION DEL CENTRO DE ATENCION VALORACION Y REHABILITACION DE FAUNA SILVESTRE (CAVR BOCANA) DEL EPA CARTAGENA DE INDIAS</t>
  </si>
  <si>
    <t>2021130010191 IMPLEMENTACION DE UN SISTEMA DE ARBOLADO URBANO EN LA CIUDAD DE  CARTAGENA DE INDIAS</t>
  </si>
  <si>
    <t>2021130010191 IMPLEMENTACION DE UN SISTEMA DE ARBOLADO URBANO EN LA CIUDAD DE CARTAGENA DE INDIAS,</t>
  </si>
  <si>
    <t>2021130010197 RECUPERACION DE AREAS AMBIENTALES DEGRADADAS CARTAGENA DE INDIAS</t>
  </si>
  <si>
    <t>2021130010197 RECUPERACION DE AREAS AMBIENTALMENTE DEGRADADAS  CARTAGENA DE INDIAS</t>
  </si>
  <si>
    <t>2021130010200 IMPLEMENTACION DE UN ORDENAMIENTO PARA EL DESARROLLO AMBIENTAL EN EL AREA DE JURISDICCION DEL ESTABLECIMIENTO PUBLICO AMBIENTAL DE   CARTAGENA DE INDIAS</t>
  </si>
  <si>
    <t>2021130010201 FORMULACION Y ADOPCION DEL PLAN INTEGRAL DE GESTION DEL CAMBIO CLIMATICO PIACC DEL DISTRITO DE CARTAGENA DE INDIAS EN EL MARCO DE LO DISPUESTO POR LA LEY 1931 DEL 2018 BOLIVAR</t>
  </si>
  <si>
    <t>2020130010183 IMPLEMENTACION DEL SISTEMA DE MONITOREO INTELIGENTE AMBIENTAL   CARTAGENA DE INDIAS</t>
  </si>
  <si>
    <t>2020130010183 IMPLEMENTACION DEL SISTEMA DE MONITOREO INTELIGENTE AMBIENTAL CARTAGENA DE INDIAS</t>
  </si>
  <si>
    <t>2020130010201  FORTALECIMIENTO DE LA EDUCACION Y CULTURA AMBIENTAL EN EL DISTRITO DE CARTAGENA DE INDIAS</t>
  </si>
  <si>
    <t>2020130010201 FORTALECIMIENTO DE LA EDUCACION Y CULTURA AMBIENTAL EN EL DISTRITO DE  CARTAGENA DE INDIAS</t>
  </si>
  <si>
    <t>2020130010201 FORTALECIMIENTO DE LA EDUCACION Y CULTURA AMBIENTAL EN EL DISTRITO DE CARTAGENA DE INDIAS</t>
  </si>
  <si>
    <t>2021130010223 FORTALECIMIENTO DE LA INVESTIGACION E INNOVACION PARA LA GESTION AMBIENTAL SOSTENIBLE EN EL DISTRITO DE  CARTAGENA DE INDIAS</t>
  </si>
  <si>
    <t>2021130010223 FORTALECIMIENTO DE LA INVESTIGACION E INNOVACION PARA LA GESTION AMBIENTAL SOSTENIBLE EN EL DISTRITO DE CARTAGENA DE INDIAS</t>
  </si>
  <si>
    <t>2021130010198 IMPLEMENTACION DE LA GESTION INTEGRAL DEL RECURSO HIDRICO  CARTAGENA DE INDIAS</t>
  </si>
  <si>
    <t>2021130010198 IMPLEMENTACION DE LA GESTION INTEGRAL DEL RECUSROS HIDRICO CARTAGENA DE INDIAS</t>
  </si>
  <si>
    <t>2020130010179 GENERACION DE NEGOCIOS VERDES, ECONOMIA CIRCULAR, PRODUCCION Y CONSUMO SOSTENIBLE, NEGOCIOS VERDES INCLUSIVOS EN LA CIUDAD DE   CARTAGENA DE INDIAS</t>
  </si>
  <si>
    <t>2021130010217 FORTALECIMIENTO DE EPA MODERNA EFICIENTE Y TRANSPARENTE EN EL DISTRITO DE  CARTAGENA DE INDIAS</t>
  </si>
  <si>
    <t>2021130010217 FORTALECIMIENTO DE EPA MODERNA EFICIENTE Y TRANSPARENTE EN EL DISTRITO DE CARTAGENA DE INDIAS</t>
  </si>
  <si>
    <t>2020130010203 IMPLEMENTACION DEL SISTEMA DE GESTION HIDRICA DE LA CIENAGA DE LA VIRGEN Y RECUPERACION DEL MANGLAR DE CARTAGENA DE INDIAS MONITOREO INTELIGENTE AMBIENTAL CARTAGENA DE INDIAS</t>
  </si>
  <si>
    <t>2020130010203 IMPLEMENTACION SISTEMA DE GESTION HIDRICA DE LA CIENAGA DE LA VIRGEN Y RECUPERACION DEL MANGLAR DE CARTAGENA DE INDIAS</t>
  </si>
  <si>
    <t>2021130010279 IMPLEMENTACION DEL PROGRAMA VIGILANCIA DE LAS PLAYAS DEL DISTRITO DE  CARTAGENA DE INDIAS</t>
  </si>
  <si>
    <t>2021130010279 IMPLEMENTACION DEL PROGRAMA VIGILANCIA DE LAS PLAYAS DEL DISTRITO DE CARTAGENA DE INDIAS</t>
  </si>
  <si>
    <t>2021130010176 CONSTRUCCION DE CONVIVENCIA PARA LA SEGURIDAD EN CARTAGENA DE INDIAS CARTAGENA DE INDIAS</t>
  </si>
  <si>
    <t>2021130010180 IMPLEMENTACION Y SOSTENIMIENTO DE HERRAMIENTAS TECCNOLOGICAS PARA SEGURIDAD Y SOCORRO EN CARTAGENA DE INDIAS</t>
  </si>
  <si>
    <t>2021130010180 IMPLEMENTACION Y SOSTENIMIENTO DE HERRAMIENTAS TECNOLOGICAS PARA LA SEGURIDAD Y SOCORRO EN</t>
  </si>
  <si>
    <t>2021130010192 FORTALECIMIENTO LOGISTICO PARA LA SEGURIDAD, CONVIVENCIA, JUSTICIA Y SOCORRO EN  CARTAGENA DE INDIAS  CARTAGENA DE INDIAS</t>
  </si>
  <si>
    <t>2021130010192 FORTALECIMIENTO LOGISTICO PARA LA SEGURIDAD, CONVIVENCIA, JUSTICIA Y SOCORRO EN CARTAGENA DE INDIAS</t>
  </si>
  <si>
    <t>2021130010192 FORTALECIMIENTO LOGISTICO PARA LA SEGURIDAD, CONVIVENCIA, JUSTICIA Y SOCORRO EN CARTAGENA DE INDIAS CARTAGENA DE INDIAS</t>
  </si>
  <si>
    <t xml:space="preserve">130012303  MODERNIZACION DEL SISTEMA DISTRITAL DE PLANEACION Y DESCENTRALIZACION  </t>
  </si>
  <si>
    <t>2021130010044 CAPACITACION PARA LOGRAR SENSIBILIZAR Y MEJORAR LA CULTURA AMBIENTAL EN LA LOCALIDAD INDUSTRIAL Y DE LA BAHIA QUE PRESERVE EL EQUILIBRIO NATURAL DE LOS ECOSISTEMAS CARTAGENA DE INDIAS</t>
  </si>
  <si>
    <t>2021130010045 IMPLEMENTACION DE PROTECCION Y ATENCION A LOS ANIMALES EN CONDICION DE CALLE EVITANDO SU REPRODUCCION Y PREVINIENDO EL ABANDONO DE ANIMALES A TRAVES DE CAMPA?AS MASIVAS EN LA LOCALIDAD INDUSTRIAL Y DE LA BAHIA CARTAGENA DE INDIAS</t>
  </si>
  <si>
    <t>2021130010047 DIFUSION DE LAS MEDIDAS NECESARIAS PARA LA ADAPTACION A LOS IMPACTOS GENERADOS POR EL CAMBIO CLIMATICO Y POR LOS ACTUALES NIVELES DE CONTAMINACION, CARTAGENA DE INDIAS</t>
  </si>
  <si>
    <t>2021130010048 APOYO PARA ORIENTAR Y FORMAR EN EMPRENDIMIENTO Y OFICIOS ACORDE CON LA DINAMICA LABORAL Y PRODUCTIVA DE LA LOCALIDAD QUE COADYUVEN A MEJORAR LAS CONDICIONES DE EMPLEABILIDAD DE LOS JOVENES CARTAGENA DE INDIAS</t>
  </si>
  <si>
    <t>2021130010049 FORMACION PARA PROMOVER EL EJERCICIO Y GARANTIA DE LOS DERECHOS ECONOMICOS DE LAS MUJERES COMPETENCIAS LABORALES Y EMPRESARIALES QUE LES PERMITA MEJORAR SUS INGRESOS Y SU AUTONOMICA ECONOMICA A TRAVES DE INICIATIVAS PRODUCTIVAS CARTAGENA DE INDIAS</t>
  </si>
  <si>
    <t>2021130010050 APOYO EL DESARROLLO ECONOMICO SOSTENIBLE E INCLUYENTE DE LA LOCALIDAD PROMOVIENDO LA FORMACION EL EMPRENDIMIENTO Y BRINDANDO LAS ASESORIAS NECESARIAS PARA EL FORTALECIMIENTO DE LA COMPETITIVIDAD Y EMPLEABILIDAD LOCAL CARTAGENA DE INDIAS</t>
  </si>
  <si>
    <t>2021130010051 FORMACION EN ECONOMIA INCLUSIVA COMPETITIVIDAD Y GENERACION DE EMPLEO PARA EL DESARROLLO DE LA ECONOMIA LOCAL EN LA LOCALIDAD INDUSTRIAL Y DE LA BAHIA CARTAGENA DE INDIAS</t>
  </si>
  <si>
    <t>2021130010062 ASISTENCIA MUJER LIBRE DE VIOLENCIA EN LA LOCALIDAD INDUSTRIAL Y DE LA BAHIA   CARTAGENA DE INDIAS</t>
  </si>
  <si>
    <t>2021130010063 FORMACION PARA IMPULSAR LOS ESPACIOS Y PROCESOS DE PARTICIPACION DE LAS MUJERES PARA EL PLENO GOCE DE SUS DERECHOS EN LA LOCALIDAD INDUSTRIAL Y DE LA BAHIA CARTAGENA DE INDIAS</t>
  </si>
  <si>
    <t>2021130010064 FORMACION PARA PROMOVER LOS DERECHOS SEXUALES Y REPRODUCTIVOS EN LA LOCALIDAD INDUSTRIAL Y DE LA BAHIA CARTAGENA DE INDIAS</t>
  </si>
  <si>
    <t>2021130010065 FORTALECIMIENTO DE ESTRATEGIAS PARA GARANTIZAR EL DERECHO FUNDAMENTAL A LA VIDA Y LA INTEGRIDAD PERSONAL EN LA LOCALIDAD INDUSTRIAL Y DE LA BAHIA CARTAGENA DE INDIAS</t>
  </si>
  <si>
    <t>2021130010070 RESTAURACION DE LAS AREAS NATURALES COMO PATRIMONIO AMBIENTAL EN LA LOCALIDAD INDUSTRIAL Y DE LA BAHIA,  CARTAGENA DE INDIAS</t>
  </si>
  <si>
    <t>2021130010073 FORTALECIMIENTO DEL CONSEJO LOCAL DE PLANEACION Y DE LOS CONSEJOS COMUNEROS DE GOBIERNOS URBANOS Y RURALES EN LA LOCALIDAD INDUSTRIAL Y DE LA BAHIA CARTAGENA DE INDIAS</t>
  </si>
  <si>
    <t>2021130010082 FORTALECIMIENTO DEL DEPORTE RECREACION Y LUDICA DE LOS HABITANTES DE LA LOCALIDAD INDUSTRIAL Y DE LA BAHIA CARTAGENA DE INDIAS</t>
  </si>
  <si>
    <t>2021130010083 FORTALECIMIENTO DE LOS PROCESOS DE FORMACION SOBRE LOS DERECHOS DE LOS NI?OS NI?AS Y ADOLESCENTES EN LA LOCALIDAD INDUSTRIAL Y DE LA BAHIA,  CARTAGENA DE INDIAS</t>
  </si>
  <si>
    <t>2021130010085 FORTALECIMIENTO DE LA INCLUSION ETNICA EN LA LOCALIDAD INDUSTRIAL Y DE LA BAHIA,  CARTAGENA DE INDIAS</t>
  </si>
  <si>
    <t>2021130010087 FORTALECIMIENTO A LA ATENCION INCLUSIVA DE LAS PERSONAS CON DISCAPACIDAD EN LA LOCALIDAD INDUSTRIAL Y DE LA BAHIA,  CARTAGENA DE INDIAS</t>
  </si>
  <si>
    <t>2021130010088 FORTALECIMIENTO A LA ATENCION INTEGRAL DE LOS ADULTOS MAYORES DE LA LOCALIDAD INDUSTRIAL Y DE LA BAHIA,  CARTAGENA DE INDIAS</t>
  </si>
  <si>
    <t>2021130010089 FORTALECIMIENTO DE LAS ORGANIZACIONES Y LIDERES COMUNITARIOS PARA LA PARTICIPACION LOCAL EN LA LOCALIDAD INDUSTRIAL Y DE LA BAHIA,  CARTAGENA DE INDIAS</t>
  </si>
  <si>
    <t>2021130010093 FORMACION DE LA POBLACION JUVENIL DE LA LOCALIDAD PARA FOMENTAR SU PARTICIPACION CIUDADANA EN LA LOCALIDAD INDUSTRIAL Y DE LA BAHIA,  CARTAGENA DE INDIAS</t>
  </si>
  <si>
    <t>2021130010095 FORTALECIMIENTO AL DESARROLLO DE LAS EXPRESIONES ARTISTICAS Y CULTURALES EN LA LOCALIDAD INDUSTRIAL Y DE LA BAHIA CARTAGENA DE INDIAS</t>
  </si>
  <si>
    <t>2021130010123 FORTALECIMIENTO DE PROCESOS DE RECONOCIMIENTO Y PROMOCION DE LA DIVERSIDAD SEXUAL EN MEDIO DE LA COMUNIDAD DE LA LOCALIDAD INDUSTRIAL Y DE LA BAHIA, CARTAGENA DE INDIAS,</t>
  </si>
  <si>
    <t>2021130010166 REHABILITACION Y RECONSTRUCCION DE LA MALLA VIAL DE LA LOCALIDAD INDUSTRIAL Y DE LA BAHIA CARTAGENA DE INDIAS</t>
  </si>
  <si>
    <t>2021130010151 AMPLIACION DE LA OFERTA ACADEMICA DE LA INSTITUCION UNIVERSITARIA MAYOR DE CARTAGENA, UMAYOR,CON CALIDAD Y PERTINENCIA EN CARTAGENA DE INDIAS -EG+-0 CARTAGENA DE INDIAS</t>
  </si>
  <si>
    <t>2021130010152 FORTALECIMIENTO DE LA INSTITUCION UNIVERSITARIA MAYOR DE CARTAGENA CARTAGENA DE INDIAS</t>
  </si>
  <si>
    <t>(Todas)</t>
  </si>
  <si>
    <t xml:space="preserve"> SALDO APROPIACIÓN CDP</t>
  </si>
  <si>
    <t>Suma de % CDP</t>
  </si>
  <si>
    <t>Suma de % RP</t>
  </si>
  <si>
    <t>25</t>
  </si>
  <si>
    <t>23</t>
  </si>
  <si>
    <t>22</t>
  </si>
  <si>
    <t>21</t>
  </si>
  <si>
    <t>17</t>
  </si>
  <si>
    <t>16</t>
  </si>
  <si>
    <t>15</t>
  </si>
  <si>
    <t>14</t>
  </si>
  <si>
    <t>13</t>
  </si>
  <si>
    <t>12</t>
  </si>
  <si>
    <t>11</t>
  </si>
  <si>
    <t>10</t>
  </si>
  <si>
    <t>09</t>
  </si>
  <si>
    <t>08</t>
  </si>
  <si>
    <t>07</t>
  </si>
  <si>
    <t>06</t>
  </si>
  <si>
    <t>05</t>
  </si>
  <si>
    <t>04</t>
  </si>
  <si>
    <t>03</t>
  </si>
  <si>
    <t>02</t>
  </si>
  <si>
    <t>01</t>
  </si>
  <si>
    <t>PPTO INICIAL</t>
  </si>
  <si>
    <t>PPTO VIGENTE</t>
  </si>
  <si>
    <t>GIROS.</t>
  </si>
  <si>
    <t>COMPROMISOS.</t>
  </si>
  <si>
    <t xml:space="preserve">PAGOS </t>
  </si>
  <si>
    <t>SALDO APROPIACIÓN RP</t>
  </si>
  <si>
    <t>UNIDAD EJECUTORA</t>
  </si>
  <si>
    <t xml:space="preserve">TOTAL </t>
  </si>
  <si>
    <t xml:space="preserve">25 INSTITUCION UNIVERSITARIA MAYOR DE CARTAGENA </t>
  </si>
  <si>
    <t>Etiquetas de fila</t>
  </si>
  <si>
    <t>(en blanco)</t>
  </si>
  <si>
    <t>Total general</t>
  </si>
  <si>
    <t>Suma de VIGENTE</t>
  </si>
  <si>
    <t>Suma de DISPONIBILIDADES</t>
  </si>
  <si>
    <t>Suma de COMPROMISOS</t>
  </si>
  <si>
    <t>Suma de GIROS</t>
  </si>
  <si>
    <t>Suma de PAGOS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</si>
</sst>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240A]\ * #,##0.00_-;\-[$$-240A]\ * #,##0.00_-;_-[$$-240A]\ * &quot;-&quot;??_-;_-@_-"/>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2D05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cellStyleXfs>
  <cellXfs count="67">
    <xf numFmtId="0" fontId="0" fillId="0" borderId="0" xfId="0"/>
    <xf numFmtId="43" fontId="0" fillId="0" borderId="0" xfId="1" applyFont="1"/>
    <xf numFmtId="1" fontId="0" fillId="0" borderId="0" xfId="0" applyNumberFormat="1"/>
    <xf numFmtId="1" fontId="0" fillId="0" borderId="0" xfId="0" applyNumberFormat="1" applyAlignment="1">
      <alignment horizontal="center"/>
    </xf>
    <xf numFmtId="9" fontId="0" fillId="0" borderId="0" xfId="2" applyFont="1"/>
    <xf numFmtId="44" fontId="0" fillId="0" borderId="0" xfId="44" applyFont="1"/>
    <xf numFmtId="44" fontId="0" fillId="34" borderId="0" xfId="44" applyFont="1" applyFill="1" applyAlignment="1">
      <alignment horizontal="left"/>
    </xf>
    <xf numFmtId="44" fontId="0" fillId="0" borderId="0" xfId="44" applyFont="1" applyAlignment="1">
      <alignment horizontal="left"/>
    </xf>
    <xf numFmtId="9" fontId="0" fillId="0" borderId="0" xfId="2" applyFont="1" applyAlignment="1">
      <alignment horizontal="center"/>
    </xf>
    <xf numFmtId="9" fontId="0" fillId="34" borderId="0" xfId="2" applyFont="1" applyFill="1" applyAlignment="1">
      <alignment horizontal="center"/>
    </xf>
    <xf numFmtId="9" fontId="0" fillId="35" borderId="0" xfId="2" applyFont="1" applyFill="1" applyAlignment="1">
      <alignment horizontal="center"/>
    </xf>
    <xf numFmtId="9" fontId="16" fillId="36" borderId="0" xfId="2" applyFont="1" applyFill="1" applyAlignment="1">
      <alignment horizontal="center"/>
    </xf>
    <xf numFmtId="9" fontId="0" fillId="37" borderId="0" xfId="2" applyFont="1" applyFill="1" applyAlignment="1">
      <alignment horizontal="center"/>
    </xf>
    <xf numFmtId="0" fontId="0" fillId="0" borderId="0" xfId="0" pivotButton="1" applyAlignment="1">
      <alignment wrapText="1"/>
    </xf>
    <xf numFmtId="0" fontId="0" fillId="0" borderId="0" xfId="0" applyAlignment="1">
      <alignment wrapText="1"/>
    </xf>
    <xf numFmtId="0" fontId="0" fillId="34" borderId="0" xfId="0" applyFill="1" applyAlignment="1">
      <alignment horizontal="left" wrapText="1"/>
    </xf>
    <xf numFmtId="0" fontId="0" fillId="35" borderId="0" xfId="0" applyFill="1" applyAlignment="1">
      <alignment horizontal="left" wrapText="1"/>
    </xf>
    <xf numFmtId="0" fontId="16" fillId="36" borderId="0" xfId="0" applyFont="1" applyFill="1" applyAlignment="1">
      <alignment horizontal="left" wrapText="1"/>
    </xf>
    <xf numFmtId="0" fontId="0" fillId="37" borderId="0" xfId="0" applyFill="1" applyAlignment="1">
      <alignment horizontal="left" wrapText="1"/>
    </xf>
    <xf numFmtId="0" fontId="0" fillId="0" borderId="0" xfId="0" applyAlignment="1">
      <alignment horizontal="left" wrapText="1"/>
    </xf>
    <xf numFmtId="0" fontId="0" fillId="33" borderId="0" xfId="0" applyFill="1" applyAlignment="1">
      <alignment horizontal="left" wrapText="1"/>
    </xf>
    <xf numFmtId="9" fontId="0" fillId="0" borderId="0" xfId="2" applyFont="1" applyAlignment="1">
      <alignment wrapText="1"/>
    </xf>
    <xf numFmtId="9" fontId="0" fillId="35" borderId="0" xfId="2" applyFont="1" applyFill="1" applyAlignment="1">
      <alignment horizontal="left" wrapText="1"/>
    </xf>
    <xf numFmtId="9" fontId="16" fillId="36" borderId="0" xfId="2" applyFont="1" applyFill="1" applyAlignment="1">
      <alignment horizontal="left" wrapText="1"/>
    </xf>
    <xf numFmtId="9" fontId="0" fillId="37" borderId="0" xfId="2" applyFont="1" applyFill="1" applyAlignment="1">
      <alignment horizontal="left" wrapText="1"/>
    </xf>
    <xf numFmtId="9" fontId="0" fillId="0" borderId="0" xfId="2" applyFont="1" applyAlignment="1">
      <alignment horizontal="left" wrapText="1"/>
    </xf>
    <xf numFmtId="9" fontId="0" fillId="33" borderId="0" xfId="2" applyFont="1" applyFill="1" applyAlignment="1">
      <alignment horizontal="left" wrapText="1"/>
    </xf>
    <xf numFmtId="9" fontId="0" fillId="0" borderId="0" xfId="2" applyFont="1" applyAlignment="1">
      <alignment horizontal="center" wrapText="1"/>
    </xf>
    <xf numFmtId="9" fontId="0" fillId="34" borderId="0" xfId="2" applyFont="1" applyFill="1" applyAlignment="1">
      <alignment horizontal="center" wrapText="1"/>
    </xf>
    <xf numFmtId="9" fontId="0" fillId="35" borderId="0" xfId="2" applyFont="1" applyFill="1" applyAlignment="1">
      <alignment horizontal="center" wrapText="1"/>
    </xf>
    <xf numFmtId="9" fontId="16" fillId="36" borderId="0" xfId="2" applyFont="1" applyFill="1" applyAlignment="1">
      <alignment horizontal="center" wrapText="1"/>
    </xf>
    <xf numFmtId="9" fontId="0" fillId="37" borderId="0" xfId="2" applyFont="1" applyFill="1" applyAlignment="1">
      <alignment horizontal="center" wrapText="1"/>
    </xf>
    <xf numFmtId="9" fontId="0" fillId="33" borderId="0" xfId="2" applyFont="1" applyFill="1" applyAlignment="1">
      <alignment horizontal="center" wrapText="1"/>
    </xf>
    <xf numFmtId="44" fontId="0" fillId="0" borderId="0" xfId="44" applyFont="1" applyAlignment="1">
      <alignment wrapText="1"/>
    </xf>
    <xf numFmtId="44" fontId="0" fillId="34" borderId="0" xfId="44" applyFont="1" applyFill="1" applyAlignment="1">
      <alignment horizontal="left" wrapText="1"/>
    </xf>
    <xf numFmtId="44" fontId="0" fillId="35" borderId="0" xfId="44" applyFont="1" applyFill="1" applyAlignment="1">
      <alignment horizontal="left" wrapText="1"/>
    </xf>
    <xf numFmtId="44" fontId="16" fillId="36" borderId="0" xfId="44" applyFont="1" applyFill="1" applyAlignment="1">
      <alignment horizontal="left" wrapText="1"/>
    </xf>
    <xf numFmtId="44" fontId="0" fillId="37" borderId="0" xfId="44" applyFont="1" applyFill="1" applyAlignment="1">
      <alignment horizontal="left" wrapText="1"/>
    </xf>
    <xf numFmtId="44" fontId="0" fillId="0" borderId="0" xfId="44" applyFont="1" applyAlignment="1">
      <alignment horizontal="left" wrapText="1"/>
    </xf>
    <xf numFmtId="44" fontId="0" fillId="33" borderId="0" xfId="44" applyFont="1" applyFill="1" applyAlignment="1">
      <alignment horizontal="left" wrapText="1"/>
    </xf>
    <xf numFmtId="44" fontId="0" fillId="0" borderId="0" xfId="44" applyFont="1" applyAlignment="1"/>
    <xf numFmtId="44" fontId="0" fillId="35" borderId="0" xfId="44" applyFont="1" applyFill="1" applyAlignment="1">
      <alignment horizontal="left"/>
    </xf>
    <xf numFmtId="44" fontId="16" fillId="36" borderId="0" xfId="44" applyFont="1" applyFill="1" applyAlignment="1">
      <alignment horizontal="left"/>
    </xf>
    <xf numFmtId="44" fontId="0" fillId="37" borderId="0" xfId="44" applyFont="1" applyFill="1" applyAlignment="1">
      <alignment horizontal="left"/>
    </xf>
    <xf numFmtId="0" fontId="0" fillId="0" borderId="10" xfId="0" pivotButton="1" applyBorder="1" applyAlignment="1">
      <alignment wrapText="1"/>
    </xf>
    <xf numFmtId="44" fontId="0" fillId="0" borderId="10" xfId="44" applyFont="1" applyBorder="1" applyAlignment="1">
      <alignment wrapText="1"/>
    </xf>
    <xf numFmtId="9" fontId="0" fillId="0" borderId="10" xfId="2" applyFont="1" applyBorder="1" applyAlignment="1">
      <alignment horizontal="center" wrapText="1"/>
    </xf>
    <xf numFmtId="0" fontId="0" fillId="33" borderId="10" xfId="0" applyFill="1" applyBorder="1" applyAlignment="1">
      <alignment horizontal="left" wrapText="1"/>
    </xf>
    <xf numFmtId="44" fontId="0" fillId="33" borderId="10" xfId="44" applyFont="1" applyFill="1" applyBorder="1" applyAlignment="1">
      <alignment horizontal="left" wrapText="1"/>
    </xf>
    <xf numFmtId="9" fontId="0" fillId="33" borderId="10" xfId="2" applyFont="1" applyFill="1" applyBorder="1" applyAlignment="1">
      <alignment horizontal="center" wrapText="1"/>
    </xf>
    <xf numFmtId="0" fontId="0" fillId="35" borderId="10" xfId="0" applyFill="1" applyBorder="1" applyAlignment="1">
      <alignment horizontal="left" wrapText="1"/>
    </xf>
    <xf numFmtId="44" fontId="0" fillId="35" borderId="10" xfId="44" applyFont="1" applyFill="1" applyBorder="1" applyAlignment="1">
      <alignment horizontal="left" wrapText="1"/>
    </xf>
    <xf numFmtId="9" fontId="0" fillId="35" borderId="10" xfId="2" applyFont="1" applyFill="1" applyBorder="1" applyAlignment="1">
      <alignment horizontal="center" wrapText="1"/>
    </xf>
    <xf numFmtId="0" fontId="16" fillId="36" borderId="10" xfId="0" applyFont="1" applyFill="1" applyBorder="1" applyAlignment="1">
      <alignment horizontal="left" wrapText="1"/>
    </xf>
    <xf numFmtId="44" fontId="16" fillId="36" borderId="10" xfId="44" applyFont="1" applyFill="1" applyBorder="1" applyAlignment="1">
      <alignment horizontal="left" wrapText="1"/>
    </xf>
    <xf numFmtId="9" fontId="16" fillId="36" borderId="10" xfId="2" applyFont="1" applyFill="1" applyBorder="1" applyAlignment="1">
      <alignment horizontal="center" wrapText="1"/>
    </xf>
    <xf numFmtId="0" fontId="0" fillId="37" borderId="10" xfId="0" applyFill="1" applyBorder="1" applyAlignment="1">
      <alignment horizontal="left" wrapText="1"/>
    </xf>
    <xf numFmtId="44" fontId="0" fillId="37" borderId="10" xfId="44" applyFont="1" applyFill="1" applyBorder="1" applyAlignment="1">
      <alignment horizontal="left" wrapText="1"/>
    </xf>
    <xf numFmtId="9" fontId="0" fillId="37" borderId="10" xfId="2" applyFont="1" applyFill="1" applyBorder="1" applyAlignment="1">
      <alignment horizontal="center" wrapText="1"/>
    </xf>
    <xf numFmtId="0" fontId="0" fillId="0" borderId="10" xfId="0" applyBorder="1" applyAlignment="1">
      <alignment horizontal="left" wrapText="1"/>
    </xf>
    <xf numFmtId="44" fontId="0" fillId="0" borderId="10" xfId="44" applyFont="1" applyBorder="1" applyAlignment="1">
      <alignment horizontal="left" wrapText="1"/>
    </xf>
    <xf numFmtId="9" fontId="0" fillId="0" borderId="10" xfId="2" applyFont="1" applyBorder="1" applyAlignment="1">
      <alignment horizontal="center" vertical="center" wrapText="1"/>
    </xf>
    <xf numFmtId="0" fontId="0" fillId="0" borderId="10" xfId="0" pivotButton="1" applyBorder="1" applyAlignment="1">
      <alignment horizontal="center" vertical="center" wrapText="1"/>
    </xf>
    <xf numFmtId="44" fontId="0" fillId="0" borderId="10" xfId="44" applyFont="1" applyBorder="1" applyAlignment="1">
      <alignment horizontal="center" vertical="center" wrapText="1"/>
    </xf>
    <xf numFmtId="0" fontId="0" fillId="0" borderId="0" xfId="0" applyAlignment="1">
      <alignment horizontal="center" vertical="center"/>
    </xf>
    <xf numFmtId="0" fontId="0" fillId="0" borderId="0" xfId="0" pivotButton="1"/>
    <xf numFmtId="0" fontId="0" fillId="0" borderId="0" xfId="0" applyAlignment="1">
      <alignment horizontal="left"/>
    </xf>
  </cellXfs>
  <cellStyles count="45">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1" builtinId="3"/>
    <cellStyle name="Moneda" xfId="44" builtinId="4"/>
    <cellStyle name="Neutral" xfId="10" builtinId="28" customBuiltin="1"/>
    <cellStyle name="Normal" xfId="0" builtinId="0"/>
    <cellStyle name="Notas" xfId="17" builtinId="10" customBuiltin="1"/>
    <cellStyle name="Porcentaje" xfId="2" builtinId="5"/>
    <cellStyle name="Salida" xfId="12" builtinId="21" customBuiltin="1"/>
    <cellStyle name="Texto de advertencia" xfId="16" builtinId="11" customBuiltin="1"/>
    <cellStyle name="Texto explicativo" xfId="18" builtinId="53" customBuiltin="1"/>
    <cellStyle name="Título" xfId="3" builtinId="15" customBuiltin="1"/>
    <cellStyle name="Título 2" xfId="5" builtinId="17" customBuiltin="1"/>
    <cellStyle name="Título 3" xfId="6" builtinId="18" customBuiltin="1"/>
    <cellStyle name="Total" xfId="19" builtinId="25" customBuiltin="1"/>
  </cellStyles>
  <dxfs count="7244">
    <dxf>
      <font>
        <color rgb="FF9C0006"/>
      </font>
      <fill>
        <patternFill>
          <bgColor rgb="FFFFC7CE"/>
        </patternFill>
      </fill>
    </dxf>
    <dxf>
      <alignment horizontal="center"/>
    </dxf>
    <dxf>
      <alignment horizontal="center"/>
    </dxf>
    <dxf>
      <alignment wrapText="1"/>
    </dxf>
    <dxf>
      <alignment wrapText="1"/>
    </dxf>
    <dxf>
      <alignment wrapText="1"/>
    </dxf>
    <dxf>
      <numFmt numFmtId="13" formatCode="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indent="0"/>
    </dxf>
    <dxf>
      <alignment horizontal="center" indent="0"/>
    </dxf>
    <dxf>
      <alignment horizontal="center" indent="0"/>
    </dxf>
    <dxf>
      <fill>
        <patternFill patternType="solid">
          <bgColor rgb="FF92D050"/>
        </patternFill>
      </fill>
    </dxf>
    <dxf>
      <fill>
        <patternFill patternType="solid">
          <bgColor rgb="FFFFFF00"/>
        </patternFill>
      </fill>
    </dxf>
    <dxf>
      <font>
        <b/>
      </font>
    </dxf>
    <dxf>
      <fill>
        <patternFill patternType="solid">
          <bgColor theme="5" tint="0.39997558519241921"/>
        </patternFill>
      </fill>
    </dxf>
    <dxf>
      <fill>
        <patternFill>
          <bgColor theme="1" tint="0.499984740745262"/>
        </patternFill>
      </fill>
    </dxf>
    <dxf>
      <fill>
        <patternFill patternType="solid">
          <bgColor rgb="FF00B050"/>
        </patternFill>
      </fill>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wrapText="1"/>
    </dxf>
    <dxf>
      <alignment wrapText="1"/>
    </dxf>
    <dxf>
      <alignment wrapText="1"/>
    </dxf>
    <dxf>
      <numFmt numFmtId="13" formatCode="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indent="0"/>
    </dxf>
    <dxf>
      <alignment horizontal="center" indent="0"/>
    </dxf>
    <dxf>
      <alignment horizontal="center" indent="0"/>
    </dxf>
    <dxf>
      <fill>
        <patternFill patternType="solid">
          <bgColor rgb="FF92D050"/>
        </patternFill>
      </fill>
    </dxf>
    <dxf>
      <fill>
        <patternFill patternType="solid">
          <bgColor rgb="FFFFFF00"/>
        </patternFill>
      </fill>
    </dxf>
    <dxf>
      <font>
        <b/>
      </font>
    </dxf>
    <dxf>
      <fill>
        <patternFill patternType="solid">
          <bgColor theme="5" tint="0.39997558519241921"/>
        </patternFill>
      </fill>
    </dxf>
    <dxf>
      <fill>
        <patternFill>
          <bgColor theme="1" tint="0.499984740745262"/>
        </patternFill>
      </fill>
    </dxf>
    <dxf>
      <fill>
        <patternFill patternType="solid">
          <bgColor rgb="FF00B050"/>
        </patternFill>
      </fill>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wrapText="1"/>
    </dxf>
    <dxf>
      <alignment wrapText="1"/>
    </dxf>
    <dxf>
      <alignment wrapText="1"/>
    </dxf>
    <dxf>
      <numFmt numFmtId="13" formatCode="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indent="0"/>
    </dxf>
    <dxf>
      <alignment horizontal="center" indent="0"/>
    </dxf>
    <dxf>
      <alignment horizontal="center" indent="0"/>
    </dxf>
    <dxf>
      <fill>
        <patternFill patternType="solid">
          <bgColor rgb="FF92D050"/>
        </patternFill>
      </fill>
    </dxf>
    <dxf>
      <fill>
        <patternFill patternType="solid">
          <bgColor rgb="FFFFFF00"/>
        </patternFill>
      </fill>
    </dxf>
    <dxf>
      <font>
        <b/>
      </font>
    </dxf>
    <dxf>
      <fill>
        <patternFill patternType="solid">
          <bgColor theme="5" tint="0.39997558519241921"/>
        </patternFill>
      </fill>
    </dxf>
    <dxf>
      <fill>
        <patternFill>
          <bgColor theme="1" tint="0.499984740745262"/>
        </patternFill>
      </fill>
    </dxf>
    <dxf>
      <fill>
        <patternFill patternType="solid">
          <bgColor rgb="FF00B050"/>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numFmt numFmtId="0" formatCode="General"/>
    </dxf>
    <dxf>
      <numFmt numFmtId="0" formatCode="General"/>
    </dxf>
    <dxf>
      <numFmt numFmtId="0" formatCode="General"/>
    </dxf>
    <dxf>
      <numFmt numFmtId="164" formatCode="_-[$$-240A]\ * #,##0.00_-;\-[$$-240A]\ * #,##0.00_-;_-[$$-240A]\ * &quot;-&quot;??_-;_-@_-"/>
    </dxf>
    <dxf>
      <alignment wrapText="1"/>
    </dxf>
    <dxf>
      <alignment wrapText="1"/>
    </dxf>
    <dxf>
      <alignment wrapText="1"/>
    </dxf>
    <dxf>
      <numFmt numFmtId="13" formatCode="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indent="0"/>
    </dxf>
    <dxf>
      <alignment horizontal="center" indent="0"/>
    </dxf>
    <dxf>
      <alignment horizontal="center" indent="0"/>
    </dxf>
    <dxf>
      <fill>
        <patternFill patternType="solid">
          <bgColor rgb="FF92D050"/>
        </patternFill>
      </fill>
    </dxf>
    <dxf>
      <fill>
        <patternFill patternType="solid">
          <bgColor rgb="FFFFFF00"/>
        </patternFill>
      </fill>
    </dxf>
    <dxf>
      <font>
        <b/>
      </font>
    </dxf>
    <dxf>
      <fill>
        <patternFill patternType="solid">
          <bgColor theme="5" tint="0.39997558519241921"/>
        </patternFill>
      </fill>
    </dxf>
    <dxf>
      <fill>
        <patternFill>
          <bgColor theme="1" tint="0.499984740745262"/>
        </patternFill>
      </fill>
    </dxf>
    <dxf>
      <fill>
        <patternFill patternType="solid">
          <bgColor rgb="FF00B050"/>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wrapText="1"/>
    </dxf>
    <dxf>
      <alignment wrapText="1"/>
    </dxf>
    <dxf>
      <alignment wrapText="1"/>
    </dxf>
    <dxf>
      <numFmt numFmtId="13" formatCode="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indent="0"/>
    </dxf>
    <dxf>
      <alignment horizontal="center" indent="0"/>
    </dxf>
    <dxf>
      <alignment horizontal="center" indent="0"/>
    </dxf>
    <dxf>
      <fill>
        <patternFill patternType="solid">
          <bgColor rgb="FF92D050"/>
        </patternFill>
      </fill>
    </dxf>
    <dxf>
      <fill>
        <patternFill patternType="solid">
          <bgColor rgb="FFFFFF00"/>
        </patternFill>
      </fill>
    </dxf>
    <dxf>
      <font>
        <b/>
      </font>
    </dxf>
    <dxf>
      <fill>
        <patternFill patternType="solid">
          <bgColor theme="5" tint="0.39997558519241921"/>
        </patternFill>
      </fill>
    </dxf>
    <dxf>
      <fill>
        <patternFill>
          <bgColor theme="1" tint="0.499984740745262"/>
        </patternFill>
      </fill>
    </dxf>
    <dxf>
      <fill>
        <patternFill patternType="solid">
          <bgColor rgb="FF00B050"/>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wrapText="1"/>
    </dxf>
    <dxf>
      <alignment wrapText="1"/>
    </dxf>
    <dxf>
      <alignment wrapText="1"/>
    </dxf>
    <dxf>
      <numFmt numFmtId="13" formatCode="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indent="0"/>
    </dxf>
    <dxf>
      <alignment horizontal="center" indent="0"/>
    </dxf>
    <dxf>
      <alignment horizontal="center" indent="0"/>
    </dxf>
    <dxf>
      <fill>
        <patternFill patternType="solid">
          <bgColor rgb="FF92D050"/>
        </patternFill>
      </fill>
    </dxf>
    <dxf>
      <fill>
        <patternFill patternType="solid">
          <bgColor rgb="FFFFFF00"/>
        </patternFill>
      </fill>
    </dxf>
    <dxf>
      <font>
        <b/>
      </font>
    </dxf>
    <dxf>
      <fill>
        <patternFill patternType="solid">
          <bgColor theme="5" tint="0.39997558519241921"/>
        </patternFill>
      </fill>
    </dxf>
    <dxf>
      <fill>
        <patternFill>
          <bgColor theme="1" tint="0.499984740745262"/>
        </patternFill>
      </fill>
    </dxf>
    <dxf>
      <fill>
        <patternFill patternType="solid">
          <bgColor rgb="FF00B050"/>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wrapText="1"/>
    </dxf>
    <dxf>
      <alignment wrapText="1"/>
    </dxf>
    <dxf>
      <alignment wrapText="1"/>
    </dxf>
    <dxf>
      <numFmt numFmtId="13" formatCode="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indent="0"/>
    </dxf>
    <dxf>
      <alignment horizontal="center" indent="0"/>
    </dxf>
    <dxf>
      <alignment horizontal="center" indent="0"/>
    </dxf>
    <dxf>
      <fill>
        <patternFill patternType="solid">
          <bgColor rgb="FF92D050"/>
        </patternFill>
      </fill>
    </dxf>
    <dxf>
      <fill>
        <patternFill patternType="solid">
          <bgColor rgb="FFFFFF00"/>
        </patternFill>
      </fill>
    </dxf>
    <dxf>
      <font>
        <b/>
      </font>
    </dxf>
    <dxf>
      <fill>
        <patternFill patternType="solid">
          <bgColor theme="5" tint="0.39997558519241921"/>
        </patternFill>
      </fill>
    </dxf>
    <dxf>
      <fill>
        <patternFill>
          <bgColor theme="1" tint="0.499984740745262"/>
        </patternFill>
      </fill>
    </dxf>
    <dxf>
      <fill>
        <patternFill patternType="solid">
          <bgColor rgb="FF00B050"/>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wrapText="1"/>
    </dxf>
    <dxf>
      <alignment wrapText="1"/>
    </dxf>
    <dxf>
      <alignment wrapText="1"/>
    </dxf>
    <dxf>
      <numFmt numFmtId="13" formatCode="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indent="0"/>
    </dxf>
    <dxf>
      <alignment horizontal="center" indent="0"/>
    </dxf>
    <dxf>
      <alignment horizontal="center" indent="0"/>
    </dxf>
    <dxf>
      <fill>
        <patternFill patternType="solid">
          <bgColor rgb="FF92D050"/>
        </patternFill>
      </fill>
    </dxf>
    <dxf>
      <fill>
        <patternFill patternType="solid">
          <bgColor rgb="FFFFFF00"/>
        </patternFill>
      </fill>
    </dxf>
    <dxf>
      <font>
        <b/>
      </font>
    </dxf>
    <dxf>
      <fill>
        <patternFill patternType="solid">
          <bgColor theme="5" tint="0.39997558519241921"/>
        </patternFill>
      </fill>
    </dxf>
    <dxf>
      <fill>
        <patternFill>
          <bgColor theme="1" tint="0.499984740745262"/>
        </patternFill>
      </fill>
    </dxf>
    <dxf>
      <fill>
        <patternFill patternType="solid">
          <bgColor rgb="FF00B050"/>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wrapText="1"/>
    </dxf>
    <dxf>
      <alignment wrapText="1"/>
    </dxf>
    <dxf>
      <alignment wrapText="1"/>
    </dxf>
    <dxf>
      <numFmt numFmtId="13" formatCode="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indent="0"/>
    </dxf>
    <dxf>
      <alignment horizontal="center" indent="0"/>
    </dxf>
    <dxf>
      <alignment horizontal="center" indent="0"/>
    </dxf>
    <dxf>
      <fill>
        <patternFill patternType="solid">
          <bgColor rgb="FF92D050"/>
        </patternFill>
      </fill>
    </dxf>
    <dxf>
      <fill>
        <patternFill patternType="solid">
          <bgColor rgb="FFFFFF00"/>
        </patternFill>
      </fill>
    </dxf>
    <dxf>
      <font>
        <b/>
      </font>
    </dxf>
    <dxf>
      <fill>
        <patternFill patternType="solid">
          <bgColor theme="5" tint="0.39997558519241921"/>
        </patternFill>
      </fill>
    </dxf>
    <dxf>
      <fill>
        <patternFill>
          <bgColor theme="1" tint="0.499984740745262"/>
        </patternFill>
      </fill>
    </dxf>
    <dxf>
      <fill>
        <patternFill patternType="solid">
          <bgColor rgb="FF00B050"/>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wrapText="1"/>
    </dxf>
    <dxf>
      <alignment wrapText="1"/>
    </dxf>
    <dxf>
      <alignment wrapText="1"/>
    </dxf>
    <dxf>
      <numFmt numFmtId="13" formatCode="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indent="0"/>
    </dxf>
    <dxf>
      <alignment horizontal="center" indent="0"/>
    </dxf>
    <dxf>
      <alignment horizontal="center" indent="0"/>
    </dxf>
    <dxf>
      <fill>
        <patternFill patternType="solid">
          <bgColor rgb="FF92D050"/>
        </patternFill>
      </fill>
    </dxf>
    <dxf>
      <fill>
        <patternFill patternType="solid">
          <bgColor rgb="FFFFFF00"/>
        </patternFill>
      </fill>
    </dxf>
    <dxf>
      <font>
        <b/>
      </font>
    </dxf>
    <dxf>
      <fill>
        <patternFill patternType="solid">
          <bgColor theme="5" tint="0.39997558519241921"/>
        </patternFill>
      </fill>
    </dxf>
    <dxf>
      <fill>
        <patternFill>
          <bgColor theme="1" tint="0.499984740745262"/>
        </patternFill>
      </fill>
    </dxf>
    <dxf>
      <fill>
        <patternFill patternType="solid">
          <bgColor rgb="FF00B050"/>
        </patternFill>
      </fill>
    </dxf>
    <dxf>
      <alignment horizontal="center"/>
    </dxf>
    <dxf>
      <alignment horizontal="center"/>
    </dxf>
    <dxf>
      <alignment vertical="center"/>
    </dxf>
    <dxf>
      <alignment vertical="center"/>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numFmt numFmtId="13" formatCode="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indent="0"/>
    </dxf>
    <dxf>
      <alignment horizontal="center" indent="0"/>
    </dxf>
    <dxf>
      <alignment horizontal="center" indent="0"/>
    </dxf>
    <dxf>
      <fill>
        <patternFill patternType="solid">
          <bgColor rgb="FF92D050"/>
        </patternFill>
      </fill>
    </dxf>
    <dxf>
      <fill>
        <patternFill patternType="solid">
          <bgColor rgb="FFFFFF00"/>
        </patternFill>
      </fill>
    </dxf>
    <dxf>
      <font>
        <b/>
      </font>
    </dxf>
    <dxf>
      <fill>
        <patternFill patternType="solid">
          <bgColor theme="5" tint="0.39997558519241921"/>
        </patternFill>
      </fill>
    </dxf>
    <dxf>
      <fill>
        <patternFill>
          <bgColor theme="1" tint="0.499984740745262"/>
        </patternFill>
      </fill>
    </dxf>
    <dxf>
      <fill>
        <patternFill patternType="solid">
          <bgColor rgb="FF00B050"/>
        </patternFill>
      </fill>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wrapText="1"/>
    </dxf>
    <dxf>
      <alignment wrapText="1"/>
    </dxf>
    <dxf>
      <alignment wrapText="1"/>
    </dxf>
    <dxf>
      <numFmt numFmtId="13" formatCode="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indent="0"/>
    </dxf>
    <dxf>
      <alignment horizontal="center" indent="0"/>
    </dxf>
    <dxf>
      <alignment horizontal="center" indent="0"/>
    </dxf>
    <dxf>
      <fill>
        <patternFill patternType="solid">
          <bgColor rgb="FF92D050"/>
        </patternFill>
      </fill>
    </dxf>
    <dxf>
      <fill>
        <patternFill patternType="solid">
          <bgColor rgb="FFFFFF00"/>
        </patternFill>
      </fill>
    </dxf>
    <dxf>
      <font>
        <b/>
      </font>
    </dxf>
    <dxf>
      <fill>
        <patternFill patternType="solid">
          <bgColor theme="5" tint="0.39997558519241921"/>
        </patternFill>
      </fill>
    </dxf>
    <dxf>
      <fill>
        <patternFill>
          <bgColor theme="1" tint="0.499984740745262"/>
        </patternFill>
      </fill>
    </dxf>
    <dxf>
      <fill>
        <patternFill patternType="solid">
          <bgColor rgb="FF00B050"/>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wrapText="1"/>
    </dxf>
    <dxf>
      <alignment wrapText="1"/>
    </dxf>
    <dxf>
      <alignment wrapText="1"/>
    </dxf>
    <dxf>
      <numFmt numFmtId="13" formatCode="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indent="0"/>
    </dxf>
    <dxf>
      <alignment horizontal="center" indent="0"/>
    </dxf>
    <dxf>
      <alignment horizontal="center" indent="0"/>
    </dxf>
    <dxf>
      <fill>
        <patternFill patternType="solid">
          <bgColor rgb="FF92D050"/>
        </patternFill>
      </fill>
    </dxf>
    <dxf>
      <fill>
        <patternFill patternType="solid">
          <bgColor rgb="FFFFFF00"/>
        </patternFill>
      </fill>
    </dxf>
    <dxf>
      <font>
        <b/>
      </font>
    </dxf>
    <dxf>
      <fill>
        <patternFill patternType="solid">
          <bgColor theme="5" tint="0.39997558519241921"/>
        </patternFill>
      </fill>
    </dxf>
    <dxf>
      <fill>
        <patternFill>
          <bgColor theme="1" tint="0.499984740745262"/>
        </patternFill>
      </fill>
    </dxf>
    <dxf>
      <fill>
        <patternFill patternType="solid">
          <bgColor rgb="FF00B050"/>
        </patternFill>
      </fill>
    </dxf>
    <dxf>
      <alignment horizontal="center"/>
    </dxf>
    <dxf>
      <alignment horizontal="center"/>
    </dxf>
    <dxf>
      <alignment wrapText="1"/>
    </dxf>
    <dxf>
      <alignment wrapText="1"/>
    </dxf>
    <dxf>
      <alignment wrapText="1"/>
    </dxf>
    <dxf>
      <numFmt numFmtId="13" formatCode="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indent="0"/>
    </dxf>
    <dxf>
      <alignment horizontal="center" indent="0"/>
    </dxf>
    <dxf>
      <alignment horizontal="center" indent="0"/>
    </dxf>
    <dxf>
      <fill>
        <patternFill patternType="solid">
          <bgColor rgb="FF92D050"/>
        </patternFill>
      </fill>
    </dxf>
    <dxf>
      <fill>
        <patternFill patternType="solid">
          <bgColor rgb="FFFFFF00"/>
        </patternFill>
      </fill>
    </dxf>
    <dxf>
      <font>
        <b/>
      </font>
    </dxf>
    <dxf>
      <fill>
        <patternFill patternType="solid">
          <bgColor theme="5" tint="0.39997558519241921"/>
        </patternFill>
      </fill>
    </dxf>
    <dxf>
      <fill>
        <patternFill>
          <bgColor theme="1" tint="0.499984740745262"/>
        </patternFill>
      </fill>
    </dxf>
    <dxf>
      <fill>
        <patternFill patternType="solid">
          <bgColor rgb="FF00B050"/>
        </patternFill>
      </fill>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3" formatCode="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indent="0"/>
    </dxf>
    <dxf>
      <alignment horizontal="center" indent="0"/>
    </dxf>
    <dxf>
      <alignment horizontal="center" indent="0"/>
    </dxf>
    <dxf>
      <fill>
        <patternFill patternType="solid">
          <bgColor rgb="FF92D050"/>
        </patternFill>
      </fill>
    </dxf>
    <dxf>
      <fill>
        <patternFill patternType="solid">
          <bgColor rgb="FFFFFF00"/>
        </patternFill>
      </fill>
    </dxf>
    <dxf>
      <font>
        <b/>
      </font>
    </dxf>
    <dxf>
      <fill>
        <patternFill patternType="solid">
          <bgColor theme="5" tint="0.39997558519241921"/>
        </patternFill>
      </fill>
    </dxf>
    <dxf>
      <fill>
        <patternFill>
          <bgColor theme="1" tint="0.499984740745262"/>
        </patternFill>
      </fill>
    </dxf>
    <dxf>
      <fill>
        <patternFill patternType="solid">
          <bgColor rgb="FF00B050"/>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wrapText="1"/>
    </dxf>
    <dxf>
      <alignment wrapText="1"/>
    </dxf>
    <dxf>
      <alignment wrapText="1"/>
    </dxf>
    <dxf>
      <numFmt numFmtId="13" formatCode="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indent="0"/>
    </dxf>
    <dxf>
      <alignment horizontal="center" indent="0"/>
    </dxf>
    <dxf>
      <alignment horizontal="center" indent="0"/>
    </dxf>
    <dxf>
      <fill>
        <patternFill patternType="solid">
          <bgColor rgb="FF92D050"/>
        </patternFill>
      </fill>
    </dxf>
    <dxf>
      <fill>
        <patternFill patternType="solid">
          <bgColor rgb="FFFFFF00"/>
        </patternFill>
      </fill>
    </dxf>
    <dxf>
      <font>
        <b/>
      </font>
    </dxf>
    <dxf>
      <fill>
        <patternFill patternType="solid">
          <bgColor theme="5" tint="0.39997558519241921"/>
        </patternFill>
      </fill>
    </dxf>
    <dxf>
      <fill>
        <patternFill>
          <bgColor theme="1" tint="0.499984740745262"/>
        </patternFill>
      </fill>
    </dxf>
    <dxf>
      <fill>
        <patternFill patternType="solid">
          <bgColor rgb="FF00B050"/>
        </patternFill>
      </fill>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3" formatCode="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indent="0"/>
    </dxf>
    <dxf>
      <alignment horizontal="center" indent="0"/>
    </dxf>
    <dxf>
      <alignment horizontal="center" indent="0"/>
    </dxf>
    <dxf>
      <fill>
        <patternFill patternType="solid">
          <bgColor rgb="FF92D050"/>
        </patternFill>
      </fill>
    </dxf>
    <dxf>
      <fill>
        <patternFill patternType="solid">
          <bgColor rgb="FFFFFF00"/>
        </patternFill>
      </fill>
    </dxf>
    <dxf>
      <font>
        <b/>
      </font>
    </dxf>
    <dxf>
      <fill>
        <patternFill patternType="solid">
          <bgColor theme="5" tint="0.39997558519241921"/>
        </patternFill>
      </fill>
    </dxf>
    <dxf>
      <fill>
        <patternFill>
          <bgColor theme="1" tint="0.499984740745262"/>
        </patternFill>
      </fill>
    </dxf>
    <dxf>
      <fill>
        <patternFill patternType="solid">
          <bgColor rgb="FF00B050"/>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wrapText="1"/>
    </dxf>
    <dxf>
      <alignment wrapText="1"/>
    </dxf>
    <dxf>
      <alignment wrapText="1"/>
    </dxf>
    <dxf>
      <alignment wrapText="1"/>
    </dxf>
    <dxf>
      <alignment wrapText="1"/>
    </dxf>
    <dxf>
      <numFmt numFmtId="13" formatCode="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indent="0"/>
    </dxf>
    <dxf>
      <alignment horizontal="center" indent="0"/>
    </dxf>
    <dxf>
      <alignment horizontal="center" indent="0"/>
    </dxf>
    <dxf>
      <fill>
        <patternFill patternType="solid">
          <bgColor rgb="FF92D050"/>
        </patternFill>
      </fill>
    </dxf>
    <dxf>
      <fill>
        <patternFill patternType="solid">
          <bgColor rgb="FFFFFF00"/>
        </patternFill>
      </fill>
    </dxf>
    <dxf>
      <font>
        <b/>
      </font>
    </dxf>
    <dxf>
      <fill>
        <patternFill patternType="solid">
          <bgColor theme="5" tint="0.39997558519241921"/>
        </patternFill>
      </fill>
    </dxf>
    <dxf>
      <fill>
        <patternFill>
          <bgColor theme="1" tint="0.499984740745262"/>
        </patternFill>
      </fill>
    </dxf>
    <dxf>
      <fill>
        <patternFill patternType="solid">
          <bgColor rgb="FF00B050"/>
        </patternFill>
      </fill>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wrapText="1"/>
    </dxf>
    <dxf>
      <alignment wrapText="1"/>
    </dxf>
    <dxf>
      <alignment wrapText="1"/>
    </dxf>
    <dxf>
      <alignment wrapText="1"/>
    </dxf>
    <dxf>
      <numFmt numFmtId="13" formatCode="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indent="0"/>
    </dxf>
    <dxf>
      <alignment horizontal="center" indent="0"/>
    </dxf>
    <dxf>
      <alignment horizontal="center" indent="0"/>
    </dxf>
    <dxf>
      <fill>
        <patternFill patternType="solid">
          <bgColor rgb="FF92D050"/>
        </patternFill>
      </fill>
    </dxf>
    <dxf>
      <fill>
        <patternFill patternType="solid">
          <bgColor rgb="FFFFFF00"/>
        </patternFill>
      </fill>
    </dxf>
    <dxf>
      <font>
        <b/>
      </font>
    </dxf>
    <dxf>
      <fill>
        <patternFill patternType="solid">
          <bgColor theme="5" tint="0.39997558519241921"/>
        </patternFill>
      </fill>
    </dxf>
    <dxf>
      <fill>
        <patternFill>
          <bgColor theme="1" tint="0.499984740745262"/>
        </patternFill>
      </fill>
    </dxf>
    <dxf>
      <fill>
        <patternFill patternType="solid">
          <bgColor rgb="FF00B050"/>
        </patternFill>
      </fill>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3" formatCode="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indent="0"/>
    </dxf>
    <dxf>
      <alignment horizontal="center" indent="0"/>
    </dxf>
    <dxf>
      <alignment horizontal="center" indent="0"/>
    </dxf>
    <dxf>
      <fill>
        <patternFill patternType="solid">
          <bgColor rgb="FF92D050"/>
        </patternFill>
      </fill>
    </dxf>
    <dxf>
      <fill>
        <patternFill patternType="solid">
          <bgColor rgb="FFFFFF00"/>
        </patternFill>
      </fill>
    </dxf>
    <dxf>
      <font>
        <b/>
      </font>
    </dxf>
    <dxf>
      <fill>
        <patternFill patternType="solid">
          <bgColor theme="5" tint="0.39997558519241921"/>
        </patternFill>
      </fill>
    </dxf>
    <dxf>
      <fill>
        <patternFill>
          <bgColor theme="1" tint="0.499984740745262"/>
        </patternFill>
      </fill>
    </dxf>
    <dxf>
      <fill>
        <patternFill patternType="solid">
          <bgColor rgb="FF00B05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0"/>
    </dxf>
    <dxf>
      <alignment wrapText="0"/>
    </dxf>
    <dxf>
      <alignment wrapText="0"/>
    </dxf>
    <dxf>
      <numFmt numFmtId="13" formatCode="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indent="0"/>
    </dxf>
    <dxf>
      <alignment horizontal="center" indent="0"/>
    </dxf>
    <dxf>
      <alignment horizontal="center" indent="0"/>
    </dxf>
    <dxf>
      <fill>
        <patternFill patternType="solid">
          <bgColor rgb="FF92D050"/>
        </patternFill>
      </fill>
    </dxf>
    <dxf>
      <fill>
        <patternFill patternType="solid">
          <bgColor rgb="FFFFFF00"/>
        </patternFill>
      </fill>
    </dxf>
    <dxf>
      <font>
        <b/>
      </font>
    </dxf>
    <dxf>
      <fill>
        <patternFill patternType="solid">
          <bgColor theme="5" tint="0.39997558519241921"/>
        </patternFill>
      </fill>
    </dxf>
    <dxf>
      <fill>
        <patternFill>
          <bgColor theme="1" tint="0.499984740745262"/>
        </patternFill>
      </fill>
    </dxf>
    <dxf>
      <fill>
        <patternFill patternType="solid">
          <bgColor rgb="FF00B050"/>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wrapText="0"/>
    </dxf>
    <dxf>
      <alignment wrapText="0"/>
    </dxf>
    <dxf>
      <alignment wrapText="0"/>
    </dxf>
    <dxf>
      <numFmt numFmtId="13" formatCode="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indent="0"/>
    </dxf>
    <dxf>
      <alignment horizontal="center" indent="0"/>
    </dxf>
    <dxf>
      <alignment horizontal="center" indent="0"/>
    </dxf>
    <dxf>
      <fill>
        <patternFill patternType="solid">
          <bgColor rgb="FF92D050"/>
        </patternFill>
      </fill>
    </dxf>
    <dxf>
      <fill>
        <patternFill patternType="solid">
          <bgColor rgb="FFFFFF00"/>
        </patternFill>
      </fill>
    </dxf>
    <dxf>
      <font>
        <b/>
      </font>
    </dxf>
    <dxf>
      <fill>
        <patternFill patternType="solid">
          <bgColor theme="5" tint="0.39997558519241921"/>
        </patternFill>
      </fill>
    </dxf>
    <dxf>
      <fill>
        <patternFill>
          <bgColor theme="1" tint="0.499984740745262"/>
        </patternFill>
      </fill>
    </dxf>
    <dxf>
      <fill>
        <patternFill patternType="solid">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2.xml"/><Relationship Id="rId30"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DAVID TORNE LORDUY" refreshedDate="44929.487177199073" createdVersion="8" refreshedVersion="8" minRefreshableVersion="3" recordCount="769" xr:uid="{00000000-000A-0000-FFFF-FFFF10000000}">
  <cacheSource type="worksheet">
    <worksheetSource ref="A1:AC770" sheet="BASE"/>
  </cacheSource>
  <cacheFields count="33">
    <cacheField name="VIGENCIA" numFmtId="0">
      <sharedItems containsSemiMixedTypes="0" containsString="0" containsNumber="1" containsInteger="1" minValue="2022" maxValue="2022"/>
    </cacheField>
    <cacheField name="COMP" numFmtId="0">
      <sharedItems containsSemiMixedTypes="0" containsString="0" containsNumber="1" containsInteger="1" minValue="100" maxValue="100"/>
    </cacheField>
    <cacheField name="UE" numFmtId="0">
      <sharedItems count="21">
        <s v="04"/>
        <s v="11"/>
        <s v="23"/>
        <s v="02"/>
        <s v="01"/>
        <s v="15"/>
        <s v="17"/>
        <s v="07"/>
        <s v="10"/>
        <s v="08"/>
        <s v="16"/>
        <s v="21"/>
        <s v="13"/>
        <s v="05"/>
        <s v="03"/>
        <s v="09"/>
        <s v="12"/>
        <s v="06"/>
        <s v="25"/>
        <s v="22"/>
        <s v="14"/>
      </sharedItems>
    </cacheField>
    <cacheField name="UNIDAD_EJE" numFmtId="0">
      <sharedItems/>
    </cacheField>
    <cacheField name="UE2" numFmtId="0">
      <sharedItems count="21">
        <s v="04 LOCALIDAD TURISTICA Y DE LA VIRGEN"/>
        <s v="11 LOCALIDAD HISTORICA Y DEL CARIBE NORTE"/>
        <s v="23 LOCALIDAD INDUSTRIAL Y DE LA BAHIA"/>
        <s v="02 SECRETARIA DEL INTERIOR Y CONVIVENCIA CIUDADANAL"/>
        <s v="01 DESPACHO DEL ALCALDE"/>
        <s v="15 INSTITUTO DE DEPORTE Y RECREACION"/>
        <s v="17 INSTITUTO DE PATRIMONIO Y CULTURA DE CARTAGENA DE INDIAS"/>
        <s v="07 SECRETARIA DE EDUCACION"/>
        <s v="10 DEPARTAMENTO ADMINISTRATIVO DE SALUD"/>
        <s v="08 SECRETARIA DE PARTICIPACION Y DESARROLLO SOCIAL"/>
        <s v="16 FONDO DE VIVIENDA DE INTERES SOCIAL Y REFORMA URBANA"/>
        <s v="21 ESTABLECIMIENTO PUBLICO AMBIENTAL-EPA"/>
        <s v="13 DEPARTAMENTO ADMINISTRATIVO DE VALORIZACION"/>
        <s v="05 SECRETARIA GENERAL"/>
        <s v="03 SECRETARIA DE HACIENDA PUBLICA"/>
        <s v="09 SECRETARIA DE PLANEACION"/>
        <s v="12 DEPARTAMENTO ADMINISTRATIVO DE TRANSITO Y TRANSPORTE"/>
        <s v="06 SECRETARIA DE INFRAESTRUCTURA"/>
        <s v="25 COLEGIO MAYOR DE BOLIVAR"/>
        <s v="22 DISTRISEGURIDAD"/>
        <s v="14 ESCUELA DE GOBIERNO"/>
      </sharedItems>
    </cacheField>
    <cacheField name="BPIN" numFmtId="1">
      <sharedItems containsSemiMixedTypes="0" containsString="0" containsNumber="1" containsInteger="1" minValue="130010402" maxValue="2022130010013"/>
    </cacheField>
    <cacheField name="EJE" numFmtId="1">
      <sharedItems count="5">
        <s v="10. PILAR: CARTAGENA TRANSPARENTE"/>
        <s v="07. PILAR CARTAGENA RESILIENTE"/>
        <s v="08. PILAR CARTAGENA INCLUYENTE"/>
        <s v="09. PILAR CARTAGENA CONTINGENTE"/>
        <s v="11. EJE TRANSVERSAL: CARTAGENA CON ATENCION Y GARANTIA DE DERECHOS A POBLACION DIFERENCIAL."/>
      </sharedItems>
    </cacheField>
    <cacheField name="LINEA" numFmtId="1">
      <sharedItems count="33">
        <s v="10.7 LÍNEA ESTRATÉGICA: PARTICIPACIÓN Y DESCENTRALIZACIÓN"/>
        <s v="10.3 LÍNEA ESTRATÉGICA: CONVIVENCIA Y SEGURIDAD PARA LA GOBERNABILIDAD"/>
        <s v="10.4 LÍNEA ESTRATÉGICA DERECHOS HUMANOS PARA LA PAZ"/>
        <s v="7.4 LÍNEA ESTRATÉGICA GESTIÓN DEL RIESGO"/>
        <s v="8.4 LÍNEA ESTRATÉGICA DEPORTE Y RECREACIÓN PARA LA TRANSFORMACION SOCIAL "/>
        <s v="8.5 LÍNEA ESTRATÉGICA ARTES, CULTURA Y PATRIMONIO PARA UNA CARTAGENA INCLUYENTE"/>
        <s v="8.2 LÍNEA ESTRATEGICA DE EDUCACION: CULTURA DE LA FORMACION &quot;CON LA EDUCACION PARA TODOS Y TODAS SALVAMOS JUNTOS A CARTAGENA&quot;"/>
        <s v="8.3 LÍNEA ESTRATÉGICA SALUD PARA TODOS"/>
        <s v="10.5 LÍNEA ESTRATÉGICA: ATENCIÓN Y REPARACIÓN A VICTIMAS PARA LA CONSTRUCCIÓN DE LA PAZ TERRITORIAL"/>
        <s v="8.1 LÍNEA ESTRATÉGICA: SUPERACIÓN DE LA POBREZA Y DESIGUALDAD."/>
        <s v="7.2 LÍNEA ESTRATÉGICA ESPACIO PÚBLICO, MOVILIDAD Y TRANSPORTE RESILIENTE"/>
        <s v="9.1 LÍNEA ESTRATÉGICA: DESARROLLO ECONÓMICO Y EMPLEABILIDAD"/>
        <s v="11.3 LÍNEA ESTRATÉGICA: INCLUSIÓN Y OPORTUNIDAD PARA NIÑOS, NIÑAS Y ADOLESCENTES Y FAMILIAS."/>
        <s v="11.5 LÍNEA ESTRATÉGICA EN CARTAGENA SALVAMOS NUESTROS ADULTOS MAYORES"/>
        <s v="7.5 LÍNEA ESTRATÉGICA VIVIENDA PARA TODOS"/>
        <s v="11.4 LÍNEA ESTRATÉGICA JÓVENES SALVANDO A CARTAGENA"/>
        <s v="7.1 LÍNEA ESTRATÉGICA: “SALVEMOS JUNTOS NUESTRO PATRIMONIO NATURAL”"/>
        <s v="7.7 LÍNEA ESTRATÉGICA INSTRUMENTOS DE ORDENAMIENTO TERRITORIAL."/>
        <s v="7.3 LÍNEA ESTRATÉGICA DESARROLLO URBANO"/>
        <s v="10.1 LÍNEA ESTRATÉGICA GESTIÓN Y DESEMPEÑO INSTITUCIONAL PARA LA GOBERNANZA"/>
        <s v="7.6 LÍNEA ESTRATÉGICA SERVICIOS PÚBLICOS BÁSICOS DEL DISTRITO DE CARTAGENA DE INDIAS: “TODOS CON TODO”"/>
        <s v="9.2 LÍNEA ESTRATÉGICA: COMPETITIVIDAD E INNOVACIÓN"/>
        <s v="9.4 LÍNEA ESTRATÉGICA: PLANEACIÓN E INTEGRACIÓN CONTINGENTE DEL TERRITORIO"/>
        <s v="11.7 LÍNEA ESTRATÉGICA TRATO HUMANITARIO AL HABITANTE DE CALLE"/>
        <s v="8.6 LÍNEA ESTRATÉGICA PLANEACIÓN SOCIAL DEL TERRITORIO"/>
        <s v="11.1 LÍNEA ESTRATÉGICA PARA LA EQUIDAD E INCLUSIÓN DE LOS NEGROS, AFROS, PALENQUEROS E INDÍGENA."/>
        <s v="9.3 LÍNEA ESTRATÉGICA: TURISMO, MOTOR DE REACTIVACIÓN ECONÓMICA PARA CARTAGENA DE INDIAS"/>
        <s v="10.2 LÍNEA ESTRATÉGICA: CARTAGENA INTELIGENTE CON TODOS Y PARA TODOS"/>
        <s v="11.6 LÍNEA ESTRATÉGICA: TODOS POR LA PROTECCIÓN SOCIAL DE LAS PERSONAS CON DISCAPACIDAD: “RECONOCIDAS, EMPODERADAS Y RESPETADAS”."/>
        <s v="11.2 LÍNEA ESTRATÉGICA MUJERES CARTAGENERAS POR SUS DERECHOS."/>
        <s v="10.6 LÍNEA ESTRATÉGICA: CULTURA CIUDADANA PARA LA DEMOCRACIA Y LA PAZ"/>
        <s v="11.8 LÍNEA ESTRATÉGICA DIVERSIDAD SEXUAL Y NUEVAS IDENTIDADES DE GENERO."/>
        <s v="10.8 LÍNEA ESTRATÉGICA: FINANZAS PÚBLICAS PARA SALVAR A CARTAGENA"/>
      </sharedItems>
    </cacheField>
    <cacheField name="PROGRAMA" numFmtId="1">
      <sharedItems count="160">
        <s v="10.7.2 PROGRAMA: MODERNIZACIÓN DEL SISTEMA DISTRITAL DE PLANEACIÓN Y DESCENTRALIZACIÓN  "/>
        <s v="10.3.5 PROGRAMA:  PROMOCIÓN AL ACCESO A LA JUSTICIA"/>
        <s v="10.3.3 PROGRAMA:  MEJORAR LA CONVIVENCIA CIUDADANA CON LA IMPLEMENTACIÓN DEL CÓDIGO NACIONAL DE SEGURIDAD Y CONVIVENCIA CIUDADANA"/>
        <s v="10.4.2 PROGRAMA: SISTEMA PENITENCIARIO Y CARCELARIO EN EL MARCO DE LOS DERECHOS HUMANOS "/>
        <s v="7.4.3 MANEJO DE DESASTRE"/>
        <s v="7.4.2 REDUCCIÓN DEL RIESGO"/>
        <s v="8.4.7 ADMINISTRACION, MANTENIMIENTO, ADECUACION, MEJORAMIENTO Y CONSTRUCCION DE ESCENARIOS DEPORTIVOS"/>
        <s v="10.3.2 PROGRAMA: FORTALECIMIENTO DE LA CONVIVENCIA Y LA SEGURIDAD CIUDADANA"/>
        <s v="8.4.2 DEPORTE ASOCIADO &quot;INCENTIVOS CON-SENTIDO&quot;"/>
        <s v="8.5.1 PROGRAMA: MEDIACION Y BIBLIOTECAS PARA LA INCLUSION"/>
        <s v="8.5.2 PROGRAMA: ESTIMULOS PARA LAS ARTES Y EL EMPRENDIMIENTO PARA UNA CARTAGENA INCLUYENTE"/>
        <s v="8.2.1 PROGRAMA: ACOGIDA “ATENCIÓN A POBLACIONES Y ESTRATEGIAS DE ACCESO Y PERMANENCIA”"/>
        <s v="8.4.1 “LA ESCUELA Y EL DEPORTE SON DE TODOS” "/>
        <s v="8.4.4 HABITOS Y ESTILO DE VIDA SALUDABLE"/>
        <s v="8.3.8 VIDA SALUDABLE Y ENFERMEDADES TRANSMISIBLES"/>
        <s v="10.5.1 PROGRAMA: ATENCIÓN, ASISTENCIA Y REPARACIÓN INTEGRAL A LAS VÍCTIMAS"/>
        <s v="8.3.1 PROGRAMA: FORTALECIMIENTO DE LA AUTORIDAD SANITARIA"/>
        <s v="8.3.7 SEXUALIDAD, DERECHOS SEXUALES Y REPRODUCTIVOS"/>
        <s v="8.1.7 PROGRAMA: DINÁMICA FAMILIAR PARA LA SUPERACIÓN DE LA POBREZA EXTREMA"/>
        <s v="8.3.6 NUTRICIÓN E INOCUIDAD DE ALIMENTOS"/>
        <s v="7.2.5 TRANSPORTE PARA TODOS"/>
        <s v="8.1.3 PROGRAMA: EDUCACIÓN PARA LA SUPERACIÓN DE LA POBREZA EXTREMA Y LA DESIGUALDAD"/>
        <s v="10.3.6 PROGRAMA: ASISTENCIA Y ATENCIÓN INTEGRAL A LOS NIÑOS, NIÑAS, ADOLESCENTES Y JÓVENES EN RIESGO DE VINCULARSE A ACTIVIDADES DELICTIVAS"/>
        <s v="9.1.3 PROGRAMA: &quot;EMPLEO INCLUSIVO PARA LOS JÓVENES”"/>
        <s v="9.1.2 PROGRAMA: MUJERES CON AUTONOMÍA ECONÓMICA"/>
        <s v="9.1.1 PROGRAMA: CENTROS PARA EL EMPRENDIMIENTO Y LA GESTIÓN DE LA EMPLEABILIDAD EN CARTAGENA DE INDIAS"/>
        <s v="11.3.4 PROGRAMA: FORTALECIMIENTO FAMILIAR."/>
        <s v="11.3.2 PROTECCIÓN DE LA INFANCIA Y LA ADOLESCENCIA PARA LA PREVENCIÓN Y ATENCIÓN DE VIOLENCIAS"/>
        <s v="11.3.1 PROGRAMA: COMPROMETIDOS CON LA SALVACIÓN DE NUESTRA PRIMERA INFANCIA"/>
        <s v="11.3.3 PROGRAMA: LOS NIÑOS, LAS NIÑAS Y ADOLESCENTES DE CARTAGENA PARTICIPAN Y DISFRUTAN SUS DERECHOS."/>
        <s v="8.3.10 SALUD Y ÁMBITO LABORAL"/>
        <s v="8.3.4 VIDA SALUDABLE Y CONDICIONES NO TRANSMISIBLES"/>
        <s v="11.5.1 PROGRAMA: ATENCION INTEGRAL PARA MANTENER A SALVO LOS ADULTOS MAYORES"/>
        <s v="8.2.8 PROGRAMA: MOVILIZACIÓN  “POR UNA GESTIÓN EDUCATIVA TRANSPARENTE, PARTICIPATIVA Y EFICIENTE”"/>
        <s v="8.3.3 SALUD AMBIENTAL"/>
        <s v="7.5.1 JUNTOS POR UNA VIVIENDA DIGNA"/>
        <s v="7.5.2 MEJORO MI CASA, COMPROMISO DE TODOS"/>
        <s v="7.5.3 ¡MI CASA A LO LEGAL!  "/>
        <s v="7.2.4 MOVILIDAD EN CARTAGENA"/>
        <s v="8.2.7 PROGRAMA: EDUCACIÓN PARA TRANSFORMAR “EDUCACIÓN MEDIA TÉCNICA Y SUPERIOR”"/>
        <s v="8.5.5 PROGRAMA: DERECHOS CULTURALES Y BUEN GOBIERNO PARA EL FORTALECIMIENTO INSTITUCIONAL Y CIUDADANO"/>
        <s v="8.3.5 CONVIVENCIA SOCIAL Y SALUD MENTAL"/>
        <s v="11.4.2 PROGRAMA: POLITICA PUBLICA DE JUVENTUD"/>
        <s v="11.4.1 PROGRAMA: JOVENES PARTICIPANDO Y SALVANDO A CARTAGENA"/>
        <s v="8.3.2 TRANSVERSAL GESTIÓN DIFERENCIAL DE POBLACIONES VULNERABLES"/>
        <s v="7.1.6 NEGOCIOS VERDES, ECONOMÍA CIRCULAR, PRODUCCIÓN Y CONSUMO SOSTENIBLE (NEGOCIOS VERDES INCLUSIVOS)"/>
        <s v="7.1.3 ASEGURAMIENTO, MONITOREO, CONTROL Y VIGILANCIA AMBIENTAL (SISTEMA INTEGRADO DE MONITOREO AMBIENTAL)"/>
        <s v="8.2.4 DESARROLLO DE POTENCIALIDADES"/>
        <s v="8.2.3 PROGRAMA: FORMANDO CON AMOR “GENIO SINGULAR”"/>
        <s v="10.5.2 PROGRAMA: CONSTRUCCIÓN DE PAZ TERRITORIAL"/>
        <s v="7.1.4 INVESTIGACIÓN, EDUCACIÓN Y CULTURA AMBIENTAL (EDUCACIÓN Y CULTURA AMBIENTAL)"/>
        <s v="7.7.3 ORDENACIÓN TERRITORIAL Y  RECUPERACIÓN SOCIAL, AMBIENTAL Y URBANA DE LA CIÉNAGA DE LA VIRGEN."/>
        <s v="10.3.4 PROGRAMA: FORTALECIMIENTO CAPACIDAD OPERATIVA DE LA SECRETARIA DEL INTERIOR Y CONVIVENCIA CIUDADANA"/>
        <s v="7.2.1 SOSTENIBILIDAD DEL ESPACIO PÚBLICO"/>
        <s v="8.5.4 PROGRAMA: VALORACION, CIUDADO Y APROPIACION SOCIAL DEL PATRIMONIO MATERIAL "/>
        <s v="7.1.1 RECUPERAR Y RESTAURAR NUESTRAS ÁREAS NATURALES (BOSQUES Y BIODIVERSIDAD Y SERVICIOS ECO SISTÉMICOS)"/>
        <s v="8.5.6 PROGRAMA: INFRAESTRUCTURA CULTURAL PARA LA INCLUSIÓN"/>
        <s v="7.3.2 SISTEMA HÍDRICO Y PLAN MAESTRO DE ALCANTARILLADO PLUVIALES EN LA CIUDAD PARA SALVAR EL HÁBITAT"/>
        <s v="8.2.5 PARTICIPACIÓN, DEMOCRACIA Y AUTONOMÍA"/>
        <s v="7.3.3 CARTAGENA CIUDAD DE BORDES Y ORILLAS RESILIENTE "/>
        <s v="10.3.1 PLAN INTEGRAL DE SEGURIDAD Y CONVIVENCIA CIUDADANA"/>
        <s v="8.2.2 PROGRAMA: SABIDURÍA DE LA PRIMERA INFANCIA “GRANDES BANDERAS, GESTO E IDEAS PARA CAMBIAR EL PLANETA”"/>
        <s v="10.1.1 PROGRAMA: GESTIÓN PÚBLICA INTEGRADA Y TRANSPARENTE"/>
        <s v="7.6.1 DE AHORRO Y USO EFICIENTE DE LOS SERVICIOS PÚBLICOS, &quot;AGUA Y SANEAMIENTO BÁSICO PARA TODOS&quot;"/>
        <s v="9.1.5 PROGRAMA: CARTAGENA FACILITA EL EMPRENDIMIENTO"/>
        <s v="9.2.1 PROGRAMA: CARTAGENA CIUDAD INNOVADORA"/>
        <s v="7.7.1 PLAN DE ORDENAMIENTO TERRITORIAL Y ESPECIAL DE MANEJO DE PATRIMONIO."/>
        <s v="7.5.5 MI CASA, MI ENTORNO, MI HABITAT    "/>
        <s v="9.4.2 PROGRAMA: NORMAS DE PROMOCIÓN DEL DESARROLLO URBANO Y ECONÓMICO"/>
        <s v="11.7.2 FORMACIÓN PARA EL TRABAJO - GENERACIÓN DE INGRESOS Y RESPONSABILIDAD SOCIAL EMPRESARIAL"/>
        <s v="9.1.4 PROGRAMA: ENCADENAMIENTOS PRODUCTIVOS"/>
        <s v="9.1.7 PROGRAMA: CIERRE DE BRECHAS DE EMPLEABILIDAD"/>
        <s v="9.2.2 PROGRAMA: CARTAGENA DESTINO DE INVERSIÓN"/>
        <s v="9.1.6 PROGRAMA: ZONAS DE AGLOMERACIÓN PRODUCTIVA"/>
        <s v="7.2.8 MOVILIDAD SOSTENIBLE EN EL DISTRITO DE CARTAGENA"/>
        <s v="9.1.8 PROGRAMA: CIERRE DE BRECHAS DE CAPITAL HUMANO"/>
        <s v="8.6.2 PROGRAMA: CATASTRO MULTIPROPÓSITO"/>
        <s v="8.5.3 PROGRAMA: PATRIMONIO INMATERIAL: PRACTICAS SIGNIFICATIVAS PARA LA MEMORIA"/>
        <s v="8.4.3 DEPORTE SOCIAL COMUNITARIO CON INCLUSION &quot;CARTAGENA INCLUYENTE&quot;"/>
        <s v="11.1.4 PROGRAMA: PROMOCIÓN, PREVENCIÓN Y ATENCIÓN EN SALUD PARA LA POBLACIÓN NEGRA, AFROCOLOMBIANA, RAIZAL Y PALENQUERA EN EL DISTRITO DE CARTAGENA."/>
        <s v="11.1.6 PROGRAMA: SOSTENIBILIDAD CULTURAL COMO GARANTÍA DE PERMANENCIA."/>
        <s v="7.4.4 FORTALECIMIENTO CUERPO DE BOMBEROS"/>
        <s v="10.4.1 PROGRAMA: PREVENCIÓN, PROMOCIÓN Y PROTECCIÓN DE LOS DERECHOS HUMANOS EN EL DISTRITO DE CARTAGENA"/>
        <s v="11.1.7 PROGRAMA: FORTALECIMIENTO DE LA POBLACIÓN INDÍGENA EN EL DISTRITO DE CARTAGENA."/>
        <s v="9.3.1 PROGRAMA: PROMOCIÓN NACIONAL E INTERNACIONAL DE CARTAGENA DE INDIAS"/>
        <s v="7.4.1 CONOCIMIENTO DEL RIESGO"/>
        <s v="11.1.1 FORTALECIMIENTO DE POBLACIÓN NEGRA, AFROCOLOMBIANA, RAIZAL Y PALENQUERA EN EL DISTRITO DE CARTAGENA"/>
        <s v="8.2.10 FORTALECIMIENTO DE LA OFERTA DE EDUCACIÓN SUPERIOR OFICIAL DEL DISTRITO DE CARTAGENA D. T. Y C."/>
        <s v="7.3.4 CARTAGENA SE CONECTA"/>
        <s v="7.3.1 CARTAGENA SE MUEVE "/>
        <s v="8.1.1 PROGRAMA: IDENTIFICACIÓN PARA LA SUPERACION DE LA POBREZA EXTREMA Y DESIGUALDAD"/>
        <s v="8.1.10 PROGRAMA: FORTALECIMIENTO INSTITUCIONAL PARA LA SUPERACION DE LA POBREZA EXTREMA Y DESIGUALDAD "/>
        <s v="8.1.8 PROGRAMA: SEGURIDAD ALIMENTARIA Y NUTRICIÓN PARA LA SUPERACIÓN DE LA POBREZA EXTREMA"/>
        <s v="8.1.5 INGRESO Y TRABAJO PARA LA SUPERACIÓN DE LA POBREZA EXTREMA Y DESIGUALDAD"/>
        <s v="8.1.4 PROGRAMA: HABITABILIDAD PARA LA SUPERACIÓN DE LA POBREZA EXTREMA Y LA DESIGUALDAD"/>
        <s v="8.1.6 PROGRAMA: BANCARIZACIÓN PARA LA SUPERACIÓN DE LA POBREZA EXTREMA Y DESIGUALDAD"/>
        <s v="8.1.9 PROGRAMA: ACCESO A LA JUSTICIA PARA LA SUPERACIÓN DE LA POBREZA EXTREMA Y DESIGUALDAD"/>
        <s v="8.1.2 PROGRAMA: SALUD PARA LA SUPERACIÓN DE LA POBREZA EXTREMA Y DESIGUALDAD"/>
        <s v="7.5.4 UN LUGAR APTO PARA MI HOGAR"/>
        <s v="8.3.9 SALUD PÚBLICA EN EMERGENCIAS Y DESASTRES"/>
        <s v="8.2.9 PROGRAMA: POR UNA EDUCACIÓN POST SECUNDARIA DISTRITAL"/>
        <s v="7.6.5 CEMENTERIOS"/>
        <s v="10.3.11 PROGRAMA: CONVIVENCIA PARA LA SEGURIDAD "/>
        <s v="10.7.3 PROGRAMA: POLÍTICAS PÚBLICAS INTERSECTORIALES Y CON VISIÓN INTEGRAL DE ENFOQUES BASADOS EN DERECHOS HUMANOS "/>
        <s v="8.6.1 PROGRAMA: INSTRUMENTOS DE PLANIFICACIÓN SOCIAL DEL TERRITORIO"/>
        <s v="10.3.8 PROGRAMA: IMPLEMENTACION Y SOSTENIMIENTO DE HERRAMIENTAS TECNOLOGICAS PARA SEGURIDAD Y SOCORRO."/>
        <s v="7.1.8 BIENESTAR Y PROTECCIÓN ANIMAL"/>
        <s v="9.2.3 PROGRAMA: CARTAGENA FOMENTA LA CIENCIA, TECNOLOGÍA E INNOVACIÓN : JUNTOS POR LA EXTENSIÓN AGROPECUARIA A PEQUEÑOS PRODUCTORES."/>
        <s v="7.3.5 INTEGRAL DE CAÑOS, LAGOS Y CIÉNAGAS DE CARTAGENA DE INDIAS"/>
        <s v="9.1.10 PROGRAMA: CARTAGENA EMPRENDEDORA PARA PEQUEÑOS PRODUCTORES RURALES"/>
        <s v="11.1.2 FORTALECIMIENTO E INCLUSIÓN PRODUCTIVA PARA POBLACIÓN NEGRA, AFROCOLOMBIANA, RAIZAL Y PALENQUERA EN EL DISTRITO DE CARTAGENA"/>
        <s v="11.7.1 PROGRAMA: HABITANTE DE CALLE CON DESARROLLO HUMANO INTEGRAL"/>
        <s v="10.2.1 PROGRAMA: CARTAGENA INTELIGENTE CON TODOS Y PARA TODOS"/>
        <s v="9.1.11 PROGRAMA: SISTEMAS DE MERCADOS PÚBLICOS"/>
        <s v="10.3.9 PROGRAMA: OPTIMIZACIÓN DE LA INFRAESTRUCTURA Y MOVILIDAD DE LOS ORGANISMOS DE SEGURIDAD Y SOCORRO"/>
        <s v="9.1.12 PROGRAMA: MAS COOPERACIÓN INTERNACIONAL"/>
        <s v="7.6.2 ENERGÍA ASEQUIBLE, CONFIABLE SOSTENIBLE Y MODERNA PARA TODOS."/>
        <s v="7.1.5 SALVEMOS JUNTOS NUESTRO RECURSO HÍDRICO (GESTION INTEGRAL RECURSOS HÍDRICOS)"/>
        <s v="10.2.3 PROGRAMA: CARTAGENA HACIA LA MODERNIDAD"/>
        <s v="7.1.2 ORDENAMIENTO AMBIENTAL Y ADAPTACIÓN AL CAMBIO CLIMÁTICO PARA LA SOSTENIBILIDAD AMBIENTAL. (MITIGACIÓN Y GESTIÓN DEL RIESGO AMBIENTAL)"/>
        <s v="9.3.3 PROGRAMA: TURISMO COMPETITIVO Y SOSTENIBLE"/>
        <s v="9.3.2 PROGRAMA: CONECTIVIDAD"/>
        <s v="11.6.1 PROGRAMA: GESTIÓN SOCIAL INTEGRAL Y ARTICULADORA POR LA PROTECCIÓN DE LAS PERSONAS CON DISCAPACIDAD Y/O SU FAMILIA O CUIDADOR."/>
        <s v="11.6.3 PROGRAMA: DESARROLLO LOCAL INCLUSIVO DE LAS PERSONAS CON DISCAPACIDAD: RECONOCIMIENTO DE CAPACIDADES, DIFERENCIAS Y DIVERSIDAD."/>
        <s v="11.6.2 PROGRAMA: PACTO O ALIANZA POR LA INCLUSIÓN SOCIAL Y PRODUCTIVA DE LAS PERSONAS CON DISCAPACIDAD."/>
        <s v="7.6.3 GESTIÓN INTEGRAL DE RESIDUOS SÓLIDOS &quot;CULTURA CIUDADANA PARA EL RECICLAJE INCLUSIVO Y LA ECONOMÍA CIRCULAR&quot;"/>
        <s v="11.2.1 PROGRAMA: LAS MUJERES DECIDIMOS SOBRE EL EJERCICIO DEL PODER"/>
        <s v="7.1.7 INSTITUCIONES AMBIENTALES MÁS MODERNAS, EFICIENTES Y TRANSPARENTES (FORTALECIMIENTO INSTITUCIONAL)"/>
        <s v="10.7.1 PROGRAMA: PARTICIPANDO SALVAMOS A CARTAGENA"/>
        <s v="11.2.4 PROGRAMA: CARTAGENA LIBRE DE UNA CULTURA MACHISTA"/>
        <s v="8.2.6 DE EDUCACIÓN MEDIANA A TRAVÉS DE TECNOLOGÍAS DE LA INFORMACIÓN Y LAS COMUNICACIONES-TIC´S"/>
        <s v="11.2.2 PROGRAMA: UNA VIDA LIBRE DE VIOLENCIAS PARA LAS MUJERES"/>
        <s v="11.2.3 PROGRAMA: MUJER, CONSTRUCTORAS DE PAZ"/>
        <s v="8.4.5 RECREACION COMUNITARIA &quot;RECREATE CARTAGENA&quot;"/>
        <s v="10.6.2 PROGRAMA: CIUDADANÍA LIBRE, INCLUYENTE Y TRANSFORMADORA "/>
        <s v="10.6.1 PROGRAMA: SERVIDOR Y SERVIDORA PÚBLICA AL SERVICIO DE LA CIUDADANÍA"/>
        <s v="11.8.1 PROGRAMA: DIVERSIDAD SEXUAL E IDENTIDADES DE GÉNERO"/>
        <s v="11.1.11 PROGRAMA: EMPODERAMIENTO DEL LIDERAZGO DE LAS MUJERES, NIÑEZ, JÓVENES, FAMILIA Y GENERACIÓN INDÍGENA"/>
        <s v="10.6.5 PROGRAMA: NUESTRA CARTAGENA SOÑADA."/>
        <s v="10.6.3 PROGRAMA: CARTAGENA TE QUIERE, QUIERE A CARTAGENA: PLAN DECENAL DE CULTURA CIUDADANA Y CARTAGENIDAD."/>
        <s v="10.2.5 PROGRAMA: JORGE PIEDRAHITA ADUEN"/>
        <s v="10.6.6 PROGRAMA: CONECTATE CON CARTAGENA"/>
        <s v="10.6.4 PROGRAMA: YO SOY CARTAGENA"/>
        <s v="9.4.1 INTEGRACIÓN Y PROYECTOS ENTRE CIUDADES"/>
        <s v="7.2.6 REDUCCIÓN DE LA SINIESTRALIDAD VIAL"/>
        <s v="7.2.7 FORTALECIMIENTO DE LA CAPACIDAD DE RESPUESTA DEL DEPARTAMENTO ADMINISTRATIVO DE TRÁNSITO Y TRANSPORTE"/>
        <s v="7.2.3 GENERACIÓN DEL ESPACIO PÚBLICO  "/>
        <s v="7.2.2 RECUPERACIÓN DEL ESPACIO PÚBLICO "/>
        <s v="8.4.6 PROGRAMA: OBSERVATORIO DE CIENCIAS APLICADAS AL DEPORTE, LA RECREACIÓN, LA ACTIVIDAD FÍSICA Y EL APROVECHAMIENTO DEL TIEMPO LIBRE EN EL DISTRITO DE CARTAGENA DE INDIAS."/>
        <s v="7.7.2 ADMINISTRANDO JUNTOS EL CONTROL URBANO"/>
        <s v="10.8.2 PROGRAMA: SANEAMIENTO FISCAL Y FINANCIERO"/>
        <s v="10.3.7 PROGRAMA:  FORTALECIMIENTO SISTEMA DE RESPONSABILIDAD PENAL PARA ADOLESCENTES –SRPA"/>
        <s v="11.1.10 PROGRAMA: INTEGRIDAD CULTURAL, GOBIERNO PROPIO, VIVIENDA Y HÁBITAT PARA LAS COMUNIDADES INDÍGENAS EN EL DISTRITO CARTAGENA"/>
        <s v="10.3.10 PROGRAMA: VIGILANCIA DE LAS PLAYAS DEL DISTRITO DE CARTAGENA"/>
        <s v="10.2.4 PROGRAMA: ORGANIZACIÓN Y RECUPERACIÓN DEL PATRIMONIO PÚBLICO DE CARTAGENA "/>
        <s v="10.1.2 PROGRAMA: TRANSPARENCIA PARA EL FORTALECIMIENTO DE LA CONFIANZA EN LAS INSTITUCIONES DEL DISTRITO DE CARTAGENA."/>
        <s v="10.2.2 PROGRAMA: CARTAGENEROS CONECTADOS Y ALFABETIZADOS"/>
        <s v="7.6.4 SISTEMA DE INFORMACIÓN DE LOS SERVICIOS PÚBLICOS, “SERVINFO”"/>
        <s v="9.1.9 PROGRAMA: DESARROLLO DEL ECOSISTEMA DIGITAL BASADO EN LA CUARTA REVOLUCION INDUSTRIAL "/>
        <s v="10.8.1 PROGRAMA: FINANZAS SOSTENIBLES PARA SALVAR A CARTAGENA"/>
      </sharedItems>
    </cacheField>
    <cacheField name="CODIGO_PRESUPUESTAL" numFmtId="0">
      <sharedItems/>
    </cacheField>
    <cacheField name="FTE" numFmtId="0">
      <sharedItems/>
    </cacheField>
    <cacheField name="FUENTE" numFmtId="0">
      <sharedItems/>
    </cacheField>
    <cacheField name="I_F" numFmtId="0">
      <sharedItems/>
    </cacheField>
    <cacheField name="RESERVA" numFmtId="0">
      <sharedItems/>
    </cacheField>
    <cacheField name="RUBRO" numFmtId="0">
      <sharedItems/>
    </cacheField>
    <cacheField name="RUBRO+BPIN" numFmtId="0">
      <sharedItems count="401" longText="1">
        <s v="130010402 MODERNIZACION DEL SISTEMA DISTRITAL DE PLANEACION Y DESCENTRALIZACION  "/>
        <s v="130010402  MODERNIZACION DEL SISTEMA DISTRITAL DE PLANEACION Y DESCENTRALIZACION  "/>
        <s v="130011101 MODERNIZACION DEL SISTEMA DISTRITAL DE PLANEACION Y DESCENTRALIZACION  "/>
        <s v="130011101  MODERNIZACION DEL SISTEMA DISTRITAL DE PLANEACION Y DESCENTRALIZACION  "/>
        <s v="130012303  MODERNIZACION DEL SISTEMA DISTRITAL DE PLANEACION Y DESCENTRALIZACION  "/>
        <s v="2019130010081 IMPLEMENTACION PROYECTO DE HABITOS Y ESTILO DE VIDA SALUDABLE A TRAVES DE LA PRACTICA DEL DEPORTE EN LA LOCALIDAD HISTORICA Y DEL CARIBE NORTE ??COPA ASOJAC ? "/>
        <s v="2020130010030 FORTALECIMIENTO Y PROMOCION AL ACCESO A LA JUSTICIA DESDE LAS CASAS DE JUSTICIA Y COMISARIAS DE FAMILIA EN EL DISTRITO DE   CARTAGENA DE INDIAS"/>
        <s v="2020130010031 MEJORAMIENTO DE LA CONVIVENCIA CON LA IMPLEMENTACIN DEL CODIGO NACIONAL DE SEGURIDAD Y CONVIVENCIA CIUDADANA  Y  LA MODERNIZACION DE LAS INSPECCIONES DE POLICA EN EL DISTRITO DE  CARTAGENA DE INDIAS"/>
        <s v="2020130010031 MEJORAMIENTO DE LA CONVIVENCIA CON LA IMPLEMENTACIN DEL CODIGO NACIONAL DE SEGURIDAD Y CONVIVENCIA CIUDADANA  Y  LA MODERNIZACIN DE LAS INSPECCIONES DE POLICA EN EL DISTRITO DE  CARTAGENA DE INDIAS"/>
        <s v="2020130010032 FORTALECIMIENTO Y ATENCION INTEGRAL A INTERNOS DE LOS ESTABLECIMIENTOS CARCELARIOS DEL DISTRITO DE  CARTAGENA DE INDIAS "/>
        <s v="2020130010033 CONTROL DE LOS RIESGOS EN NUESTRO TERRITORIO CARTAGENA DE INDIAS"/>
        <s v="2020130010033 CONTROL DE LOS RIESGOS EN NUESTRO TERRITORIO  CARTAGENA DE INDIAS"/>
        <s v="2020130010034 APORTES PARA MITIGAR EL RIESGO EN LAS COMUNIDADES DEL DISTRITO   CARTAGENA DE INDIAS"/>
        <s v="2020130010036 CONSERVACION , MANTENIMIENTO CONSERVACION, MANTENIMIENTO Y MEJORAMIENTO DE LOS ESCENARIOS DEPORTIVOS DE LA CIUDAD COMO ESTRATEGIA DE PRESERVACION DEL PATRIMONIO MATERIAL DEL DISTRITO DE CARTAGENA DE INDIAS"/>
        <s v="2020130010036 CONSERVACION, MANTENIMIENTO Y MEJORAMIENTO DE LOS ESCENARIOS DEPORTIVOS DE LA CIUDAD COMO ESTRATEGIA DE PRESERVACION DEL PATRIMONIO MATERIAL DEL DISTRITO DE   CARTAGENA DE INDIAS"/>
        <s v="2020130010036 CONSERVACION , MANTENIMIENTO Y MEJORAMIENTO DE LOS ESCENARIOS DEPORTIVOS DE LA CIUDAD COMO ESTRATEGIA DE PRESERVACION DEL PATRIMONIO MATERIAL DEL DISTRITO DE   CARTAGENA DE INDIAS ? DEFICIT"/>
        <s v="2020130010036 CONSERVACION , MANTENIMIENTO Y MEJORAMIENTO DE LOS ESCENARIOS DEPORTIVOS DE LA CIUDAD COMO ESTRATEGIA DE PRESERVACION DEL PATRIMONIO MATERIAL DEL DISTRITO DE   CARTAGENA DE INDIAS"/>
        <s v="2020130010037 FORTALECIMIENTO DE LOS MECANISMOS COMUNITARIOS E INSTITUCIONALES DE PREVENCION Y REACCION A SITUACIONES DE RIESGO POR CONDUCTAS DELICTIVAS EN EL DISTRITO DE CARTAGENA DE INDIAS"/>
        <s v="2020130010037 FORTALECIMIENTO DE LOS MECANISMOS COMUNITARIOS  E INSTITUCIONALES DE PREVENCION Y REACCION A SITUACIONES DE RIESGO POR CONDUCTAS DELICTIVAS EN EL DISTRITO DE   CARTAGENA DE INDIAS"/>
        <s v="2020130010038 CONSOLIDACION DEL SISTEMA DEPORTIVO DISTRITAL MEDIANTE UNA ESTRATEGIA DE ESTIMULOS Y/O APOYOS A LAS ORGANIZACIONES DEPORTIVAS Y DEPORTISTAS DE ALTOS LOGROS-0  CARTAGENA DE INDIAS"/>
        <s v="2020130010042 FORTALECIMIENTO DE LOS PROCESOS DE MEDIACION Y BIBLIOTECAS PARA LA INCLUSION EN EL DISTRITO DE  CARTAGENA DE INDIAS"/>
        <s v="2020130010043 FORTALECIMIENTO DE ESTIMULOS PARA LAS ARTES Y LA CULTURA EN EL DISTRITO DE  CARTAGENA DE INDIAS"/>
        <s v="2020130010045 FORMACION Y DIVULGACION PARA LAS ARTES Y EL EMPRENDIMIENTO EN EL DISTRITO DE  CARTAGENA DE INDIAS"/>
        <s v="2020130010045 FORMACION Y DIVULGACION PARA LAS ARTES Y EL EMPRENDIMIENTO EN EL DISTRITO DE CARTAGENA DE INDIAS"/>
        <s v="2020130010052 ADMINISTRACION DEL TALENTO HUMANO DEL SERVICIO EDUCATIVO OFICIAL DOCENTES, DIRECTIVOS DOCENTES Y ADMINISTRATIVOS DEL DISTRITO DE CARTAGENA DE INDIAS"/>
        <s v="2020130010052 ADMINISTRACION DEL TALENTO HUMANO DEL SERVICIO EDUCATIVO OFICIAL DOCENTES, DIRECTIVOS DOCENTES Y ADMINISTRATIVOS DEL DISTRITO DE   CARTAGENA DE INDIAS"/>
        <s v="2020130010053 DESARROLLO DE LA ESCUELA DE INICIACION Y FORMACION DEPORTIVA - EIFD EN EL DISTRITO DE CARTAGENA DE INDIAS"/>
        <s v="2020130010053 DESARROLLO DE LA ESCUELA DE INICIACION Y FORMACION DEPORTIVA - EIFD EN EL DISTRITO DE  CARTAGENA DE INDIAS"/>
        <s v="2020130010053 DESARROLLO DE LA ESCUELA DE INICIACION Y FORMACION DEPORTIVA EIFD EN EL DISTRITO DE CARTAGENA DE INDIAS"/>
        <s v="2020130010055 MEJORAMIENTO DE LOS ESTILOS DE VIDA MEDIANTE LA PROMOCION MASIVA DE UNA VIDA ACTIVA DE LA CIUDADANIA EN EL DISTRITO DE  CARTAGENA DE INDIAS"/>
        <s v="2020130010055 MEJORAMIENTO DE LOS ESTILOS DE VIDA MEDIANTE LA PROMOCION MASIVA DE UNA VIDA ACTIVA DE LA CIUDADANIA EN EL DISTRITO DE CARTAGENA DE INDIAS - DEFICIT"/>
        <s v="2020130010057 OPTIMIZACION DE LA OPERACION DE LAS INSTITUCIONES EDUCATIVAS OFICIALES DEL DISTRITO DE   CARTAGENA DE INDIAS"/>
        <s v="2020130010058 PREVENCION Y CONTROL DE LA LEPRA EN EL DISTRITO DE  CARTAGENA DE INDIAS"/>
        <s v="2020130010060 PREVENCION Y CONTROL DE LA TUBERCULOSIS EN EL DISTRITO DE  CARTAGENA DE INDIAS"/>
        <s v="2020130010061 ASISTENCIA ATENCION Y REPARACION INTEGRAL A LAS VICTIMAS DEL CONFLICTO ARMADO EN EL DISTRITO DE   CARTAGENA DE INDIAS"/>
        <s v="2020130010063 CONTROL , VIGILANCIA, INSPECCION Y PROMOCION DEL SISTEMA OBLIGATORIO DE GARANTIA DE LA CALIDAD EN EL DISTRITO DE  CARTAGENA DE INDIAS"/>
        <s v="2020130010063 CONTROL, VIGILANCIA, INSPECCION Y PROMOCION DEL SISTEMA OBLIGATORIO DE GARANTIA DE LA CALIDAD EN EL DISTRITO DE  CARTAGENA DE INDIAS"/>
        <s v="2020130010065 IMPLEMENTACION DE LA ESTRATEGIA ESCUELA DINAMICA: LLEGO Y ME QUEDO EN LA ESCUELA EN EL DISTRITO DE  CARTAGENA DE INDIAS"/>
        <s v="2020130010069 MEJORAMIENTO DE LA SALUD SEXUAL Y REPRODUCTIVA DE LOS Y LAS CARTAGENERAS EN EL DISTRITO DE  CARTAGENA DE INDIAS"/>
        <s v="2020130010070 PREVENCION DE LA MORTALIDAD MATERNA Y PERINATAL  CARTAGENA DE INDIAS"/>
        <s v="2020130010071 APOYO DINAMICA FAMILIAR PARA SUPERACION DE LA POBREZA Y DESIGUALDAD "/>
        <s v="2020130010072 FORTALECIMIENTO DE LA NUTRICION, CONSUMO Y APROVECHAMIENTO DE ALIMENTOS DE LA POBLACION DEL DISTRITO DE  CARTAGENA DE INDIAS"/>
        <s v="2020130010075 FORTALECIMIENTO FORTALECIMIENTO OPERACIONAL DEL SISTEMA INTEGRADO DE TRANSPORTE MASIVO DE CARTAGENA DE INDIAS  TRANSCARIBE  CARTAGENA DE INDIAS"/>
        <s v="2020130010079 APOYO EDUCACION PARA LA SUPERACION DE LA POBREZA Y LA DESIGUALDAD-0INCREMENTAR EL ACCESO A LOS DIFERENTES NIVELES EDUCATIVOS DE NI?OS NI?AS ADOLESCENTES JOVENES Y ADULTOS EN CONDICION DE POBREZA EXTREMA DE  CARTAGENA DE INDIAS"/>
        <s v="2020130010082 IMPLEMENTACION DE LA ESTRATEGIA PERMANECER : MI ESCUELA, MI LUGAR FAVORITO, TRANSPORTE Y OTRAS ESTRATEGIAS DE PERMANENCIA EN CARTAGENA DE INDIAS"/>
        <s v="2020130010082 IMPLEMENTACION DE LA ESTRATEGIA PERMANECER: MI ESCUELA, MI LUGARFAVORITO, TRANSPORTE Y OTRAS ESTRATEGIAS DE PERMANENCIA EN  CARTAGENA DE INDIAS"/>
        <s v="2020130010084 ASISTENCIA Y ATENCION INTEGRAL A LOS NI?OS Y NI?AS,  JOVENES  Y ADOLESCENTES EN RIESGO DE VINCULACION A  ACTIVIDADES DELICTIVAS Y  AQUELLOS EN CONFLICTO CON LA LEY PENAL EN EL DISTRITO DE   CARTAGENA DE INDIAS"/>
        <s v="2020130010084 ASISTENCIA Y ATENCION INTEGRAL A LOS NI?OS, NI?AS,  JOVENES  Y ADOLESCENTES EN RIESGO DE VINCULACION A  ACTIVIDADES DELICTIVAS Y  AQUELLOS EN CONFLICTO CON LA LEY PENAL EN EL DISTRITO DE   CARTAGENA DE INDIAS"/>
        <s v="2020130010085 IMPLEMENTACION DE LA ESTRATEGIA ESCUELA DINAMICA: YO TAMBIEN LLEGO , ATENCION A POBLACION CON EXTRAEDAD EN EL  DISTRITO DE CARTAGENA DE INDIAS"/>
        <s v="2020130010085 IMPLEMENTACION DE LA ESTRATEGIA ESCUELA DINAMICA: YO TAMBIEN LLEGO, ATENCION A POBLACION CON EXTRAEDAD EN EL DISTRITO DE  CARTAGENA DE INDIAS"/>
        <s v="2020130010094 FORTALECIMIENTO DE LOS AMBIENTES DE APRENDIZAJE DE LAS SEDES DE LAS INSTITUCIONES EDUCATIVAS DE  CARTAGENA DE INDIAS"/>
        <s v="2020130010101 FORTALECIMIENTO EMPLEO INCLUSIVO PARA LOS JOVENES-0  CARTAGENA DE INDIAS"/>
        <s v="2020130010102 FORTALECIMIENTO MUJERES CON AUTONOMIA ECONOMICA  CARTAGENA DE INDIAS"/>
        <s v="2020130010103 IMPLEMENTACION ESTRATEGIAS DE EMPRENDIMIENTO Y EMPRESARISMO PARA LA INCLUSION PRODUCTIVA Y LA VINCULACION LABORAL EN EL DISTRITO DE CARTAGENA:  CENTROS PARA EL EMPRENDIMIENTO Y LA GESTION DE LA EMPLEABILIDAD  CARTAGENA DE INDIAS"/>
        <s v="2020130010110 FORTALECIMIENTO FAMILIAR  CARTAGENA DE INDIAS"/>
        <s v="2020130010112 PROTECCION DE LA INFANCIA Y LA ADOLESCENCIA PARA LA PREVENCION Y ATENCION DE VIOLENCIAS EN EL DISTRITO DE  CARTAGENA DE INDIAS"/>
        <s v="2020130010117 IMPLEMENTACION DE LA ESTRATEGIA UNICOS E INAGOTABLES PARA LA ATENCION A POBLACION DIVERSA: UNA ESCUELA DE Y PARA TODAS Y TODOS, EN  CARTAGENA DE INDIAS"/>
        <s v="2020130010119 COMPROMISO CON LA SALVACION DE NUESTRA PRIMERA INFANCIA EN EL DISTRITO DE CARTAGENA DE INDIAS"/>
        <s v="2020130010119 COMPROMISO CON LA SALVACION DE  NUESTRA PRIMERA INFANCIA EN EL DISTRITO DE  CARTAGENA DE INDIAS"/>
        <s v="2020130010120 LOS NINOS, LAS NINAS Y ADOLESCENTES DE CARTAGENA PARTICIPAN Y DISFRUTAN SUS DERECHOS "/>
        <s v="2020130010124 PREVENCION Y CONTROL DE LAS ENFERMEDADES INMUNOPREVENIBLES EN EL DISTRITO DE  CARTAGENA DE INDIAS"/>
        <s v="2020130010129 FORTALECIMIENTO DE LA PROMOCION DE LA SALUD Y SEGURIDAD EN EL ENTORNO LABORAL DE LA ECONOMIA FORMAL E INFORMAL DEL DISTRITO DE  CARTAGENA DE INDIAS"/>
        <s v="2020130010130 FORTALECIMIENTO DE VIDA SALUDABLE Y ATENCION DE CONDICIONES CRONICAS NO TRANSMISIBLES EN EL DISTRITO DE  CARTAGENA DE INDIAS"/>
        <s v="2020130010132 DESARROLLO INSTITUCIONAL DEL DEPARTAMENTO ADMINISTRATIVO DISTRITAL DE SALUD DE  CARTAGENA DE INDIAS"/>
        <s v="2020130010133 APOYO PARA LA ATENCION INTEGRAL A LOS ADULTOS MAYORES EN CENTROS DE VIDA Y GRUPOS ORGANIZADOS EN EL DISTRITO DE CARTAGENA DE INDIAS"/>
        <s v="2020130010133 APOYO PARA LA ATENCION INTEGRAL A LOS ADULTOS MAYORES EN CENTROS DE VIDA Y GRUPOS ORGANIZADOS EN EL DISTRITO DE  CARTAGENA DE INDIAS"/>
        <s v="2020130010136 IMPLEMENTACION DE LA ESTRATEGIA UNICOS E INAGOTABLES ACOGIDA - ATENCION A JOVENES Y ADULTOS EN EL DISTRITO DE  CARTAGENA DE INDIAS"/>
        <s v="2020130010139 MODERNIZACION Y FORTALECIMIENTO DE LA GESTION EDUCATIVA DEL DISTRITO DE   CARTAGENA DE INDIAS"/>
        <s v="2020130010144 PREVENCION Y CONTROL DE LAS ALTERACIONES DE LA SALUD ORAL  CARTAGENA DE INDIAS"/>
        <s v="2020130010145 PREVENCION Y CONTROL DE LAS ALTERACIONES DE LA SALUD VISUAL  CARTAGENA DE INDIAS"/>
        <s v="2020130010146 PREVENCION Y CONTROL DE SALUD AUDITIVA  CARTAGENA DE INDIAS"/>
        <s v="2020130010150 PREVENCION Y PROMOCION DE LA ZOONOSIS EN EL DISTRITO DE  CARTAGENA DE INDIAS"/>
        <s v="2020130010151 PROGRAMACION DE LA VIGILANCIA EN SALUD PUBLICA EN EL DISTRITO DE  CARTAGENA DE INDIAS"/>
        <s v="2020130010152 APLICACION A SUBSIDIOS FAMILIARES DE VIVIENDA PARA LA POBLACION BENEFICIADA DEL PROGRAMA JUNTOS POR UNA VIVIENDA DIGNA DE LA CIUDAD DE CARTAGENA DE INDIAS"/>
        <s v="2020130010152 APLICACION A SUBSIDIOS FAMILIARES DE VIVIENDA PARA LA POBLACION BENEFICIADA DEL PROGRAMA JUNTOS POR UNA VIVIENDA DIGNA DE LA CIUDAD DE  CARTAGENA DE INDIAS"/>
        <s v="2020130010153 MEJORAMIENTO DE LAS CONDICIONES DE HABITABILIDAD PARA LA POBLACION BENEFICIADA DEL SECTOR URBANO Y RURAL DEL PROGRAMA MEJORO MI CASA, COMPROMISO DE TODOS DEL DISTRITO DE   CARTAGENA DE INDIAS"/>
        <s v="2020130010154 Titulacion y/o legalizacion de predios para la poblacion beneficiada del programa mi casa a lo legal de la ciudad de  Cartagena de Indias"/>
        <s v="2020130010157 CONTROL Y VIGILANCIA DE MEDICAMENTOS EN EL DISTRITO DE  CARTAGENA DE INDIAS"/>
        <s v="2020130010158 CONTROL Y VIGILANCIA DE ALIMENTOS EN EL DISTRITO DE   CARTAGENA DE INDIAS"/>
        <s v="2020130010160 DISE?O DE PLAN INTEGRAL PARA MEJORAR LA MOVILIDAD EN  CARTAGENA DE INDIAS"/>
        <s v="2020130010162 MEJORAMIENTO DEL PROCESO FORMATIVO DE LA EDUCACION MEDIA TECNICA OFICIAL EN LAS IEO  DESARROLLO DE POTENCIALIDADES PRODUCTIVAS DE   CARTAGENA DE INDIAS"/>
        <s v="2020130010163 PROTECCION Y GARANTIA DE LOS DERECHOS CULTURALES EN EL DISTRITO DE  CARTAGENA DE INDIAS"/>
        <s v="2020130010164 PREVENCION, PROMOCION , VIGILANCIA Y CONTROL DE ENFERMEDADES DE TRANSMISION VECTORIAL EN EL DISTRITO DE CARTAGENA DE INDIAS"/>
        <s v="2020130010164 PREVENCION, PROMOCION, VIGILANCIA Y CONTROL DE ENFERMEDADES DE TRANSMISION VECTORIAL EN EL DISTRITO DE CARTAGENA DE INDIAS"/>
        <s v="2020130010165 MEJORAMIENTO DEL BIENESTAR Y PROTECCION DE LOS FUNCIONARIOS DE LA SECRETARIA DE EDUCACION DISTRITAL  PARA CONTRIBUIR A UNA MEJOR CALIDAD DE VIDA EN EL DISTRITO DE  CARTAGENA DE INDIAS"/>
        <s v="2020130010166 PREVENCION EN SALUD MENTAL EN EL DISTRITO DE  CARTAGENA DE INDIAS"/>
        <s v="2020130010168 FORMULACION E IMPLEMENTACION DE LA POLITICA PUBLICA DE JUVENTUD EN  CARTAGENA DE INDIAS"/>
        <s v="2020130010169 CONTROL Y VIGILANCIA DE LA CALIDAD DEL AGUA PARA CONSUMO HUMANO Y DE DIVERSION EN EL DISTRITO DE  CARTAGENA DE INDIAS"/>
        <s v="2020130010170 FORTALECIMIENTO AL PROGRAMA JOVENES PARTICIPANDO Y SALVANDO A  CARTAGENA DE INDIAS"/>
        <s v="2020130010173 PREVENCION , MANEJO Y CONTROL DE LA INFECCION RESPIRATORIA AGUDA EN NI?OS Y NI?AS MENORES DE CINCO A?OS EN  CARTAGENA DE INDIAS"/>
        <s v="2020130010173 PREVENCION, MANEJO Y CONTROL DE LA INFECCION RESPIRATORIA AGUDA EN NI?OS Y NI?AS MENORES DE CINCO A?OS EN  CARTAGENA DE INDIAS"/>
        <s v="2020130010175 SANEAMIENTO EN SEGURIDAD SANITARIA DEL AMBIENTE  CARTAGENA DE INDIAS"/>
        <s v="2020130010177 PREVENCION Y PROMOCION DE LA SALUD INFANTIL EN EL DISTRITO DE CARTAGENA DE INDIAS"/>
        <s v="2020130010179 GENERACION DE NEGOCIOS VERDES, ECONOMIA CIRCULAR, PRODUCCION Y CONSUMO SOSTENIBLE, NEGOCIOS VERDES INCLUSIVOS EN LA CIUDAD DE   CARTAGENA DE INDIAS"/>
        <s v="2020130010183 IMPLEMENTACION DEL SISTEMA DE MONITOREO INTELIGENTE AMBIENTAL CARTAGENA DE INDIAS"/>
        <s v="2020130010183 IMPLEMENTACION DEL SISTEMA DE MONITOREO INTELIGENTE AMBIENTAL   CARTAGENA DE INDIAS"/>
        <s v="2020130010185 FORTALECIMIENTO DE LA GESTION ESCOLAR PARA EL MEJORAMIENTO DE LA CALIDAD EDUCATIVA   CARTAGENA DE INDIAS"/>
        <s v="2020130010186 MEJORAMIENTO DE LA CALIDAD EDUCATIVA DE LAS INSTITUCIONES EDUCATIVAS DEL DISTRITO: FORMANDO CON AMOR  CARTAGENA DE INDIAS"/>
        <s v="2020130010187 CONSTRUCCION DE PAZ TERRITORIAL EN EL DISTRITO DE   CARTAGENA DE INDIAS"/>
        <s v="2020130010194 FORTALECIMIENTO DEL DEPORTE ESTUDIANTIL MEDIANTE LA IMPLEMENTACION DE LOS JUEGOS INTERCOLEGIADOS Y UNIVERSITARIOS EN EL DISTRITO DE   CARTAGENA DE INDIAS"/>
        <s v="2020130010195 IMPLEMENTACION DE LA ESTRATEGIA PERMANECER: ME ALIMENTO Y APRENDO ALIMENTACION ESCOLAR EN  CARTAGENA DE INDIAS "/>
        <s v="2020130010195 IMPLEMENTACION DE LA ESTRATEGIA PERMANECER: ME ALIMENTO Y APRENDO ALIMENTACION ESCOLAR EN  CARTAGENA DE INDIAS"/>
        <s v="2020130010201 FORTALECIMIENTO DE LA EDUCACION Y CULTURA AMBIENTAL EN EL DISTRITO DE  CARTAGENA DE INDIAS"/>
        <s v="2020130010201  FORTALECIMIENTO DE LA EDUCACION Y CULTURA AMBIENTAL EN EL DISTRITO DE CARTAGENA DE INDIAS"/>
        <s v="2020130010201 FORTALECIMIENTO DE LA EDUCACION Y CULTURA AMBIENTAL EN EL DISTRITO DE CARTAGENA DE INDIAS"/>
        <s v="2020130010203 IMPLEMENTACION DEL SISTEMA DE GESTION HIDRICA DE LA CIENAGA DE LA VIRGEN Y RECUPERACION DEL MANGLAR DE CARTAGENA DE INDIAS MONITOREO INTELIGENTE AMBIENTAL CARTAGENA DE INDIAS"/>
        <s v="2020130010203 IMPLEMENTACION SISTEMA DE GESTION HIDRICA DE LA CIENAGA DE LA VIRGEN Y RECUPERACION DEL MANGLAR DE CARTAGENA DE INDIAS"/>
        <s v="2020130010210 FORTALECIMIENTO DE LA CAPACIDAD OPERATIVA  DE LA SECRETARIA DEL INTERIOR Y CONVIVENCIA CIUDADANA  CARTAGENA DE INDIAS"/>
        <s v="2020130010211 CONSERVACION INTEGRAL DEL ESPACIO PUBLICO  CARTAGENA DE INDIAS"/>
        <s v="2020130010213 FORTALECIMIENTO A LA APROPIACION SOCIAL Y DIVULGACION DEL PATRIMONIO MATERIAL EN EL DISTRITO DE  CARTAGENA DE INDIAS"/>
        <s v="2020130010216 DOTACION Y ADECUACION DEL CENTRO DE ATENCION VALORACION Y REHABILITACION DE FAUNA SILVESTRE (CAVR BOCANA) DEL EPA CARTAGENA DE INDIAS"/>
        <s v="2020130010218 MANTENIMIENTO DE LA INFRAESTRUCTURA CULTURAL PARA LA INCLUSION EN EL DISTRITO DE  CARTAGENA DE INDIAS"/>
        <s v="2020130010218 MANTENIMIENTO DE LA INFRAESTRUCTURA CULTURAL PARA LA INCLUSION EN EL DISTRITO DE CARTAGENA DE INDIAS"/>
        <s v="2020130010239 CONSTRUCCION SISTEMA HIDRICO Y PLAN MAESTRO DE DRENAJES PLUVIALES EN LA CIUDAD DE CARTAGENA PARA SALVAR EL HABITAT CARTAGENA DE INDIAS"/>
        <s v="2020130010239 CONSTRUCCION SISTEMA HIDRICO Y PLAN MAESTRO DE DRENAJES PLUVIALES EN LA CIUDAD DE CARTAGENA PARA SALVAR EL HABITAT  CARTAGENA DE INDIAS"/>
        <s v="2020130010240 FORMACION DE LOS DERECHOS HUMANOS DE LAS MUJERES DIRIGIDO A NI?AS NI?OS Y JOVENES DE LAS INSTITUCIONES EDUCATIVAS OFICIALES DEL DISTRITO: PARTICIPACION DEMOCRACIA Y AUTONOMIA  CARTAGENA DE INDIAS"/>
        <s v="2020130010241 CONSTRUCCION PROTECCION COSTERA DE CARTAGENA CIUDAD DE BORDES Y ORILLAS RESILIENTE  CARTAGENA DE INDIAS"/>
        <s v="2020130010254 FORTALECIMIENTO EN PARQUE AUTOMOTOR Y TECNOLOGIA PARA LA POLICIA METROPOLITANA DE   CARTAGENA DE INDIAS"/>
        <s v="2020130010256 IMPLEMENTACION DE LA ESTRATEGIA SENDERO DE LA CREATIVIDAD: TRANSITO ARMONICO DE EDUCACION INICIAL A PREESCOLAR EN EL MARCO DEL PROGRAMA SABIDURIA DE LA PRIMERA INFANCIA  EN  CARTAGENA DE INDIAS"/>
        <s v="2020130010257 FORTALECIMIENTO DE LAS PRACTICAS ETNOEDUCATIVAS EN INSTITUCIONES EDUCATIVAS OFICIALES  DEL DISTRITO   CARTAGENA DE INDIAS"/>
        <s v="2020130010268 CONSOLIDACION DE BECAS UNIVERSITARIAS PARA EGRESADOS DE LAS INSTITUCIONES EDUCATIVAS OFICIALES DE  CARTAGENA DE INDIAS"/>
        <s v="2020130010268 CONSOLIDACION DE BECAS UNIVERSITARIAS PARA EGRESADOS DE LAS INSTITUCIONES EDUCATIVAS OFICIALES DE CARTAGENA DE INDIAS"/>
        <s v="2020130010268 CONSOLIDACION DE BECAS UNIVERSITARIAS PARA EGRESADOS DE LAS INSTITUCIONES EDUCATIVAS  OFICIALES  DE  CARTAGENA DE INDIAS"/>
        <s v="2020130010270 IMPLEMENTACION DE LA ESTRATEGIA DESCUBRIENDO EL MUNDO: UNA ESCUELA QUE ACOGE LA PRIMERA INFANCIA EN EL MARCO DEL PROGRAMA SABIDURIA DE LA PRIMERA INFANCIA EN  CARTAGENA DE INDIAS"/>
        <s v="2020130010272 FORTALECIMIENTO DE LAS CAPACIDADES OPERATIVAS DE LA ARMADA NACIONAL PARA LA OPORTUNA ASISTENCIA MILITAR E INCREMENTO DE LA PROTECCION Y SEGURIDAD CIUDADANA EN EL DISTRITO DE   CARTAGENA DE INDIAS"/>
        <s v="2020130010277 INTEGRACION DEL SISTEMA DE GESTION DE LA CALIDAD Y EL SERVICIO AL CIUDADANO PARA LA IMPLEMENTACION DEL MODELO INTEGRADO DE PLANEACION Y GESTION EN LA SECRETARIA GENERAL -TG+ CARTAGENA DE INDIAS"/>
        <s v="2020130010292 ACTUALIZACION  PLAN DE SANEAMIENTO Y MANEJO DE VERTIMIENTOS PSMV ETV+  CARTAGENA DE INDIAS"/>
        <s v="2020130010296 IMPLEMENTACION DEL CENTRO DE FOMENTO AL EMPRENDIMIENTO Y A LA EMPLEABILIDAD PARA UNA CARTAGENA DE INDIAS INCLUSIVA Y MAS COMPETITIVA EN  CARTAGENA DE INDIAS"/>
        <s v="2020130010297 IMPLEMENTACION DE ESTRATEGIAS DE ARTICULACION ENTRE ACTORES E INICIATIVAS PARA EL IMPULSO DE UNA CULTURA DE LA INNOVACION EN CARTAGENA DE INDIAS"/>
        <s v="2020130010297 IMPLEMENTACION DE ESTRATEGIAS DE ARTICULACION ENTRE ACTORES E INICIATIVAS PARA EL IMPULSO DE UNA CULTURA DE LA INNOVACION EN  CARTAGENA DE INDIAS"/>
        <s v="2020130010300 IMPLEMENTACION OBSERVATORIO DE DINAMICAS URBANAS Y SOCIALES DE CARTAGENA DE INDIAS TG+  CARTAGENA DE INDIAS"/>
        <s v="2020130010304 MEJORAMIENTO DE LA SEDE DE LA FISCALIA GENERAL DE LA NACION UBICADA EN EL BARRIO CRESPO CALLE 66 4 -86 EDIFICIO HOCOL PISOS 1 Y 2 DEL DISTRITO DE CARTAGENA DE INDIAS"/>
        <s v="2020130010306 ELABORACION DE ESTUDIOS SECTORIALES Y SEGUIMIENTO A LA LINEA ESTRATEGICA DE VIVIENDA A TRAVES DE UN OBSERVATORIO DE VIVIENDA DE INTERES SOCIAL DEL PROGRAMA MI CASA MI ENTORNO MI HABITAT DE LA CIUDAD DE CARTAGENA DE INDIAS"/>
        <s v="2020130010307 ELABORACION DE ESTUDIOS PARA LA FORMULACION YO PARTICIPACION EN PLANES PARCIALES DEL PROGRAMA MI CASA MI ENTORNO MI HABITAT DE LA CIUDAD DE CARTAGENA DE INDIAS"/>
        <s v="2020130010308 ELABORACION DE ESTUDIOS Y TRAMITES DE LEGALIZACION URBANISTICA DE BARRIOS DEL PROGRAMA MI CASA MI ENTORNO MI HABITAT DE LA CIUDAD DE CARTAGENA DE INDIAS"/>
        <s v="2020130010309 APOYO AL MEJORAMIENTO DE LAS COMPETENCIAS LABORALES DE LOS EGRESADOS DE LAS INSTITUCIONES EDUCATIVAS OFICIALES DE   CARTAGENA DE INDIAS"/>
        <s v="2020130010319 APOYO PARA LA ATENCION INTEGRAL AL ADULTO MAYOR EN ESTADO DE ABANDONO MALTRATO Y SITUACION DE CALLE EN EL DISTRITO DE   CARTAGENA DE INDIAS"/>
        <s v="2020130010320 IMPLEMENTACION REGLAMENTACION URBANISTICA PARA LA HABILITACION DE SUELO PARA DESARROLLO ECONOMICO Y URBANO EN EL DISTRITO TG+  CARTAGENA DE INDIAS"/>
        <s v="2020130010321 APOYO A LA FORMACION PARA EL TRABAJO GENERACION DE INGRESOS Y RESPONSABILIDAD SOCIAL EMPRESARIAL A PERSONAS HABITANTES DE CALLE EN  CARTAGENA DE INDIAS"/>
        <s v="2020130010324 DESARROLLO DE ESTRATEGIAS PARA EL FORTALECIMIENTO DE LOS ENCADENAMIENTOS PRODUCTIVOS Y REDES DE PROVEEDURIA EN EL DISTRITO DE CARTAGENA DE INDIAS"/>
        <s v="2020130010325 CONSOLIDACION DEL CIERRE DE BRECHAS PARA LA EMPLEABILIDAD Y EMPLEOS INCLUSIVOS A LOS GRUPOS POBLACIONALES VULNERABLES EN EL DISTRITO DE   CARTAGENA DE INDIAS"/>
        <s v="2020130010326 IMPLEMENTACION DE UNA ESTRATEGIA DE PROMOCION Y POSICIONAMIENTO PARA LA ATRACCION DE LOS DIVERSOS TIPOS DE INVERSION EN CARTAGENA DE INDIAS"/>
        <s v="2020130010327 DESARROLLO DE ESTRATEGIAS PARA EL APROVECHAMIENTO DE LAS ECONOMIAS DE AGLOMERACION EN EL DISTRITO DE CARTAGENA DE INDIAS"/>
        <s v="2020130010329 SUSTITUCION DE VEHICULOS DE TRACCION ANIMAL DEDICADOS AL TRANSPORTE DE CARGA LIVIANA EXISTENTES EN EL DISTRITO DE   CARTAGENA DE INDIAS"/>
        <s v="2020130010331 HABILITACION DE LAS ACCIONES PARA IDENTIFICAR Y CERRAR LAS BRECHAS DE CAPITAL HUMANO DE FORMA PERTINENTE SUFICIENTE Y DE CALIDAD EN EL DISTRITO DE   CARTAGENA DE INDIAS"/>
        <s v="2020130010332 FORTALECIMIENTO DEL CONSEJO TERRITORIAL DE PLANEACION DEL DISTRITO DE CARTAGANEA DE INDIAS - TG+   CARTAGENA DE INDIAS"/>
        <s v="2021130010001 ASISTENCIA TECNICA PARA MEJORAMIENTO DEL BANCO DE PROGRAMAS Y PROYECTOS CENTRAL Y DE LOS BANCOS DE PROGRAMAS Y PROYECTOS LOCALES DEL DISTRITO DE CARTAGENA DE INDIAS  TG +  CARTAGENA DE INDIAS"/>
        <s v="2021130010003 ASISTENCIA TECNICA Y DESARROLLO DE ACCIONES PARA LA IMPLEMENTACION DEL CATASTRO MULTIPROPOSITO EN EL DISTRITO DE CARTAGENA DE INDIAS - TG+  CARTAGENA DE INDIAS"/>
        <s v="2021130010005 FORTALECIMIENTO Y MODERNIZACION INSTITUCIONAL DEL INSTITUTO DE PATRIMONIO Y CULTURA (IPCC) EN EL DISTRITO DE CARTAGENA DE INDIAS"/>
        <s v="2021130010006 FORTALECIMIENTO DE PLANES ESPECIALES DE SALVAGUARDIA PARA INCLUSION DE LAS MANIFESTACIONES CULTURALES EN EL DISTRITO DE CARTAGENA DE INDIAS "/>
        <s v="2021130010011 INTEGRACION COMUNITARIA A TRAVES DEL DEPORTE COMO HERRAMIENTA PARA LA INCLUSION SOCIAL DESDE LOS DIFERENTES ENFOQUES POBLACIONALES CARTAGENA DE INDIAS"/>
        <s v="2021130010011 INTEGRACION COMUNITARIA A TRAVES DEL DEPORTE COMO HERRAMIENTA PARA LA INCLUSION SOCIAL DESDE LOS DIFERENTES ENFOQUES POBLACIONALES  CARTAGENA DE INDIAS"/>
        <s v="2021130010012 IMPLEMENTACION PROYECTO MUJERES FORMADAS PARA LA PROMOCION Y EL APRENDIZAJE DE LA DETECCION TEMPRANA DEL CANCER DE CERVIX Y DE MAMA ZONA INSULAR DE LA LOCALIDAD HISTORICA Y DEL CARIBE NORTE DEL DISTRITO DE CARTAGENA DE INDIAS"/>
        <s v="2021130010013 IMPLEMENTACION PROYECTO CREAR Y FORTALECER UNIDADES PRODUCTIVAS CON CAPITAL SEMILLA PARA LA POBLACION DE LA LOCALIDAD HISTORICA Y DEL CARIBE NORTE"/>
        <s v="2021130010014 IMPLEMENTACION PROYECTO MUJERES FORMADAS PARA LA PROMOCION DE SUS DERECHOS SEXUALES Y REPRODUCTIVOS Y LA IGUALDAD DE GENERO ZONA INSULAR O URBANA DE LA LOCALIDAD HISTORICA Y DEL CARIBE NORTE DEL DISTRITO DE CARTAGENA DE INDIAS"/>
        <s v="2021130010015 IMPLEMENTACION DEL PROYECTO DE CAPACITACION A LOS HABITANTES (MUJERES) DE LA LOCALIDAD HISTORICA Y DEL CARIBE NORTE EN EL EMPRENDIMIENTO Y ENCADENAMIENTO PRODUCTIVO INCORPORADO EL ENFOQUE DIFERENCIAL EN EL DISTRITO DE CARTAGENA DE INDIAS,"/>
        <s v="2021130010017 IMPLEMENTACION DEL PROYECTO EMPRENDIMIENTO Y GESTION DE LA EMPLEABILIDAD EN LOCALIDAD HISTORICA Y DEL CARIBE NORTE EN EL DISTRITO DE CARTAGENA DE INDIAS, "/>
        <s v="2021130010018 IMPLEMENTACION DEL PROYECTO PARA CAPACITAR Y FORMAR A CUIDADORES DE PERSONAS EN CONDICION DE DISCAPACIDAD EN LA LOCALIDAD HISTORICA Y DEL CARIBE NORTE DEL DISTRITO DE CARTAGENA DE INDIAS, "/>
        <s v="2021130010019 IMPLEMENTACION PROYECTO APOYANDO EL IMPULSO DE GRUPOS CULTURALES DE LA LOCALIDAD, HISTORICA Y DEL CARIBENORTE  "/>
        <s v="2021130010020 APLICACION PROMOCION DEL EMPRENDIMIENTO JUVENIL EN ZONA INSULAR DE LA LOCALIDAD HISTORICA Y DEL CARIBE NORTE DEL DISTRITO DE CARTAGENA DE INDIAS"/>
        <s v="2021130010021 APLICACION PROMOCION A EL FORTALECIMIENTO Y FORMACION A FRENTES DE SEGURIDAD DE LA LOCALIDAD HISTORICA Y DEL CARIBE NORTE"/>
        <s v="2021130010022 IMPLEMENTACION PROYECTO DE FORMACION EN CONVIVENCIA Y PAZ PARA LOS MIEMBROS DE JAC Y LOS FUNCIONARIOS DE LA ALCALDIA LOCAL LHCN"/>
        <s v="2021130010023 APLICACION PROMOCION DEL EMPRENDIMIEN A PROYECTOS PRODUCTIVOS, QUE INCLUYAN CAPITAL SEMILLA EN POBLACION NEGRA, AFROCOLOMBIANA, RAIZAL EN ZONA INSULAR O URBANA DE LA LOCALIDAD HISTORICA Y DEL CARIBE NORTE DISTRITO DE CARTAGENA DE INDIAS"/>
        <s v="2021130010025 ELABORACION DE ESTUDIOS Y DISE?OS PARA VIAS EN LOS BARRIOS DE LA LOCALIDAD HISTORICA Y DEL CARIBE NORTE DEL DISTRITO DE CARTAGENA"/>
        <s v="2021130010035 ELABORACION DE ESTUDIOS Y DISE?OS AJUSTADOS DE LA VIA PERIMETRAL EN EL MARCO DEL PROGRAMA ORDENACION TERRITORIAL Y RECUPERACION SOCIAL AMBIENTAL Y URBANA DE LA CIENAGA DE LA VIRGEN EN EL DISTRITO DE  CARTAGENA DE INDIAS"/>
        <s v="2021130010036 IMPLEMENTACION DE LA ESTRATEGIA DESCUBRIENDO EL MUNDO: UN GOBIERNO QUE CREE EN LAS NI?AS Y LOS NI?OS EN EL MARCO DEL PROGRAMA SABIDURIA DE LA PRIMERA INFANCIA -TG+ EN  CARTAGENA DE INDIAS"/>
        <s v="2021130010039 FORMULACION POLITICA PUBLICA DISTRITAL SECTOR EDUCATIVO EG+  CARTAGENA DE INDIAS"/>
        <s v="2021130010042 FORTALECIMIENTO APOYAR A LOS TRABAJADORES Y LAS TRABAJADORAS DE LA CULTURA EN SUS PROCESOS DE FORMACION INVESTIGACION CREACION PRODUCCION Y CIRCULACION A TRAVES DE PROCESOS PEDAGOGICOS Y DE CONVOCATORIAS TRANSPARENTES CARTAGENA DE INDIAS"/>
        <s v="2021130010044 CAPACITACION PARA LOGRAR SENSIBILIZAR Y MEJORAR LA CULTURA AMBIENTAL EN LA LOCALIDAD INDUSTRIAL Y DE LA BAHIA QUE PRESERVE EL EQUILIBRIO NATURAL DE LOS ECOSISTEMAS CARTAGENA DE INDIAS"/>
        <s v="2021130010045 IMPLEMENTACION DE PROTECCION Y ATENCION A LOS ANIMALES EN CONDICION DE CALLE EVITANDO SU REPRODUCCION Y PREVINIENDO EL ABANDONO DE ANIMALES A TRAVES DE CAMPA?AS MASIVAS EN LA LOCALIDAD INDUSTRIAL Y DE LA BAHIA CARTAGENA DE INDIAS"/>
        <s v="2021130010047 DIFUSION DE LAS MEDIDAS NECESARIAS PARA LA ADAPTACION A LOS IMPACTOS GENERADOS POR EL CAMBIO CLIMATICO Y POR LOS ACTUALES NIVELES DE CONTAMINACION, CARTAGENA DE INDIAS"/>
        <s v="2021130010048 APOYO PARA ORIENTAR Y FORMAR EN EMPRENDIMIENTO Y OFICIOS ACORDE CON LA DINAMICA LABORAL Y PRODUCTIVA DE LA LOCALIDAD QUE COADYUVEN A MEJORAR LAS CONDICIONES DE EMPLEABILIDAD DE LOS JOVENES CARTAGENA DE INDIAS"/>
        <s v="2021130010049 FORMACION PARA PROMOVER EL EJERCICIO Y GARANTIA DE LOS DERECHOS ECONOMICOS DE LAS MUJERES COMPETENCIAS LABORALES Y EMPRESARIALES QUE LES PERMITA MEJORAR SUS INGRESOS Y SU AUTONOMICA ECONOMICA A TRAVES DE INICIATIVAS PRODUCTIVAS CARTAGENA DE INDIAS"/>
        <s v="2021130010050 APOYO EL DESARROLLO ECONOMICO SOSTENIBLE E INCLUYENTE DE LA LOCALIDAD PROMOVIENDO LA FORMACION EL EMPRENDIMIENTO Y BRINDANDO LAS ASESORIAS NECESARIAS PARA EL FORTALECIMIENTO DE LA COMPETITIVIDAD Y EMPLEABILIDAD LOCAL CARTAGENA DE INDIAS"/>
        <s v="2021130010051 FORMACION EN ECONOMIA INCLUSIVA COMPETITIVIDAD Y GENERACION DE EMPLEO PARA EL DESARROLLO DE LA ECONOMIA LOCAL EN LA LOCALIDAD INDUSTRIAL Y DE LA BAHIA CARTAGENA DE INDIAS"/>
        <s v="2021130010052 CARACTERIZACION PARA LA CREACION DE ESTRATEGIAS Y ACCIONES CON EL FIN DE GARANTIZAR EL MANTENIMIENTO Y SOSTENIMIENTO DEL ESPACIO PUBLICO DE LA LOCALIDAD DE LA VIRGEN Y TURISTICA CARTAGENA DE INDIAS"/>
        <s v="2021130010054 ASISTENCIA PARA PROMOVER Y ACOMPA?AR LOS SISTEMAS PRODUCTIVOS MEDIANTE LA PRESTACION DEL SERVICIO PUBLICO DE EXTENSION AGROPECUARIO A LOS PRODUCTORES RURALES PESQUEROS Y ACUICOLAS CARTAGENA DE INDIAS"/>
        <s v="2021130010055 FORMACION PARA LA GENERACION DE EMPLEO INCLUSIVO PARA LOS JOVENES DE LA LOCALIDAD DE LA VIRGEN Y TURISTICA CARTAGENA DE INDIAS"/>
        <s v="2021130010056 GENERACION DE INGRESOS EMPRENDIMIENTO Y EMPRESARISMO EN LAS FAMILIAS EN POBREZA EXTREMA DE LA LOCALIDAD DE LA VIRGEN Y TURISTICA CARTAGENA DE INDIAS"/>
        <s v="2021130010058 ASISTENCIA PARA GARANTIZAR LOS DERECHOS Y DEBERES EN SALUD CON ENFOQUE DIFERENCIAL EN ARAS DE MINIMIZAR TANTO LAS BARRERAS DE ACCESO A LOS SERVICIOS DE SALUD COMO OTRAS FORMAS DE EXCLUSION, CARTAGENA DE INDIAS"/>
        <s v="2021130010059 FORMACION PARA EL FORTALECIMIENTO DE LA DINAMICA FAMILIAR DE LAS FAMILIAS EN SITUACION DE POBREZA EXTREMA DE LA LOCALIDAD DE LA VIRGEN Y TURISTICA CARTAGENA DE INDIAS"/>
        <s v="2021130010060 ASISTENCIA INTEGRAL A LA FAUNA DOMESTICA EN CONDICION DE CALLE DE LA LOCALIDAD DE LA VIRGEN Y TURISTICA CARTAGENA DE INDIAS"/>
        <s v="2021130010061 DOTACION DE ELEMENTOS DE BIOSEGURIDAD QUE CONTRIBUYAN COMO MEDIDA DE INTERVENCION DIRIGIDA A MODIFICAR O DISMINUIR LAS CONDICIONES DE RIESGO ACTUALES A EVITAR NUEVOS RIESGOS Y GENERAR MECANISMOS PARA LA ATENCION DE EMERGENCIAS CARTAGENA DE INDIAS"/>
        <s v="2021130010062 ASISTENCIA MUJER LIBRE DE VIOLENCIA EN LA LOCALIDAD INDUSTRIAL Y DE LA BAHIA   CARTAGENA DE INDIAS"/>
        <s v="2021130010063 FORMACION PARA IMPULSAR LOS ESPACIOS Y PROCESOS DE PARTICIPACION DE LAS MUJERES PARA EL PLENO GOCE DE SUS DERECHOS EN LA LOCALIDAD INDUSTRIAL Y DE LA BAHIA CARTAGENA DE INDIAS"/>
        <s v="2021130010064 FORMACION PARA PROMOVER LOS DERECHOS SEXUALES Y REPRODUCTIVOS EN LA LOCALIDAD INDUSTRIAL Y DE LA BAHIA CARTAGENA DE INDIAS"/>
        <s v="2021130010065 FORTALECIMIENTO DE ESTRATEGIAS PARA GARANTIZAR EL DERECHO FUNDAMENTAL A LA VIDA Y LA INTEGRIDAD PERSONAL EN LA LOCALIDAD INDUSTRIAL Y DE LA BAHIA CARTAGENA DE INDIAS"/>
        <s v="2021130010070 RESTAURACION DE LAS AREAS NATURALES COMO PATRIMONIO AMBIENTAL EN LA LOCALIDAD INDUSTRIAL Y DE LA BAHIA,  CARTAGENA DE INDIAS"/>
        <s v="2021130010073 FORTALECIMIENTO DEL CONSEJO LOCAL DE PLANEACION Y DE LOS CONSEJOS COMUNEROS DE GOBIERNOS URBANOS Y RURALES EN LA LOCALIDAD INDUSTRIAL Y DE LA BAHIA CARTAGENA DE INDIAS"/>
        <s v="2021130010074 IMPLEMENTACION PROYECTO DEL FORTALECIMIENTO DE LA POLITICA NACIONAL DE SALUD MENTAL Y POLITICA INTEGRAL PARA LA PREVENCION Y ATENCION DEL CONSUMO DE SUSTANCIAS PSICOACTIVAS EN LOS NI?OS JOVENES Y ADOLESCENTES"/>
        <s v="2021130010075 FORTALECIMIENTO PARA EL EMPRENDIMIENTO DE NEGOCIOS PARA LOS HABITANTES DE LA LOCALIDAD HISTORICA Y DEL CARIBE NORTE EN EL DISTRITO DE CARTAGENA DE INDIAS,"/>
        <s v="2021130010076 CONSTRUCCION MEJORAMIENTO Y REHABILITACION DE VIAS PARA EL TRANSPORTE Y LA MOVILIDAD EN LA LOCALIDAD HISTORICA Y DEL CARIBE NORTE EN EL DISTRITO DE CARTAGENA"/>
        <s v="2021130010079 CONSTRUCCION MANTENIMIENTOS ADECUACIONES REPARACIONES DE CANCHAS DEPORTIVAS Y PARQUES EN LA ZONA URBANA DE LA LOCALIDAD HISTORICA Y DEL CARIBE NORTE DEL DISTRITO DE CARTAGENA DE INDIAS   "/>
        <s v="2021130010079 CONSTRUCCION MANTENIMIENTOS ADECUACIONES REPARACIONES DE CANCHAS DEPORTIVAS Y PARQUES  EN LA ZONA URBANA DE LA LOCALIDAD HISTORICA Y DEL CARIBE NORTE DEL DISTRITO DE CARTAGENA DE INDIAS"/>
        <s v="2021130010082 FORTALECIMIENTO DEL DEPORTE RECREACION Y LUDICA DE LOS HABITANTES DE LA LOCALIDAD INDUSTRIAL Y DE LA BAHIA CARTAGENA DE INDIAS"/>
        <s v="2021130010083 FORTALECIMIENTO DE LOS PROCESOS DE FORMACION SOBRE LOS DERECHOS DE LOS NI?OS NI?AS Y ADOLESCENTES EN LA LOCALIDAD INDUSTRIAL Y DE LA BAHIA,  CARTAGENA DE INDIAS"/>
        <s v="2021130010085 FORTALECIMIENTO DE LA INCLUSION ETNICA EN LA LOCALIDAD INDUSTRIAL Y DE LA BAHIA,  CARTAGENA DE INDIAS"/>
        <s v="2021130010087 FORTALECIMIENTO A LA ATENCION INCLUSIVA DE LAS PERSONAS CON DISCAPACIDAD EN LA LOCALIDAD INDUSTRIAL Y DE LA BAHIA,  CARTAGENA DE INDIAS"/>
        <s v="2021130010088 FORTALECIMIENTO A LA ATENCION INTEGRAL DE LOS ADULTOS MAYORES DE LA LOCALIDAD INDUSTRIAL Y DE LA BAHIA,  CARTAGENA DE INDIAS"/>
        <s v="2021130010089 FORTALECIMIENTO DE LAS ORGANIZACIONES Y LIDERES COMUNITARIOS PARA LA PARTICIPACION LOCAL EN LA LOCALIDAD INDUSTRIAL Y DE LA BAHIA,  CARTAGENA DE INDIAS"/>
        <s v="2021130010090 DESARROLLO DE ACTIVIDADES CULTURALES Y ARTISTICAS PARA LOS JOVENES ENTRE 14 Y 28 A?OS DEL DISTRITO DE   CARTAGENA DE INDIAS"/>
        <s v="2021130010091 INCREMENTO DE ZONAS VERDES A TRAVES DE LA RECUPERACION DE ESPACIO PUBLICO DE LA LOCALIDAD DE LA VIRGEN Y TURISTICA CARTAGENA DE INDIAS"/>
        <s v="2021130010092 MUJERES CON AUTONOMIA ECONOMICA"/>
        <s v="2021130010093 FORMACION DE LA POBLACION JUVENIL DE LA LOCALIDAD PARA FOMENTAR SU PARTICIPACION CIUDADANA EN LA LOCALIDAD INDUSTRIAL Y DE LA BAHIA,  CARTAGENA DE INDIAS"/>
        <s v="2021130010095 FORTALECIMIENTO AL DESARROLLO DE LAS EXPRESIONES ARTISTICAS Y CULTURALES EN LA LOCALIDAD INDUSTRIAL Y DE LA BAHIA CARTAGENA DE INDIAS"/>
        <s v="2021130010098 FORTALECIMIENTO DEL MANEJO Y PREVENCION DE DESASTRES DE LA LOCALIDAD DE LA VIRGEN Y TURISTICA CARTAGENA DE INDIAS"/>
        <s v="2021130010099 ADECUACION DE SANEAMIENTO BASICO PARA VIVIENDAS DE LA POBLACION EN CONDICION POBREZA DE LA LOCALIDAD DE LA VIRGEN Y TURISTICA CARTAGENA DE INDIAS"/>
        <s v="2021130010100 DESARROLLO DE MEDIDAS PARA MEJORAR LA CAPACIDAD HIDRAULICA DE LOS CANALES PLUVIALES EN LA LOCALIDAD DE LA VIRGEN Y TURISTICA CARTAGENA DE INDIAS"/>
        <s v="2021130010101 ELABORACION DE CAMPA?AS EDUCATIVAS PARA REDUCIR LA SINIESTRALIDAD VIAL EN LA LOCALIDAD DE LA VIRGEN Y TURISTICA CARTAGENA DE INDIAS"/>
        <s v="2021130010102 FORTALECIMIENTO DEL EMPRENDIMIENTO EN LOS PEQUE?OS PRODUCTORES RURALES DE LA LOCALIDAD DE LA VIRGEN Y TURISTICA CARTAGENA DE INDIAS"/>
        <s v="2021130010103 FORMACION DE ADOLESCENTES EN SALUD SEXUAL Y REPRODUCTIVA EN LA LOCALIDAD DE LA VIRGEN Y TURISTICA CARTAGENA DE INDIAS"/>
        <s v="2021130010104 CAPACITACION DE LOS PRESTADORES DE SERVICIOS TURISTICOS PARA LA REACTIVACION ECONOMICA DEL SECTOR EN LA LOCALIDAD DE LA VIRGEN Y TURISTICA, CARTAGENA DE INDIAS"/>
        <s v="2021130010105 FORTALECIMIENTO DEL EMPRENDIMIENTO Y LA EMPLEABILIDAD EN LA LOCALIDAD DE LA VIRGEN Y TURISTICA, CARTAGENA DE INDIAS"/>
        <s v="2021130010106 CONSTRUCCION Y MANTENIMIENTO DE INFRAESTRUCTURA CULTURAL EN LA LOCALIDAD DE LA VIRGEN Y TURISTICA, CARTAGENA DE INDIAS"/>
        <s v="2021130010107 FORTALECIMIENTO DE LA PARTICIPACION DE ARTISTAS Y GESTORES CULTURALES EN LOS FESTEJOS Y FIESTAS DE LA LOCALIDAD DE LA VIRGEN Y TURISTICA CARTAGENA DE INDIAS"/>
        <s v="2021130010110 DESARROLLO DE EVENTOS O TORNEOS DEPORTIVOS PARA IMPULSAR LA INTEGRACION SOCIAL EN LA LOCALIDAD DE LA VIRGEN Y TURISTICA CARTAGENA DE INDIAS"/>
        <s v="2021130010111 ASISTENCIA PSICOSOCIAL A LA POBLACION NNA CON RIESGO DE VINCULARSE A ACTIVIDADES DELICTIVAS EN LA LOCALIDAD DE LA VIRGEN Y TURISTICA, CARTAGENA DE INDIAS"/>
        <s v="2021130010113 GENERACION DE MEDIDAS ENCAMINADAS A RECUPERAR EL ESPACIO PUBLICO DE LA LOCALIDAD DE LA VIRGEN Y TURISTICA, CARTAGENA DE INDIAS"/>
        <s v="2021130010114 FORTALECIMIENTO DE LA CAPACIDAD DE MANEJO Y RESOLUCION DE CONFLICTOS DE LOS ESTUDIANTES DE LAS IEO DE LA LOCALIDAD DE LA VIRGEN Y TURISTICA?"/>
        <s v="2021130010115 CONTRIBUCION A LA GENERACION DE INGRESOS DE LOS GRUPOS ETNICOS DE LA LOCALIDAD DE LA VIRGEN Y TURISTICA CARTAGENA DE INDIAS"/>
        <s v="2021130010117 DESARROLLO DE ACCIONES PARA DISMINUIR LA VIOLENCIA CONTRA LA MUJER EN LA LOCALIDAD DE LA VIRGEN Y TURISTICA CARTAGENA DE INDIAS"/>
        <s v="2021130010118 FORMACION DE MUJERES PARA EJERCER LIDERAZGO EN LA COMUNIDAD DE LA LOCALIDAD DE LA VIRGEN Y TURISTICA, CARTAGENA DE INDIAS"/>
        <s v="2021130010121 ADECUACION DE CENTROS DE SALUD PARA LA POBLACION NEGRA AFROCOLOMBIANA RAIZAL Y PALENQUERA EN EL DISTRITO DE   CARTAGENA DE INDIAS"/>
        <s v="2021130010123 FORTALECIMIENTO DE PROCESOS DE RECONOCIMIENTO Y PROMOCION DE LA DIVERSIDAD SEXUAL EN MEDIO DE LA COMUNIDAD DE LA LOCALIDAD INDUSTRIAL Y DE LA BAHIA, CARTAGENA DE INDIAS,"/>
        <s v="2021130010125 DIVERSIDAD SEXUAL Y NUEVAS IDENTIDADES DE GENERO EN LA LOCALIDAD"/>
        <s v="2021130010126 FORTALECIMIENTO TECNICO Y LOGISTICO DE LAS ORGANIZACIONES COMUNALES DE LA LOCALIDAD DE LA VIRGEN Y TURISTICA CARTAGENA DE INDIAS"/>
        <s v="2021130010127 FORTALECIMIENTO TECNICO Y LOGISTICO DEL CONSEJO LOCAL DE PLANEACION DE LA LOCALIDAD DE LA VIRGEN Y TURISTICA, CARTAGENA DE INDIAS"/>
        <s v="2021130010131 FORMACION SOCIOPOLITICA PARA IMPULSAR LA PARTICIPACION CIUDADANA DE LOS JOVENES DE LA LOCALIDAD DE LA VIRGEN Y TURISTICA CARTAGENA DE INDIAS"/>
        <s v="2021130010132 FORTALECIMIENTO ORGANIZACIONAL ASOCIADO A LA ATENCION DE PERSONAS MAYORES EN CENTROS DE VIDA DE LA LOCALIDAD DE LA VIRGEN Y TURISTICA CARTAGENA DE INDIAS"/>
        <s v="2021130010134 DESARROLLO DEL FESTIVAL DE MEMORIA ORAL UNA ESTRATEGIA PARA LA SOSTENIBILIDAD CULTURAL COMO GARANTIA DE PERMANENCIA DE LOS VALORES CULTURALES EN EL DISTRITO DE CARTAGENA DE INDIAS"/>
        <s v="2021130010141 CONSTRUCCION, RECTIFICACION Y RECUPERACION DEL SISTEMA HIDRICO Y PLAN MAESTRO DE ALCANTARILLADO PLUVIAL PARA SALVAR EL HABITAT EN EL DISTRITO DE CARTAGENA DE INDIAS"/>
        <s v="2021130010142 FORTALECIMIENTO DEL CUERPO DE BOMBEROS DEL DISTRITO DE   CARTAGENA DE INDIAS"/>
        <s v="2021130010143 GENERACION DE UNA CULTURA DE PREVENCION, PROMOCION Y PROTECCION DE LOS DERECHOS HUMANOS CON ENFOQUE DIFERENCIAL Y DE GENERO EN EL DISTRITO DE CARTAGENA DE INDIAS"/>
        <s v="2021130010145 FORTALECIMIENTO DE LA GOBERNANZA Y AUTODETERMINACION DE LA CULTURA EN INSTITUCIONES PROPIAS DE LA POBLACION INDIGENA EN EL DISTRITO DE CARTAGENA DE INDIAS"/>
        <s v="2021130010145 FORTALECIMIENTO DE LA GOBERNANZA Y AUTODETERMINACION DE LA CULTURA E INSTITUCIONES PROPIAS DE LA POBLACION INDIGENA EN EL DISTRITO DE CARTAGENA DE INDIAS "/>
        <s v="2021130010146 APOYO A LA REALIZACION DEL FESTIVAL INTERNACIONAL DE CINE DE CARTAGENA FICCI 2021 PARA LOS BARRIOS DE CARTAGENA DE INDIAS"/>
        <s v="2021130010147 EXTENSION DEL CONOCIMIENTO DEL RIESGO EN NUESTRO TERRITORIO   CARTAGENA DE INDIAS"/>
        <s v="2021130010148 FORTALECIMIENTO DEL PROCESO ORGANIZATIVO Y ATENCION DIFERENCIAL A LA POBLACION NEGRA, AFRODESCENDIENTE, RAIZAL Y PALENQUERA EN EL DISTRITO DE CARTAGENA DE INDIAS"/>
        <s v="2021130010150 PRESTACION DE SERVICIOS BASICOS DE TECNOLOGIA DE INFORMACION Y COMUNICACION EN SALUD EN EL DEPARTAMENTO ADMINISTRATIVO DISTRITAL DE SALUD DE   CARTAGENA DE INDIAS"/>
        <s v="2021130010151 AMPLIACION DE LA OFERTA ACADEMICA DE LA INSTITUCION UNIVERSITARIA MAYOR DE CARTAGENA, UMAYOR,CON CALIDAD Y PERTINENCIA EN CARTAGENA DE INDIAS -EG+-0 CARTAGENA DE INDIAS"/>
        <s v="2021130010152 FORTALECIMIENTO DE LA INSTITUCION UNIVERSITARIA MAYOR DE CARTAGENA CARTAGENA DE INDIAS"/>
        <s v="2021130010153 FORTALECIMIENTO DE LA CALIDAD DE LA ATENCION EN SALUD  PARA LA POBLACION POBRE NO ASEGURADA RESIDENTE  EN EL DISTRITO    CARTAGENA DE INDIAS"/>
        <s v="2021130010153 FORTALECIMIENTO DE LA CALIDAD DE LA ATENCION EN SALUD  PARA LA POBLACION POBRE NO ASEGURADA RESIDENTE EN EL DISTRITO DE CARTAGENA DE INDIAS"/>
        <s v="2021130010153 FORTALECIMIENTO DE LA CALIDAD DE LA ATENCION EN SALUD PARA LA POBLACION POBRE NO ASEGURADA RESIDENTE EN EL DISTRITO CARTAGENA DE INDIAS"/>
        <s v="2021130010154 DISE?O Y CONSTRUCCION DE VIAS POR CONTRIBUCION DE VALORIZACION DENTRO DEL PROGRAMA  CARTAGENA SE CONECTA  CARTAGENA DE INDIAS "/>
        <s v="2021130010155 ESTUDIOS Y DISE?OS, CONSTRUCCION, MEJORAMIENTO Y REHABILITACION DE VIAS PARA EL TRANSPORTE Y LA MOVILIDAD EN EL DISTRITO DE CARTAGENA DE INDIAS"/>
        <s v="2021130010155 ESTUDIOS Y DISE?OS CONSTRUCCION, MEJORAMIENTO Y REHABILITACION DE VIAS PARA EL TRANSPORTE Y LA MOVILIDAD EN EL DISTRITO DE CARTAGENA DE INDIAS"/>
        <s v="2021130010156 AMPLIACION Y CONTINUIDAD DE LA AFILIACION AL REGIMEN SUBSIDIADO EN SALUD EN EL DISTRITO DE  CARTAGENA DE INDIAS"/>
        <s v="2021130010156 AMPLIACION Y CONTINUIDAD DE LA AFILIACION AL REGIMEN SUBSIDIADO EN SALUD EN EL DISTRITO DE CARTAGENA DE INDIAS"/>
        <s v="2021130010157 FORTALECIMIENTO DE LA PROMOCION SOCIAL EN SALUD DE LOS GRUPOS POBLACIONALES VULNERABLES Y DE LA PARTICIPACION SOCIAL EN SALUD EN EL DISTRITO DE  CARTAGENA DE INDIAS"/>
        <s v="2021130010158 APOYO IDENTIFICACION PARA LA SUPERACION DE LA POBREZA Y DESIGUALDAD"/>
        <s v="2021130010159 APOYO FORTALECIMIENTO PARA LA SUPERACION DE LA POBREZA EXTREMA Y DEISIGUALDAD "/>
        <s v="2021130010160 APOYO SEGURIDAD ALIMENTARIA Y NUTRICION PARA LA SUPERACION DE LA POBREZA EXTREMA Y DESIGUALDAD"/>
        <s v="2021130010161 APOYO INGRESO Y TRABAJO PARA LA SUPERACION DE LA POBREZA EXTREMA Y DESIGUALDAD"/>
        <s v="2021130010162 APOYO HABITABILIDAD PARA LA SUPERACION DE LA POBREZA Y DESIGUALDAD"/>
        <s v="2021130010163 APOYO BANCARIZACION PARA LA SUPERACION DE LA POBREZA EXTREMA Y DESIGUALDAD-0 ESTRUCTURAR EL ACCESO DE LA POBLACION EN POBREZA EXTREMA DEL DISTRITO DE CARTAGENA AL SISTEMA FINANCIERO"/>
        <s v="2021130010164  APOYO ACCESO A LA JUSTICIA PARA LA SUPERACION DE LA POBREZA Y DESIGUALDAD"/>
        <s v="2021130010165 APOYO SALUD PARA LA SUPERACION DE LA POBREZA Y DESIGUALDAD "/>
        <s v="2021130010166 REHABILITACION Y RECONSTRUCCION DE LA MALLA VIAL DE LA LOCALIDAD INDUSTRIAL Y DE LA BAHIA CARTAGENA DE INDIAS"/>
        <s v="2021130010167 ELABORACION DE DTS Y ADQUISICION DE TIERRAS POR ENAJENACION, EXPROPIACION, EXTINCION DE DOMINIO, CESION, DONACION Y/O COMPRAVENTA PARA LA CONSTRUCCION DE VIVIENDA VIS/VIP DEL PROGRAMA UN LUGAR APTO PARA MI HOGAR CARTAGENA DE INDIAS"/>
        <s v="2021130010168 FORTALECIMIENTO DEL CENTRO DE OPERACIONES Y EMERGENCIAS EN SALUD DEL DISTRITO DE  CARTAGENA DE INDIAS"/>
        <s v="2021130010169 SERVICIO  DE GESTION INTEGRAL Y RESPUESTA EN SALUD ANTE EMERGENCIAS Y DESASTRES EN EL DISTRITO DE   CARTAGENA DE INDIAS"/>
        <s v="2021130010170 FORTALECIMIENTO DE LA GESTION DEL PLAN DE SALUD PUBLICA EN   CARTAGENA DE INDIA"/>
        <s v="2021130010172 IMPLEMENTACION DEL PROGRAMA DE FORMACION INTEGRAL ESCUELA TALLER CARTAGENA DE INDIAS DEL DISTRITO DE  CARTAGENA DE INDIAS"/>
        <s v="2021130010174 ADMINISTRACION Y OPERACION DE LOS CEMENTERIOS PUBLICOS DISTRITALES  POR UNA CARTAGENA LIBRE Y RESILIENTE CARTAGENA DE INDIAS"/>
        <s v="2021130010174 ADMINISTRACION Y OPERACION DE LOS CEMENTERIOS PUBLICOS DISTRITALES ? POR UNA CARTAGENA LIBRE Y RESILIENTE? CARTAGENA DE INDIAS"/>
        <s v="2021130010176 CONSTRUCCION DE CONVIVENCIA PARA LA SEGURIDAD EN CARTAGENA DE INDIAS CARTAGENA DE INDIAS"/>
        <s v="2021130010177 ASISTENCIA TECNICA AL DISE?O DE POLITICAS PUBLICAS INTERSECTORIALES Y CON VISION INTEGRAL DE ENFOQUES BASADOS EN DERECHOS HUMANOS EN EL DISTRITO DE CARTAGENA DE INDIAS"/>
        <s v="2021130010177 ASISTENCIA TECNICA AL DISE?O DE POLITICAS PUBLICAS INTERSECTORIALES Y CON VISION INTEGRAL DE ENFOQUES BASADOS EN DERECHOS HUMANOS EN EL DISTRITO DE  CARTAGENA DE INDIAS"/>
        <s v="2021130010178 GESTION DOCUMENTAL, MEDIANTE EL AVANCE EN LA IMPLEMENTACION DEL PLAN INSTITUCIONAL DE ARCHIVO-PINAR, PARA AUMENTAR LA EFICIENCIA Y EFICACIA EN LOS PROCESOS DOCUMENTALES"/>
        <s v="2021130010179 FORTALECIMIENTO DEL PROCESO DE ESTRATIFICACION SOCIOECONOMICA EN EL DISTRITO DE  CARTAGENA DE INDIAS"/>
        <s v="2021130010180 IMPLEMENTACION Y SOSTENIMIENTO DE HERRAMIENTAS TECCNOLOGICAS PARA SEGURIDAD Y SOCORRO EN CARTAGENA DE INDIAS"/>
        <s v="2021130010180 IMPLEMENTACION Y SOSTENIMIENTO DE HERRAMIENTAS TECNOLOGICAS PARA LA SEGURIDAD Y SOCORRO EN"/>
        <s v="2021130010181 ASISTENCIA TECNICA AL PROYECTO DE ELABORACION DE ESTUDIOS Y DISE?OS AJUSTADOS DE LA VIA PERIMETRAL EN EL MARCO DEL PROGRAMA ORDENACION TERRITORIAL RECUPERACION SOCIAL AMBIENTAL URBANA DE LA CIENAGA DE LA VIRGEN DISTRITO DE CARTAGENA DE INDIAS"/>
        <s v="2021130010182 SERVICIO DE ESTERILIZACION DE CANINOS Y FELINOS EN EL DISTRITO DE CARTAGENA-0 CARTAGENA DE INDIAS"/>
        <s v="2021130010183 PRESTACION DEL SERVICIO DE EXTENSION RURAL AGROPECUARIA A LOS PEQUE?OS PRODUCTORES ASENTADOS EN LA ZONA RURAL DEL DISTRITO DE CARTAGENA DE INDIAS "/>
        <s v="2021130010184 RECUPERACION Y APROVECHAMIENTO INTEGRAL DEL SISTEMA INTEGRAL DE CA?OS, LAGOS Y CIENAGAS DEL DISTRITO DE CARTAGENA DE INDIAS "/>
        <s v="2021130010184 RECUPERACION Y APROVECHAMIENTO INTEGRAL DEL SISTEMA INTEGRAL DE CA?OS, LAGOS Y CIENAGAS DEL DISTRITO DE CARTAGENA DE INDIAS"/>
        <s v="2021130010185 IMPLEMENTACION PROYECTO DE ATENCION Y PROTECCION ANIMAL - VEHICULOS DE TRACCION ANIMAL CARTAGENA DE INDIAS"/>
        <s v="2021130010186 ASISTENCIA CARTAGENA EMPRENDEDORA PARA PEQUE?OS PRODUCTORES RURALES CARTAGENA DE INDIAS"/>
        <s v="2021130010187 FORTALECIMIENTO DOTACION Y CAPACITACION A ORGANIZADORES DE PESCADORES PERTENECIENTES A GRUPOS ETNICOS AFRO CARTAGENA DE INDIAS "/>
        <s v="2021130010188 APOYO INTEGRAL PARA EL DESARROLLO HUMANO A LAS PERSONAS HABITANTES DE CALLE EN CARTAGENA DE INDIAS"/>
        <s v="2021130010189 TRANSFORMACION DIGITAL PARA UNA CARTAGENA INTELIGENTE CON TODOS Y PARA TODOS CARTAGENA DE INDIAS"/>
        <s v="2021130010190 FORTALECIMIENTO DEL SISTEMA INTEGRADO DE MERCADOS PUBLICOS MEDIANTE EL DESARROLLO DE ACTIVIDADES Y/O ACTUACIONES ADMINISTRATIVAS, OPERATIVAS, JURIDICAS, CONTRACTUALES Y AMBIENTALES EN EL DISTRITO DE CARTAGENA DE INDIAS"/>
        <s v="2021130010191 IMPLEMENTACION DE UN SISTEMA DE ARBOLADO URBANO EN LA CIUDAD DE CARTAGENA DE INDIAS,"/>
        <s v="2021130010191 IMPLEMENTACION DE UN SISTEMA DE ARBOLADO URBANO EN LA CIUDAD DE  CARTAGENA DE INDIAS"/>
        <s v="2021130010192 FORTALECIMIENTO LOGISTICO PARA LA SEGURIDAD, CONVIVENCIA, JUSTICIA Y SOCORRO EN CARTAGENA DE INDIAS"/>
        <s v="2021130010192 FORTALECIMIENTO LOGISTICO PARA LA SEGURIDAD, CONVIVENCIA, JUSTICIA Y SOCORRO EN CARTAGENA DE INDIAS CARTAGENA DE INDIAS"/>
        <s v="2021130010192 FORTALECIMIENTO LOGISTICO PARA LA SEGURIDAD, CONVIVENCIA, JUSTICIA Y SOCORRO EN  CARTAGENA DE INDIAS  CARTAGENA DE INDIAS"/>
        <s v="2021130010193 FORMULACION PLAN DE INTERNACIONALIZACION DE CARTAGENA DE INDIAS"/>
        <s v="2021130010194 ASISTENCIA NUEVO PROYECTO DE CA?OS LAGOS LAGUNAS Y CIENAGAS DEL DISTRITO DE  CARTAGENA DE INDIAS"/>
        <s v="2021130010195 IMPLEMENTACION DE LA OPTIMIZACION DEL SERVICIO DE ALUMBRADO PUBLICO Y EL SUMINISTRO DE ENERGIA PARA EL SISTEMA, EN EL DISTRITO DE CARTAGENA DE INDIAS"/>
        <s v="2021130010195 IMPLEMENTACION DE LA OPTIMIZACION DEL SERVICIO DE ALUMBRADO PUBLICO Y EL SUMINISTRO DE ENERGIA PARA EL SISTEMA, EN EL DISTRITO DE CARTAGENA DE INDIAS "/>
        <s v="2021130010196 ADMINISTRACION DEL FONDO DE SOLIDARIDAD Y REDISTRIBUCION DEL INGRESOS PARA LOS SERVICIOS PUBLICOS DOMICILIARIOS DE ACUEDUCTO, ALCANTARILLADO Y ASEO EN EL DISTRITO DE CARTAGENA DE INDIAS"/>
        <s v="2021130010197 RECUPERACION DE AREAS AMBIENTALES DEGRADADAS CARTAGENA DE INDIAS"/>
        <s v="2021130010197 RECUPERACION DE AREAS AMBIENTALMENTE DEGRADADAS  CARTAGENA DE INDIAS"/>
        <s v="2021130010198 IMPLEMENTACION DE LA GESTION INTEGRAL DEL RECUSROS HIDRICO CARTAGENA DE INDIAS"/>
        <s v="2021130010198 IMPLEMENTACION DE LA GESTION INTEGRAL DEL RECURSO HIDRICO  CARTAGENA DE INDIAS"/>
        <s v="2021130010199 MODERNIZACION CARTAGENA HACIA LA MODERNIDAD  CARTAGENA DE INDIAS"/>
        <s v="2021130010200 IMPLEMENTACION DE UN ORDENAMIENTO PARA EL DESARROLLO AMBIENTAL EN EL AREA DE JURISDICCION DEL ESTABLECIMIENTO PUBLICO AMBIENTAL DE   CARTAGENA DE INDIAS"/>
        <s v="2021130010201 FORMULACION Y ADOPCION DEL PLAN INTEGRAL DE GESTION DEL CAMBIO CLIMATICO PIACC DEL DISTRITO DE CARTAGENA DE INDIAS EN EL MARCO DE LO DISPUESTO POR LA LEY 1931 DEL 2018 BOLIVAR"/>
        <s v="2021130010202 IMPLEMENTACION DE LA GARANTIA AL ACCESO A UNA ENERGIA LIMPIA, ASEQUIBLE, SEGURA, SOSTENIBLE, MODERNA Y EFICIENTE PARA LAS ZONAS RURAL E INSULAR DE CARTAGENA DE INDIAS"/>
        <s v="2021130010203 DESARROLLO DEL TURISMO COMPETITIVO Y SOSTENIBLE PARA CARTAGENA DE INDIAS"/>
        <s v="2021130010204 CONSOLIDACION DE LA CONECTIVIDAD PARA CARTAGENA DE INDIAS"/>
        <s v="2021130010205 CONSOLIDACION DE LA PROMOCION NACIONAL E INTERNACIONAL DE CARTAGENA DE INDIAS"/>
        <s v="2021130010208  ACTUALIZACION EXTENSION DE REDES DE ACUEDUCTO EN EL DISTRITO DE CARTAGENA  DE INDIAS"/>
        <s v="2021130010208  ACTUALIZACION EXTENSION DE REDES DE ACUEDUCTO EN EL DISTRITO DE CARTAGENA CARTAGENA DE INDIAS"/>
        <s v="2021130010209 ASISTENCIA EN LA GESTION SOCIAL INTEGRAL Y ARTICULADORA POR LA PROTECCION DE LAS PERSONAS CON DISCAPACIDAD Y/O SU FAMILIA O CUIDADOR-0 CARTAGENA DE INDIAS"/>
        <s v="2021130010210 DESARROLLO LOCAL INCLUSIVO DE LAS PERSONAS CON DISCAPACIDAD: RECONOCIMIENTO DE CAPACIDADES, DIFERENCIAS Y DIVERSIDAD EN CARTAGENA DE INDIAS"/>
        <s v="2021130010211 CONTRIBUCION PACTO O ALIANZA POR LA INCLUSION SOCIAL Y PRODUCTIVA DE LAS PERSONAS CON DISCAPACIDAD EN CARTAGENA DE INDIA"/>
        <s v="2021130010212 ACTUALIZACION IMPLEMENTACION DEL PLAN DE GESTION INTEGRAL DE RESIDUOS SOLIDOS (PGIRS) EN EL DISTRITO DE CARTAGENA DE INDIAS CARTAGENA DE INDIAS"/>
        <s v="2021130010213 ACTUALIZACION LAS MUJERES DECIDIMOS SOBRE EL EJERCICIO DEL PODER CARTAGENA DE INDIAS"/>
        <s v="2021130010214 ACTUALIZACION Y REFORMULACION DE LA POLITICA PUBLICA DE MUJER CARTAGENA DE INDIAS"/>
        <s v="2021130010215 ESTUDIOS TECNICOS, DISE?OS Y OBRAS CONTINGENTES DERIVADAS DE SENTENCIAS JUDICIALES Y OBRAS DE EMERGENCIA EN INFRAESTRUCTURA DIFERENTES A VIAS EN EL DISTRITO DE CARTAGENA DE INDIAS"/>
        <s v="2021130010216 FORTALECIMIENTO DEL ECOSISTEMA DE COOPERACION DEL DISTRITO DE CARTAGENA DE INDIAS"/>
        <s v="2021130010217 FORTALECIMIENTO DE EPA MODERNA EFICIENTE Y TRANSPARENTE EN EL DISTRITO DE CARTAGENA DE INDIAS"/>
        <s v="2021130010217 FORTALECIMIENTO DE EPA MODERNA EFICIENTE Y TRANSPARENTE EN EL DISTRITO DE  CARTAGENA DE INDIAS"/>
        <s v="2021130010218 PROTECCION DE PREDIOS QUE CONSITUYEN AREAS DE IMPORTANCIA ESTRATEGICA AIE PARA EL SISTEMA DE ACUEDUCTO DEFINIDO EN EL POMCA EN EL DISTRITO DE CARTAGENA DE INDIAS,"/>
        <s v="2021130010219 FORTALECIMIENTO DE LA CAPACIDAD ADMINISTRATIVA, OPERATIVA Y TECNOLOGICA DE LAS ORGANIZACIONES COMUNALES DEL DISTRITO DE CARTAGENA DE INDIAS"/>
        <s v="2021130010220 FORTALECIMIENTO DE LA INCIDENCIA DE LOS CIUDADANOS EN LOS PROCESOS DE PARTICIPACION PARA LA CONSTRUCCION DE LO PUBLICO EN EL DISTRITO DE CARTAGENA DE INDIAS"/>
        <s v="2021130010221 FORTALECIMIENTO DE LA GESTION ADMINISTRATIVA Y LABOR SOCIAL DE LOS ORGANISMOS COMUNALES DEL DISTRITO DE CARTAGENA DE INDIAS"/>
        <s v="2021130010222 ADECUACION CARTAGENA LIBRE DE UNA CULTURA MACHISTA CARTAGENA DE INDIAS CARTAGENA DE INDIAS"/>
        <s v="2021130010223 FORTALECIMIENTO DE LA INVESTIGACION E INNOVACION PARA LA GESTION AMBIENTAL SOSTENIBLE EN EL DISTRITO DE  CARTAGENA DE INDIAS"/>
        <s v="2021130010223 FORTALECIMIENTO DE LA INVESTIGACION E INNOVACION PARA LA GESTION AMBIENTAL SOSTENIBLE EN EL DISTRITO DE CARTAGENA DE INDIAS"/>
        <s v="2021130010224 FORTALECIMIENTO DE LA EDUCACION INTEGRAL DESDE LA PARTICIPACION, DEMOCRACIA Y AUTONOMIA  EN LAS INSTITUCIONES EDUCATIVAS OFICIALES DEL DISTRITO DE CARTAGENA?"/>
        <s v="2021130010225 ELABORACION POLITICA PUBLICA Y REGLAMENTACION PROYECTOS PROTECCION ANIMAL CARTAGENA DE INDIAS"/>
        <s v="2021130010226 TRANSFORMACION DEL APRENDIZAJE, INSPIRANDO, CREANDO Y DISE?ANDO CON LAS TECNOLOGIAS DE LA INFORMACION Y LAS COMUNICACIOONES EN LAS IEO Y SED DEL DISTRITO DE CARTAGENA DE INDIAS"/>
        <s v="2021130010227 FORTALECIMIENTO DE LOS PROCESOS FORMATIVOS EN LAS INSTITUCIONES EDUCATIVAS OFICIALES DEL DISTRITO DE CARTAGENA: DESARROLLO DE POTENCIALIDADES"/>
        <s v="2021130010228 ACTUALIZACION MUJERES CONSTRUCTORAS DE PAZ-0  CARTAGENA DE INDIAS"/>
        <s v="2021130010229 ACTUALIZACION UNA VIDA LIBRE DE VIOLENCIAS PARA LAS MUJERES  CARTAGENA DE INDIAS"/>
        <s v="2021130010230 RECREACION COMUNITARIA Y APROVECHAMIENTO DEL TIEMPO LIBRE, COMO MECANISMO DE COHESION E INTEGRACION SOCIAL EN EL DISTRITO DE   CARTAGENA DE INDIAS"/>
        <s v="2021130010230 RECREACION COMUNITARIA Y APROVECHAMIENTO DEL TIEMPO LIBRE, COMO MECANISMO DE COHESION E INTEGRACION SOCIAL EN EL DISTRITO DE   CARTAGENA DE INDIAS - DEFICIT"/>
        <s v="2021130010231 FORMACION DE LA CIUDADANIA LIBRE INCLUYENTE Y TRANSFORMADORA PARA LA DEMOCRACIA 2022 2023"/>
        <s v="2021130010232 FORMACION DESARROLLO DE LAS COMPETENCIAS DE LOS SERVIDORES Y SERVIDORAS PUBLICAS DEL DISTRITO DE CARTAGENA DE INDIAS"/>
        <s v="2021130010233 ACTUALIZACION INSTANCIA RECTORA DE LA POLITICA PUBLICA DE MUJERES CARTAGENA DE INDIAS"/>
        <s v="2021130010234 ACTUALIZACION DIVERSIDAD SEXUAL E IDENTIDADES DE GENERO CARTAGENA DE INDIAS"/>
        <s v="2021130010235 FORMULACION DE LA POLITICA PUBLICA DE DIVERSIDAD SEXUAL E IDENTIDADES DE GENERO CARTAGENA DE INDIAS"/>
        <s v="2021130010237 ASISTENCIA EMPODERAMIENTO DEL LIDERAZGO DE LAS MUJERES NI?EZ JOVENES FAMILIA Y GENERACION INDIGENA  CARTAGENA DE INDIAS"/>
        <s v="2021130010238 FORMULACION AGENDA PROSPECTIVA DE CIUDAD NUESTRA CARTAGENA SO?ADA CARTAGENA DE INDIAS"/>
        <s v="2021130010239 IMPLEMENTACION PLAN DECENAL DE CULTURA CIUDADANA Y CARTAGENEIDAD"/>
        <s v="2021130010240 FORMACION INVESTIGACION PREMIOS JORGE PIEDRAHITA ADUEN"/>
        <s v="2021130010241 DESARROLLO E IMPLEMENTACION DEL CURSO DE FORMACION VIRTUAL EN LA ESCUELA DE GOBIERNO DEL DISTRITO DE CARTAGENA DE INDIAS "/>
        <s v="2021130010242 FORMACION MI ORGULLO ES CARTAGENA"/>
        <s v="2021130010244 ACTUALIZACION Y OPTIMIZACION DEL SISTEMAS DE INFORMACION GEOGRAFICA PARA LA PLANEACION SOCIAL Y TOMA DE DECISIONES DEL TERRITORIO EN  CARTAGENA DE INDIAS"/>
        <s v="2021130010245 ACTUALIZACION DEL AREA METROPOLITANA DE CARTAGENA DE INDIAS BUSCANDO FORTALECER LA CONSOLIDACION DEL AREA DE INTEGRACION COMO UN ESQUEMA ASOCIATIVO QUE FAVOREZCA EL SURGIMIENTO DE PROYECTOS TERRITORIALES  CARTAGENA DE INDIAS"/>
        <s v="2021130010246 FORTALECIMIENTO DE LA EDUCACION CULTURA Y SEGURIDAD VIAL EN EL DISTRITO DE   CARTAGENA DE INDIAS"/>
        <s v="2021130010247 AMPLIACION Y MANTENIMIENTO DE LA SE?ALIZACION VIAL EN EL DISTRITO DE CARTAGENA DE INDIAS"/>
        <s v="2021130010247 AMPLIACION Y MANTENIMIENTO DE LA SE?ALIZACION VIAL EN EL DISTRITO DE  CARTAGENA DE INDIAS"/>
        <s v="2021130010248 IMPLEMENTACION DE REINGENIERIA INSTITUCIONAL Y FORTALECIMIENTO FINANCIERO DEL DEPARTAMENTO ADMINISTRATIVO DE TRANSITO Y TRANSPORTE DE   CARTAGENA DE INDIAS"/>
        <s v="2021130010249 IMPLEMENTACION SISTEMA DE MOVILIDAD SOSTENIBLE EN EL DISTRITO DE   CARTAGENA DE INDIAS"/>
        <s v="2021130010250 APOYO PARA LA GESTION DEL TRANSPORTE PUBLICO MASIVO COLECTIVO E INDIVIDUAL EN EL DISTRITO DE   CARTAGENA DE INDIAS"/>
        <s v="2021130010251 FORMULACION Y ADOPCION DEL PLAN LOCAL DE SEGURIDAD VIAL EN EL DISTRITO DE  CARTAGENA DE INDIAS"/>
        <s v="2021130010252 DISE?O E IMPLEMENTACION DE UNA PLATAFORMA TECNOLOGICA  VIRTUAL PARA LA INFORMACION Y LA GESTION DE TRAMITES EN EL DEPARTAMENTO ADMINISTRATIVO DE TRANSITO Y TRANSPORTE EN EL DISTRITO DE   CARTAGENA DE INDIAS"/>
        <s v="2021130010253 ESTUDIOS PARA IMPLEMENTAR EL SISTEMA DE FISCALIZACION ELECTRONICA PARA LA REGULACION Y EL CONTROL DEL TRANSITO EN EL DISTRITO DE   CARTAGENA DE INDIAS"/>
        <s v="2021130010255 FORTALECIMIENTO Y SALVAGUARDIA DE LAS PRACTICAS SIGNIFICATIVAS DEL PATRIMONIO INMATERIAL EN EL DISTRITO DE CARTAGENA DE INDIAS"/>
        <s v="2021130010256 IMPLEMENTACION DE LA METODOLOGIA IV DEL SISBEN EN   CARTAGENA DE INDIAS"/>
        <s v="2021130010257 MODERNIZACION DEL SISTEMA DISTRITAL DE PLANEACION EN CARTAGENA DE INDIAS"/>
        <s v="2021130010257 MODERNIZACION DEL SISTEMA DISTRITAL DE PLANEACION EN  CARTAGENA DE INDIAS"/>
        <s v="2021130010259 APOYO  IMPLEMENTACION DEL PROGRAMA DE FAMILIAS EN ACCION EN CARTAGENA DE INDIAS -GT+  CARTAGENA DE INDIAS"/>
        <s v="2021130010261 CONSTRUCCION DE LOS INSTRUMENTOS DE PLANIFICACION (PEMP Y POT) DE LA CIUDAD DE CARTAGENA DE INDIAS"/>
        <s v="2021130010261 CONSTRUCCION DE LOS INSTRUMENTOS DE PLANIFICACION (PEMP Y POT) DE LA CIUDAD DE  CARTAGENA DE INDIAS"/>
        <s v="2021130010262 FORTALECIMIENTO A LA REGLAMENTACION URBANISTICA DEL ORDENAMIENTO TERRITORIAL Y ESTRATEGIAS DE PLANEACION PARA PLANES PARCIALES EN EL DISTRITO DE  CARTAGENA DE INDIAS"/>
        <s v="2021130010264 INVESTIGACION Y DIVULGACION CULTURAL SOBRE EL IMPACTO DE LA CORRUPCION EN EL MARCO DEL PREMIO JORGE PIEDRAHITA ADUEN EN EL DISTRITO DE CARTAGENA DE INDIAS"/>
        <s v="2021130010265 FORTALECIMIENTO SALVAGUARDA VALORACION CUIDADO Y CONTROL DEL PATRIMONIO MATERIAL EN EL DISTRITO DE CARTAGENA DE INDIAS"/>
        <s v="2021130010266 GENERACION  DEL ESPACIO PUBLICO  CARTAGENA DE INDIAS"/>
        <s v="2021130010267 RECUPERACION DEL ESPACIO PUBLICO  CARTAGENA DE INDIAS"/>
        <s v="2021130010268 MEJORAMIENTO DE PARQUES Y ZONAS VERDES PARA LA RECUPERACION  DEL  ESPACIO PUBLICO   CARTAGENA DE INDIAS"/>
        <s v="2021130010270 IMPLEMENTACION DEL OBSERVATORIO DE CIENCIAS APLICADAS AL DEPORTE, LA RECREACION, LA ACTIVIDAD FISICA Y EL APROVECHAMIENTO DEL TIEMPO LIBRE EN EL DISTRITO DE CARTAGENA DE INDIAS"/>
        <s v="2021130010270 IMPLEMENTACION DEL OBSERVATORIO DE CIENCIAS APLICADAS AL DEPORTE, LA RECREACION, LA ACTIVIDAD FISICA Y EL APROVECHAMIENTO DEL TIEMPO LIBRE EN EL DISTRITO DE  CARTAGENA DE INDIAS"/>
        <s v="2021130010271 NORMALIZACION URBANISTICA DE CARTAGENA DE INDIAS"/>
        <s v="2021130010272 IMPLEMENTACION DEL SISTEMA DISTRITAL DE CICLOINFRAESTRUCTURA  CARTAGENA DE INDIAS"/>
        <s v="2021130010274 IMPLEMENTACION DEL PLAN DE SANEAMIENTO FISCAL Y FINANCIERO DEL DISTRITO DE CARTAGENA DE INDIAS"/>
        <s v="2021130010275 FORTALECIMIENTO DEL SISTEMA DE RESPONSABILIDAD PENAL PARA ADOLESCENTES- SRPA EN EL CARTAGENA DE INDIAS"/>
        <s v="2021130010276 IMPLEMENTACION DE LA JURISDICCION ESPECIAL INDIGENA- JEI EN EL DISTRITO DE CARTAGENA DE INDIAS"/>
        <s v="2021130010278 IMPLEMENTACION DEL PROYECTO CARTAGENA XVI FESTIVAL DE MUSICA CARTAGENA DE INDIAS"/>
        <s v="2021130010279 IMPLEMENTACION DEL PROGRAMA VIGILANCIA DE LAS PLAYAS DEL DISTRITO DE CARTAGENA DE INDIAS"/>
        <s v="2021130010279 IMPLEMENTACION DEL PROGRAMA VIGILANCIA DE LAS PLAYAS DEL DISTRITO DE  CARTAGENA DE INDIAS"/>
        <s v="2021130010280 IDENTIFICACION Y CREACION DE INICIATIVAS PRODUCTIVAS ADAPTADAS A LAS CONDICIONES DE CRISIS SANITARIAS SOCIALES Y AMBIENTALES EN POBLACION JOVEN DEL DISTRITO DE CARTAGENA DE INDIAS"/>
        <s v="2021130010281 FORTALECIMIENTO DE LAS ESTRATEGIAS PARA LA GENERACION DE INGRESOS DE LA POBLACION INDIGENA EN EL DISTRITO DE CARTAGENA,"/>
        <s v="2021130010282 FORTALECIMIENTO DE LAS ESTRATEGIAS DE INCLUSION PRODUCTIVA PARA POBLACION NEGRA, AFROCOLOMBIANA, RAIZAL Y PALENQUERA EN EL DISTRITO DE CARTAGENA "/>
        <s v="2021130010283 FORTALECIMIENTO DE LAS CAPACIDADES TECNOLOGICAS Y OPERATIVAS DE LA UNIDAD ADMINISTRATIVA ESPECIAL MIGRACION COLOMBIA EN EL DISTRITO DE   CARTAGENA DE INDIAS"/>
        <s v="2021130010284 INVENTARIO ?SANEAMIENTO INTEGRAL DEL PATRIMONIO INMOBILIARIO DEL DISTRITO DE CARTAGENA?, CARTAGENA DE INDIAS"/>
        <s v="2021130010285 DISE?O IMPLEMENTACION DE LA ESTRATEGIA DISTRITAL DE TRANSPARENCIA, PREVENCION DE LA CORRUPCION Y CULTURA CIUDADANA ANTICORRUPCION, PARA EL FORTALECIMIENTO DE LA CONFIANZA EN LAS INSTITUCIONES DEL DISTRITO DE CARTAGENA DE INDIAS"/>
        <s v="2021130010286 DISE?O IMPLEMENTACION DE AUDITORIA FORENSE PARA LA PROTECCION Y RECUPERACION DEL PATRIMONIO PUBLICO DE CARTAGENA DE INDIAS"/>
        <s v="2021130010287 INSTALACION DE ZONAS WIFI EN LA ALCALDIA DISTRITAL DE CARTAGENA DE INDIAS"/>
        <s v="2021130010288 DESARROLLO DE UN SISTEMA DE INFORMACION DE LOS SERVICIOS PUBLICOS DEL DISTRITO CARTAGENA DE INDIAS"/>
        <s v="2021130010289 APOYO PARA LA IMPLEMENTACION DE HAY FESTIVAL CARTAGENA DE INDIAS DIGITAL EN EL DISTRITO DE CARTAGENA DE INDIAS "/>
        <s v="2021130010290 DESARROLLO DEL ECOSISTEMA DIGITAL BASADO EN LA CUARTA REVOLUCION INDUSTRIAL CARTAGENA DE INDIAS "/>
        <s v="2021130010292 DEFINICION E IMPLEMENTACION DEL ESQUEMA DE PRESTACION DE LOS SERVICIOS DE ACUEDUCTO Y ALCANTARILLADO DE LAS COMUNIDADES DE TIERRA BOMBA, ARCHIPIELAGO DE SAN BERNARDO, ISLA FUERTE E ISLA DE BARU,"/>
        <s v="2021130010292 DEFINICION E IMPLEMENTACION DEL ESQUEMA DE PRESTACION DE LOS SERVICIOS  DE ACUEDUCTO Y ALCANTARILLAO DE LAS COMUNIDADES DE TIERRABOMBA, ARCHIPIELAGO DE SAN BERNARDO, ISLA FUERTE E ISLA DE BARU"/>
        <s v="2021130010293 SANEAMIENTO DE FORMA SEGURA PARA TODOS EN EL DISTRITO DE CARTAGENA "/>
        <s v="2022130010001 IMPLEMENTACION DE ESTRATEGIAS PARA EL MEJORAMIENTO Y SOSTENIBILIDAD DE LAS FINANZAS EN EL DISTRITO DE CARTAGENA DE INDIAS  CARTAGENA DE INDIAS"/>
        <s v="2022130010001 IMPLEMENTACION DE ESTRATEGIAS PARA EL MEJORAMIENTO Y SOSTENIBILIDAD DE LAS FINANZAS EN EL DISTRITO DE CARTAGENA DE INDIAS CARTAGENA DE INDIAS"/>
        <s v="2022130010002 CONSTRUCCION Y ADECUACION DE LA MALLA VIAL DEL LA LOCALIDAD DE LA VIRGEN Y TURISTICA DEL DISTRITO DE CARTAGENA DE INDIAS BOLIVAR"/>
        <s v="2022130010003 ADECUACION DE ESCENARIOS PARA RECREACION Y DEPORTE EN LA LOCALIDAD DE LA VIRGEN Y TURISTICA"/>
        <s v="2022130010004 IMPLEMENTACION PROYECTO CAMPA?AS PARA EL RESCATE DE LOS DERECHOS A LOS ADULTOS MAYORES DE LA LOCALIDAD, HISTORICA Y DEL CARIBENORTE  "/>
        <s v="2022130010005 FORTALECIMIENTO AL CUIDADO INCLUSIVO DE LA POBLACION CON DISCAPACIDAD EN LA LOCALIDAD  DE LA VIRGEN Y TURISTICA EN CARTAGENA DE INDIAS,     "/>
        <s v="2022130010006 FORTALECIMIENTO DE LA CONVIVENCIA Y SEGURIDAD CIUDADANA"/>
        <s v="2022130010007 IMPLEMENTACION Y MANTENIMIENTO DE HERRAMIENTAS TECNOLOGICAS PARA SEGURIDAD Y SOCORRO EN LA LOCALIDAD DE LA VIRGEN Y TURISTICA DE CARTAGENA DE INDIAS CARTAGENA DE INDIAS"/>
        <s v="2022130010009 CONSTRUCCION DE POZOS PROFUNDOS PARA EL DESARROLLO AGROPECUARIO EN LA VEREDA PUA EN EL CORREGIMIENTO DE ARROYO DE PIEDRA DEL DISTRITO DE   CARTAGENA DE INDIAS"/>
        <s v="2022130010013 FORTALECIMIENTO INTEGRAL  DE LAS CAPACIDADES INSTITUCIONALES DE LA POLICIA METROPOLITANA DE  CARTAGENA DE INDIAS"/>
      </sharedItems>
    </cacheField>
    <cacheField name="N3" numFmtId="0">
      <sharedItems/>
    </cacheField>
    <cacheField name="N4" numFmtId="0">
      <sharedItems/>
    </cacheField>
    <cacheField name="INICIAL" numFmtId="43">
      <sharedItems containsSemiMixedTypes="0" containsString="0" containsNumber="1" minValue="0" maxValue="410028127428"/>
    </cacheField>
    <cacheField name="MODIFICACIONES" numFmtId="43">
      <sharedItems containsSemiMixedTypes="0" containsString="0" containsNumber="1" minValue="-9769914451.5699997" maxValue="98666364023.380005"/>
    </cacheField>
    <cacheField name="VIGENTE" numFmtId="43">
      <sharedItems containsSemiMixedTypes="0" containsString="0" containsNumber="1" minValue="0" maxValue="491114208905.38"/>
    </cacheField>
    <cacheField name="DISPONIBILIDADES" numFmtId="43">
      <sharedItems containsSemiMixedTypes="0" containsString="0" containsNumber="1" minValue="0" maxValue="488097844712.42999"/>
    </cacheField>
    <cacheField name="SALDO_APROPIACION" numFmtId="43">
      <sharedItems containsSemiMixedTypes="0" containsString="0" containsNumber="1" minValue="0" maxValue="13653212596"/>
    </cacheField>
    <cacheField name="COMPROMISOS" numFmtId="43">
      <sharedItems containsSemiMixedTypes="0" containsString="0" containsNumber="1" minValue="0" maxValue="488097844712.42999"/>
    </cacheField>
    <cacheField name="EJEC_PRESUP(%)" numFmtId="43">
      <sharedItems containsSemiMixedTypes="0" containsString="0" containsNumber="1" minValue="0" maxValue="100"/>
    </cacheField>
    <cacheField name="GIROS" numFmtId="43">
      <sharedItems containsSemiMixedTypes="0" containsString="0" containsNumber="1" minValue="0" maxValue="488097844712.42999"/>
    </cacheField>
    <cacheField name="EJEC_PRESUP_GIROS(%)" numFmtId="43">
      <sharedItems containsSemiMixedTypes="0" containsString="0" containsNumber="1" minValue="0" maxValue="100"/>
    </cacheField>
    <cacheField name="SALDO_APROPIACION_COMP" numFmtId="43">
      <sharedItems containsSemiMixedTypes="0" containsString="0" containsNumber="1" minValue="0" maxValue="13653212596"/>
    </cacheField>
    <cacheField name="PAGOS" numFmtId="43">
      <sharedItems containsSemiMixedTypes="0" containsString="0" containsNumber="1" minValue="0" maxValue="488097844712.42999"/>
    </cacheField>
    <cacheField name="Campo1" numFmtId="0" formula="VIGENTE-DISPONIBILIDADES" databaseField="0"/>
    <cacheField name=" SALDO APROPIACIÓN RP" numFmtId="0" formula="VIGENTE-COMPROMISOS" databaseField="0"/>
    <cacheField name="% CDP" numFmtId="0" formula="DISPONIBILIDADES/VIGENTE" databaseField="0"/>
    <cacheField name="% RP" numFmtId="0" formula="COMPROMISOS/VIGENTE"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elson" refreshedDate="44951.399657407404" createdVersion="8" refreshedVersion="8" minRefreshableVersion="3" recordCount="770" xr:uid="{CEB4AF2B-7902-4DA8-8C89-6B4BCD31AE62}">
  <cacheSource type="worksheet">
    <worksheetSource ref="A1:AC1048576" sheet="BASE"/>
  </cacheSource>
  <cacheFields count="29">
    <cacheField name="VIGENCIA" numFmtId="0">
      <sharedItems containsString="0" containsBlank="1" containsNumber="1" containsInteger="1" minValue="2022" maxValue="2022"/>
    </cacheField>
    <cacheField name="COMP" numFmtId="0">
      <sharedItems containsString="0" containsBlank="1" containsNumber="1" containsInteger="1" minValue="100" maxValue="100"/>
    </cacheField>
    <cacheField name="UE" numFmtId="0">
      <sharedItems containsBlank="1" count="22">
        <s v="04"/>
        <s v="11"/>
        <s v="23"/>
        <s v="02"/>
        <s v="01"/>
        <s v="15"/>
        <s v="17"/>
        <s v="07"/>
        <s v="10"/>
        <s v="08"/>
        <s v="16"/>
        <s v="21"/>
        <s v="13"/>
        <s v="05"/>
        <s v="03"/>
        <s v="09"/>
        <s v="12"/>
        <s v="06"/>
        <s v="25"/>
        <s v="22"/>
        <s v="14"/>
        <m/>
      </sharedItems>
    </cacheField>
    <cacheField name="UNIDAD_EJE" numFmtId="0">
      <sharedItems containsBlank="1"/>
    </cacheField>
    <cacheField name="UE2" numFmtId="0">
      <sharedItems containsBlank="1"/>
    </cacheField>
    <cacheField name="BPIN" numFmtId="1">
      <sharedItems containsString="0" containsBlank="1" containsNumber="1" containsInteger="1" minValue="130010402" maxValue="2022130010013"/>
    </cacheField>
    <cacheField name="EJE" numFmtId="1">
      <sharedItems containsBlank="1"/>
    </cacheField>
    <cacheField name="LINEA" numFmtId="1">
      <sharedItems containsBlank="1"/>
    </cacheField>
    <cacheField name="PROGRAMA" numFmtId="1">
      <sharedItems containsBlank="1"/>
    </cacheField>
    <cacheField name="CODIGO_PRESUPUESTAL" numFmtId="0">
      <sharedItems containsBlank="1"/>
    </cacheField>
    <cacheField name="FTE" numFmtId="0">
      <sharedItems containsBlank="1"/>
    </cacheField>
    <cacheField name="FUENTE" numFmtId="0">
      <sharedItems containsBlank="1"/>
    </cacheField>
    <cacheField name="I_F" numFmtId="0">
      <sharedItems containsBlank="1"/>
    </cacheField>
    <cacheField name="RESERVA" numFmtId="0">
      <sharedItems containsBlank="1"/>
    </cacheField>
    <cacheField name="RUBRO" numFmtId="0">
      <sharedItems containsBlank="1"/>
    </cacheField>
    <cacheField name="RUBRO+BPIN" numFmtId="0">
      <sharedItems containsBlank="1" longText="1"/>
    </cacheField>
    <cacheField name="N3" numFmtId="0">
      <sharedItems containsBlank="1"/>
    </cacheField>
    <cacheField name="N4" numFmtId="0">
      <sharedItems containsBlank="1"/>
    </cacheField>
    <cacheField name="INICIAL" numFmtId="43">
      <sharedItems containsString="0" containsBlank="1" containsNumber="1" minValue="0" maxValue="410028127428"/>
    </cacheField>
    <cacheField name="MODIFICACIONES" numFmtId="43">
      <sharedItems containsString="0" containsBlank="1" containsNumber="1" minValue="-9769914451.5699997" maxValue="98666364023.380005"/>
    </cacheField>
    <cacheField name="VIGENTE" numFmtId="43">
      <sharedItems containsString="0" containsBlank="1" containsNumber="1" minValue="0" maxValue="491114208905.38"/>
    </cacheField>
    <cacheField name="DISPONIBILIDADES" numFmtId="43">
      <sharedItems containsString="0" containsBlank="1" containsNumber="1" minValue="0" maxValue="488097844712.42999"/>
    </cacheField>
    <cacheField name="SALDO_APROPIACION" numFmtId="43">
      <sharedItems containsString="0" containsBlank="1" containsNumber="1" minValue="0" maxValue="13653212596"/>
    </cacheField>
    <cacheField name="COMPROMISOS" numFmtId="43">
      <sharedItems containsString="0" containsBlank="1" containsNumber="1" minValue="0" maxValue="488097844712.42999"/>
    </cacheField>
    <cacheField name="EJEC_PRESUP(%)" numFmtId="43">
      <sharedItems containsString="0" containsBlank="1" containsNumber="1" minValue="0" maxValue="100"/>
    </cacheField>
    <cacheField name="GIROS" numFmtId="43">
      <sharedItems containsString="0" containsBlank="1" containsNumber="1" minValue="0" maxValue="488097844712.42999"/>
    </cacheField>
    <cacheField name="EJEC_PRESUP_GIROS(%)" numFmtId="43">
      <sharedItems containsString="0" containsBlank="1" containsNumber="1" minValue="0" maxValue="100"/>
    </cacheField>
    <cacheField name="SALDO_APROPIACION_COMP" numFmtId="43">
      <sharedItems containsString="0" containsBlank="1" containsNumber="1" minValue="0" maxValue="13653212596"/>
    </cacheField>
    <cacheField name="PAGOS" numFmtId="43">
      <sharedItems containsString="0" containsBlank="1" containsNumber="1" minValue="0" maxValue="488097844712.42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69">
  <r>
    <n v="2022"/>
    <n v="100"/>
    <x v="0"/>
    <s v="LOCALIDAD TURISTICA Y DE LA VIRGEN"/>
    <x v="0"/>
    <n v="130010402"/>
    <x v="0"/>
    <x v="0"/>
    <x v="0"/>
    <s v="2,3,0000,0000,0000130010402"/>
    <s v="877"/>
    <s v="1,3,3,4,19-93-095-02 RB OTRAS MULTAS, SANCIONES E INTERESES DE MORA (MULTA LOCALIDAD 2) "/>
    <s v="INV"/>
    <s v="NO"/>
    <s v="MODERNIZACION DEL SISTEMA DISTRITAL DE PLANEACION Y DESCENTRALIZACION  "/>
    <x v="0"/>
    <s v="06"/>
    <s v="00"/>
    <n v="0"/>
    <n v="4664.3900000000003"/>
    <n v="4664.3900000000003"/>
    <n v="0"/>
    <n v="4664.3900000000003"/>
    <n v="0"/>
    <n v="0"/>
    <n v="0"/>
    <n v="0"/>
    <n v="4664.3900000000003"/>
    <n v="0"/>
  </r>
  <r>
    <n v="2022"/>
    <n v="100"/>
    <x v="0"/>
    <s v="LOCALIDAD TURISTICA Y DE LA VIRGEN"/>
    <x v="0"/>
    <n v="130010402"/>
    <x v="0"/>
    <x v="0"/>
    <x v="0"/>
    <s v="2,3,0000,0000,0000130010402"/>
    <s v="095"/>
    <s v="1,2,3,2,07-095 - OTRAS MULTAS, SANCIONES E INTERESES DE MORA"/>
    <s v="INV"/>
    <s v="NO"/>
    <s v=" MODERNIZACION DEL SISTEMA DISTRITAL DE PLANEACION Y DESCENTRALIZACION  "/>
    <x v="1"/>
    <s v="06"/>
    <s v="00"/>
    <n v="1"/>
    <n v="0"/>
    <n v="1"/>
    <n v="0"/>
    <n v="1"/>
    <n v="0"/>
    <n v="0"/>
    <n v="0"/>
    <n v="0"/>
    <n v="1"/>
    <n v="0"/>
  </r>
  <r>
    <n v="2022"/>
    <n v="100"/>
    <x v="0"/>
    <s v="LOCALIDAD TURISTICA Y DE LA VIRGEN"/>
    <x v="0"/>
    <n v="130010402"/>
    <x v="0"/>
    <x v="0"/>
    <x v="0"/>
    <s v="2,3,0000,0000,0000130010402"/>
    <s v="001"/>
    <s v="1,2,1,0,00-001 - ICLD"/>
    <s v="INV"/>
    <s v="NO"/>
    <s v=" MODERNIZACION DEL SISTEMA DISTRITAL DE PLANEACION Y DESCENTRALIZACION  "/>
    <x v="1"/>
    <s v="06"/>
    <s v="00"/>
    <n v="1299999999"/>
    <n v="3283301428.6300001"/>
    <n v="4583301427.6300001"/>
    <n v="1245000000"/>
    <n v="3338301427.6300001"/>
    <n v="1040466571"/>
    <n v="22.7"/>
    <n v="1040466571"/>
    <n v="22.7"/>
    <n v="3542834856.6300001"/>
    <n v="1040466571"/>
  </r>
  <r>
    <n v="2022"/>
    <n v="100"/>
    <x v="0"/>
    <s v="LOCALIDAD TURISTICA Y DE LA VIRGEN"/>
    <x v="0"/>
    <n v="130010402"/>
    <x v="0"/>
    <x v="0"/>
    <x v="0"/>
    <s v="2,3,0000,0000,0000130010402"/>
    <s v="879"/>
    <s v="1,3,3,4,19-95-095-02 RB OTRAS MULTAS, SANCIONES E INTERESES DE MORA (MULTA LOCALIDAD 2) "/>
    <s v="INV"/>
    <s v="NO"/>
    <s v="MODERNIZACION DEL SISTEMA DISTRITAL DE PLANEACION Y DESCENTRALIZACION  "/>
    <x v="0"/>
    <s v="06"/>
    <s v="00"/>
    <n v="0"/>
    <n v="5667878"/>
    <n v="5667878"/>
    <n v="0"/>
    <n v="5667878"/>
    <n v="0"/>
    <n v="0"/>
    <n v="0"/>
    <n v="0"/>
    <n v="5667878"/>
    <n v="0"/>
  </r>
  <r>
    <n v="2022"/>
    <n v="100"/>
    <x v="1"/>
    <s v="LOCALIDAD HISTORICA Y DEL CARIBE NORTE"/>
    <x v="1"/>
    <n v="130011101"/>
    <x v="0"/>
    <x v="0"/>
    <x v="0"/>
    <s v="2,3,0000,0000,0000130011101"/>
    <s v="876"/>
    <s v="1,3,3,4,19-93-095-01 RB OTRAS MULTAS, SANCIONES E INTERESES DE MORA (MULTA LOCALIDAD 1) "/>
    <s v="INV"/>
    <s v="NO"/>
    <s v="MODERNIZACION DEL SISTEMA DISTRITAL DE PLANEACION Y DESCENTRALIZACION  "/>
    <x v="2"/>
    <s v="06"/>
    <s v="00"/>
    <n v="0"/>
    <n v="10836.81"/>
    <n v="10836.81"/>
    <n v="0"/>
    <n v="10836.81"/>
    <n v="0"/>
    <n v="0"/>
    <n v="0"/>
    <n v="0"/>
    <n v="10836.81"/>
    <n v="0"/>
  </r>
  <r>
    <n v="2022"/>
    <n v="100"/>
    <x v="1"/>
    <s v="LOCALIDAD HISTORICA Y DEL CARIBE NORTE"/>
    <x v="1"/>
    <n v="130011101"/>
    <x v="0"/>
    <x v="0"/>
    <x v="0"/>
    <s v="2,3,0000,0000,0000130011101"/>
    <s v="095"/>
    <s v="1,2,3,2,07-095 - OTRAS MULTAS, SANCIONES E INTERESES DE MORA"/>
    <s v="INV"/>
    <s v="NO"/>
    <s v=" MODERNIZACION DEL SISTEMA DISTRITAL DE PLANEACION Y DESCENTRALIZACION  "/>
    <x v="3"/>
    <s v="06"/>
    <s v="00"/>
    <n v="4999998"/>
    <n v="0"/>
    <n v="4999998"/>
    <n v="0"/>
    <n v="4999998"/>
    <n v="0"/>
    <n v="0"/>
    <n v="0"/>
    <n v="0"/>
    <n v="4999998"/>
    <n v="0"/>
  </r>
  <r>
    <n v="2022"/>
    <n v="100"/>
    <x v="1"/>
    <s v="LOCALIDAD HISTORICA Y DEL CARIBE NORTE"/>
    <x v="1"/>
    <n v="130011101"/>
    <x v="0"/>
    <x v="0"/>
    <x v="0"/>
    <s v="2,3,0000,0000,0000130011101"/>
    <s v="001"/>
    <s v="1,2,1,0,00-001 - ICLD"/>
    <s v="INV"/>
    <s v="NO"/>
    <s v=" MODERNIZACION DEL SISTEMA DISTRITAL DE PLANEACION Y DESCENTRALIZACION  "/>
    <x v="3"/>
    <s v="06"/>
    <s v="00"/>
    <n v="11294914453.57"/>
    <n v="-9769914451.5699997"/>
    <n v="1525000002"/>
    <n v="1100000000"/>
    <n v="425000002"/>
    <n v="1041518610"/>
    <n v="68.3"/>
    <n v="1041518610"/>
    <n v="68.3"/>
    <n v="483481392"/>
    <n v="1041518610"/>
  </r>
  <r>
    <n v="2022"/>
    <n v="100"/>
    <x v="1"/>
    <s v="LOCALIDAD HISTORICA Y DEL CARIBE NORTE"/>
    <x v="1"/>
    <n v="130011101"/>
    <x v="0"/>
    <x v="0"/>
    <x v="0"/>
    <s v="2,3,0000,0000,0000130011101"/>
    <s v="878"/>
    <s v="1,3,3,4,19-95-095-01 RB OTRAS MULTAS, SANCIONES E INTERESES DE MORA (MULTA LOCALIDAD 1) "/>
    <s v="INV"/>
    <s v="NO"/>
    <s v="MODERNIZACION DEL SISTEMA DISTRITAL DE PLANEACION Y DESCENTRALIZACION  "/>
    <x v="2"/>
    <s v="06"/>
    <s v="00"/>
    <n v="0"/>
    <n v="5752168.2699999996"/>
    <n v="5752168.2699999996"/>
    <n v="0"/>
    <n v="5752168.2699999996"/>
    <n v="0"/>
    <n v="0"/>
    <n v="0"/>
    <n v="0"/>
    <n v="5752168.2699999996"/>
    <n v="0"/>
  </r>
  <r>
    <n v="2022"/>
    <n v="100"/>
    <x v="2"/>
    <s v="LOCALIDAD INDUSTRIAL Y DE LA BAHIA"/>
    <x v="2"/>
    <n v="130012303"/>
    <x v="0"/>
    <x v="0"/>
    <x v="0"/>
    <s v="2,3,0000,0000,0000130012303"/>
    <s v="001"/>
    <s v="1,2,1,0,00-001 - ICLD"/>
    <s v="INV"/>
    <s v="NO"/>
    <s v=" MODERNIZACION DEL SISTEMA DISTRITAL DE PLANEACION Y DESCENTRALIZACION  "/>
    <x v="4"/>
    <s v="06"/>
    <s v="00"/>
    <n v="11998162743.85"/>
    <n v="-7631490741.0200005"/>
    <n v="4366672002.8299999"/>
    <n v="1032000000"/>
    <n v="3334672002.8299999"/>
    <n v="1031524239.5"/>
    <n v="23.62"/>
    <n v="970505977.5"/>
    <n v="22.23"/>
    <n v="3335147763.3299999"/>
    <n v="970505977.5"/>
  </r>
  <r>
    <n v="2022"/>
    <n v="100"/>
    <x v="2"/>
    <s v="LOCALIDAD INDUSTRIAL Y DE LA BAHIA"/>
    <x v="2"/>
    <n v="130012303"/>
    <x v="0"/>
    <x v="0"/>
    <x v="0"/>
    <s v="2,3,0000,0000,0000130012303"/>
    <s v="095"/>
    <s v="1,2,3,2,07-095 - OTRAS MULTAS, SANCIONES E INTERESES DE MORA"/>
    <s v="INV"/>
    <s v="NO"/>
    <s v=" MODERNIZACION DEL SISTEMA DISTRITAL DE PLANEACION Y DESCENTRALIZACION  "/>
    <x v="4"/>
    <s v="06"/>
    <s v="00"/>
    <n v="1"/>
    <n v="0"/>
    <n v="1"/>
    <n v="0"/>
    <n v="1"/>
    <n v="0"/>
    <n v="0"/>
    <n v="0"/>
    <n v="0"/>
    <n v="1"/>
    <n v="0"/>
  </r>
  <r>
    <n v="2022"/>
    <n v="100"/>
    <x v="1"/>
    <s v="LOCALIDAD HISTORICA Y DEL CARIBE NORTE"/>
    <x v="1"/>
    <n v="2019130010081"/>
    <x v="0"/>
    <x v="0"/>
    <x v="0"/>
    <s v="2,3,4301,1604,2019130010081"/>
    <s v="001"/>
    <s v="1,2,1,0,00-001 - ICLD"/>
    <s v="INV"/>
    <s v="NO"/>
    <s v="IMPLEMENTACION PROYECTO DE HABITOS Y ESTILO DE VIDA SALUDABLE A TRAVES DE LA PRACTICA DEL DEPORTE EN LA LOCALIDAD HISTORICA Y DEL CARIBE NORTE ??COPA ASOJAC ? "/>
    <x v="5"/>
    <s v="06"/>
    <s v="00"/>
    <n v="0"/>
    <n v="700000000"/>
    <n v="700000000"/>
    <n v="700000000"/>
    <n v="0"/>
    <n v="700000000"/>
    <n v="100"/>
    <n v="350000000"/>
    <n v="50"/>
    <n v="0"/>
    <n v="350000000"/>
  </r>
  <r>
    <n v="2022"/>
    <n v="100"/>
    <x v="3"/>
    <s v="SECRETARIA DEL INTERIOR Y CONVIVENCIA CIUDADANAL"/>
    <x v="3"/>
    <n v="2020130010030"/>
    <x v="0"/>
    <x v="1"/>
    <x v="1"/>
    <s v="2,3,1202,0800,2020130010030"/>
    <s v="001"/>
    <s v="1,2,1,0,00-001 - ICLD"/>
    <s v="INV"/>
    <s v="NO"/>
    <s v="FORTALECIMIENTO Y PROMOCION AL ACCESO A LA JUSTICIA DESDE LAS CASAS DE JUSTICIA Y COMISARIAS DE FAMILIA EN EL DISTRITO DE   CARTAGENA DE INDIAS"/>
    <x v="6"/>
    <s v="06"/>
    <s v="00"/>
    <n v="1914366199"/>
    <n v="0"/>
    <n v="1914366199"/>
    <n v="1904962203"/>
    <n v="9403996"/>
    <n v="1862342133.78"/>
    <n v="97.28"/>
    <n v="1833003167.78"/>
    <n v="95.75"/>
    <n v="52024065.219999999"/>
    <n v="1806103167.78"/>
  </r>
  <r>
    <n v="2022"/>
    <n v="100"/>
    <x v="3"/>
    <s v="SECRETARIA DEL INTERIOR Y CONVIVENCIA CIUDADANAL"/>
    <x v="3"/>
    <n v="2020130010031"/>
    <x v="0"/>
    <x v="1"/>
    <x v="2"/>
    <s v="2,3,4501,1000,2020130010031"/>
    <s v="874"/>
    <s v="1,3,3,4,17-93-120 RB MULTAS CODIGO NACIONAL DE POLICIA"/>
    <s v="INV"/>
    <s v="NO"/>
    <s v="MEJORAMIENTO DE LA CONVIVENCIA CON LA IMPLEMENTACIN DEL CODIGO NACIONAL DE SEGURIDAD Y CONVIVENCIA CIUDADANA  Y  LA MODERNIZACION DE LAS INSPECCIONES DE POLICA EN EL DISTRITO DE  CARTAGENA DE INDIAS"/>
    <x v="7"/>
    <s v="06"/>
    <s v="00"/>
    <n v="0"/>
    <n v="127912908.45"/>
    <n v="127912908.45"/>
    <n v="123530625.03"/>
    <n v="4382283.42"/>
    <n v="123530625.03"/>
    <n v="96.57"/>
    <n v="123530625.03"/>
    <n v="96.57"/>
    <n v="4382283.42"/>
    <n v="123530625.03"/>
  </r>
  <r>
    <n v="2022"/>
    <n v="100"/>
    <x v="3"/>
    <s v="SECRETARIA DEL INTERIOR Y CONVIVENCIA CIUDADANAL"/>
    <x v="3"/>
    <n v="2020130010031"/>
    <x v="0"/>
    <x v="1"/>
    <x v="2"/>
    <s v="2,3,4501,1000,2020130010031"/>
    <s v="875"/>
    <s v="1,3,3,4,17-95-120 RB MULTAS CODIGO NACIONAL DE POLICIA"/>
    <s v="INV"/>
    <s v="NO"/>
    <s v="MEJORAMIENTO DE LA CONVIVENCIA CON LA IMPLEMENTACIN DEL CODIGO NACIONAL DE SEGURIDAD Y CONVIVENCIA CIUDADANA  Y  LA MODERNIZACION DE LAS INSPECCIONES DE POLICA EN EL DISTRITO DE  CARTAGENA DE INDIAS"/>
    <x v="7"/>
    <s v="06"/>
    <s v="00"/>
    <n v="0"/>
    <n v="695624593.50999999"/>
    <n v="695624593.50999999"/>
    <n v="0"/>
    <n v="695624593.50999999"/>
    <n v="0"/>
    <n v="0"/>
    <n v="0"/>
    <n v="0"/>
    <n v="695624593.50999999"/>
    <n v="0"/>
  </r>
  <r>
    <n v="2022"/>
    <n v="100"/>
    <x v="3"/>
    <s v="SECRETARIA DEL INTERIOR Y CONVIVENCIA CIUDADANAL"/>
    <x v="3"/>
    <n v="2020130010031"/>
    <x v="0"/>
    <x v="1"/>
    <x v="2"/>
    <s v="2,3,4501,1000,2020130010031"/>
    <s v="161"/>
    <s v="1,3,2,3,05-161 - OTROS RENDIMIENTOS FINANCIEROS MULTAS CODIGO POLICIA"/>
    <s v="INV"/>
    <s v="NO"/>
    <s v="MEJORAMIENTO DE LA CONVIVENCIA CON LA IMPLEMENTACIN DEL CODIGO NACIONAL DE SEGURIDAD Y CONVIVENCIA CIUDADANA  Y  LA MODERNIZACIN DE LAS INSPECCIONES DE POLICA EN EL DISTRITO DE  CARTAGENA DE INDIAS"/>
    <x v="8"/>
    <s v="06"/>
    <s v="00"/>
    <n v="1"/>
    <n v="0"/>
    <n v="1"/>
    <n v="0"/>
    <n v="1"/>
    <n v="0"/>
    <n v="0"/>
    <n v="0"/>
    <n v="0"/>
    <n v="1"/>
    <n v="0"/>
  </r>
  <r>
    <n v="2022"/>
    <n v="100"/>
    <x v="3"/>
    <s v="SECRETARIA DEL INTERIOR Y CONVIVENCIA CIUDADANAL"/>
    <x v="3"/>
    <n v="2020130010031"/>
    <x v="0"/>
    <x v="1"/>
    <x v="2"/>
    <s v="2,3,4501,1000,2020130010031"/>
    <s v="120"/>
    <s v="1,2,3,2,06-120 - MULTAS CODIGO NACIONAL DE POLICIA Y CONVIVENCIA"/>
    <s v="INV"/>
    <s v="NO"/>
    <s v="MEJORAMIENTO DE LA CONVIVENCIA CON LA IMPLEMENTACIN DEL CODIGO NACIONAL DE SEGURIDAD Y CONVIVENCIA CIUDADANA  Y  LA MODERNIZACIN DE LAS INSPECCIONES DE POLICA EN EL DISTRITO DE  CARTAGENA DE INDIAS"/>
    <x v="8"/>
    <s v="06"/>
    <s v="00"/>
    <n v="208835100"/>
    <n v="0"/>
    <n v="208835100"/>
    <n v="26126648.050000001"/>
    <n v="182708451.94999999"/>
    <n v="26126648.050000001"/>
    <n v="12.51"/>
    <n v="14135340.9"/>
    <n v="6.77"/>
    <n v="182708451.94999999"/>
    <n v="14135340.9"/>
  </r>
  <r>
    <n v="2022"/>
    <n v="100"/>
    <x v="3"/>
    <s v="SECRETARIA DEL INTERIOR Y CONVIVENCIA CIUDADANAL"/>
    <x v="3"/>
    <n v="2020130010031"/>
    <x v="0"/>
    <x v="1"/>
    <x v="2"/>
    <s v="2,3,4501,1000,2020130010031"/>
    <s v="001"/>
    <s v="1,2,1,0,00-001 - ICLD"/>
    <s v="INV"/>
    <s v="NO"/>
    <s v="MEJORAMIENTO DE LA CONVIVENCIA CON LA IMPLEMENTACIN DEL CODIGO NACIONAL DE SEGURIDAD Y CONVIVENCIA CIUDADANA  Y  LA MODERNIZACIN DE LAS INSPECCIONES DE POLICA EN EL DISTRITO DE  CARTAGENA DE INDIAS"/>
    <x v="8"/>
    <s v="06"/>
    <s v="00"/>
    <n v="1340056338"/>
    <n v="223135200"/>
    <n v="1563191538"/>
    <n v="1334022912.6500001"/>
    <n v="229168625.34999999"/>
    <n v="1322399848.3900001"/>
    <n v="84.6"/>
    <n v="1288100883.3900001"/>
    <n v="82.4"/>
    <n v="240791689.61000001"/>
    <n v="1205300883.3900001"/>
  </r>
  <r>
    <n v="2022"/>
    <n v="100"/>
    <x v="3"/>
    <s v="SECRETARIA DEL INTERIOR Y CONVIVENCIA CIUDADANAL"/>
    <x v="3"/>
    <n v="2020130010032"/>
    <x v="0"/>
    <x v="2"/>
    <x v="3"/>
    <s v="2,3,1206,0800,2020130010032"/>
    <s v="816"/>
    <s v="1,3,3,11,03-95-138 R,B, DIVIDENDOS SOCIEDAD PORTUARIA"/>
    <s v="INV"/>
    <s v="NO"/>
    <s v="FORTALECIMIENTO Y ATENCION INTEGRAL A INTERNOS DE LOS ESTABLECIMIENTOS CARCELARIOS DEL DISTRITO DE  CARTAGENA DE INDIAS "/>
    <x v="9"/>
    <s v="06"/>
    <s v="00"/>
    <n v="0"/>
    <n v="126709407.5"/>
    <n v="126709407.5"/>
    <n v="99999647"/>
    <n v="26709760.5"/>
    <n v="56019003"/>
    <n v="44.21"/>
    <n v="0"/>
    <n v="0"/>
    <n v="70690404.5"/>
    <n v="0"/>
  </r>
  <r>
    <n v="2022"/>
    <n v="100"/>
    <x v="3"/>
    <s v="SECRETARIA DEL INTERIOR Y CONVIVENCIA CIUDADANAL"/>
    <x v="3"/>
    <n v="2020130010032"/>
    <x v="0"/>
    <x v="2"/>
    <x v="3"/>
    <s v="2,3,1206,0800,2020130010032"/>
    <s v="001"/>
    <s v="1,2,1,0,00-001 - ICLD"/>
    <s v="INV"/>
    <s v="NO"/>
    <s v="FORTALECIMIENTO Y ATENCION INTEGRAL A INTERNOS DE LOS ESTABLECIMIENTOS CARCELARIOS DEL DISTRITO DE  CARTAGENA DE INDIAS "/>
    <x v="9"/>
    <s v="06"/>
    <s v="00"/>
    <n v="2392957745"/>
    <n v="-323000000"/>
    <n v="2069957745"/>
    <n v="2016189561.3699999"/>
    <n v="53768183.630000003"/>
    <n v="1691632618.0599999"/>
    <n v="81.72"/>
    <n v="1532220329.73"/>
    <n v="74.02"/>
    <n v="378325126.94"/>
    <n v="1020489009.73"/>
  </r>
  <r>
    <n v="2022"/>
    <n v="100"/>
    <x v="4"/>
    <s v="DESPACHO DEL ALCALDE"/>
    <x v="4"/>
    <n v="2020130010033"/>
    <x v="1"/>
    <x v="3"/>
    <x v="4"/>
    <s v="2,3,4503,1000,2020130010033"/>
    <s v="867"/>
    <s v="1,3,3,4,16-95-002 R,B, OTRAS TASAS Y DERECHOS ADMINISTRATIVOS SOBRETASA ALCANTARILLADO"/>
    <s v="INV"/>
    <s v="NO"/>
    <s v="CONTROL DE LOS RIESGOS EN NUESTRO TERRITORIO CARTAGENA DE INDIAS"/>
    <x v="10"/>
    <s v="06"/>
    <s v="00"/>
    <n v="0"/>
    <n v="5736714.1500000004"/>
    <n v="5736714.1500000004"/>
    <n v="5736714.1500000004"/>
    <n v="0"/>
    <n v="5736714.1500000004"/>
    <n v="100"/>
    <n v="0"/>
    <n v="0"/>
    <n v="0"/>
    <n v="0"/>
  </r>
  <r>
    <n v="2022"/>
    <n v="100"/>
    <x v="4"/>
    <s v="DESPACHO DEL ALCALDE"/>
    <x v="4"/>
    <n v="2020130010033"/>
    <x v="1"/>
    <x v="3"/>
    <x v="4"/>
    <s v="2,3,4503,1000,2020130010033"/>
    <s v="868"/>
    <s v="1,3,3,4,16-95-008 R,B, OTRAS TASAS Y DERECHOS ADMINISTRATIVOS AMOBLAMIENTO URBANO"/>
    <s v="INV"/>
    <s v="NO"/>
    <s v="CONTROL DE LOS RIESGOS EN NUESTRO TERRITORIO  CARTAGENA DE INDIAS"/>
    <x v="11"/>
    <s v="06"/>
    <s v="00"/>
    <n v="0"/>
    <n v="51464419"/>
    <n v="51464419"/>
    <n v="51464419"/>
    <n v="0"/>
    <n v="51464419"/>
    <n v="100"/>
    <n v="0"/>
    <n v="0"/>
    <n v="0"/>
    <n v="0"/>
  </r>
  <r>
    <n v="2022"/>
    <n v="100"/>
    <x v="4"/>
    <s v="DESPACHO DEL ALCALDE"/>
    <x v="4"/>
    <n v="2020130010033"/>
    <x v="1"/>
    <x v="3"/>
    <x v="4"/>
    <s v="2,3,4503,1000,2020130010033"/>
    <s v="870"/>
    <s v="1,3,3,4,16-95-080 RB OTRAS TASAS Y DERECHOS ADMINISTRATIVOS OCUPACION DE VIAS"/>
    <s v="INV"/>
    <s v="NO"/>
    <s v="CONTROL DE LOS RIESGOS EN NUESTRO TERRITORIO CARTAGENA DE INDIAS"/>
    <x v="10"/>
    <s v="06"/>
    <s v="00"/>
    <n v="0"/>
    <n v="2002381853.6500001"/>
    <n v="2002381853.6500001"/>
    <n v="2002381853.5999999"/>
    <n v="0.05"/>
    <n v="2002381853.5999999"/>
    <n v="100"/>
    <n v="1894280490"/>
    <n v="94.6"/>
    <n v="0.05"/>
    <n v="1894280490"/>
  </r>
  <r>
    <n v="2022"/>
    <n v="100"/>
    <x v="4"/>
    <s v="DESPACHO DEL ALCALDE"/>
    <x v="4"/>
    <n v="2020130010033"/>
    <x v="1"/>
    <x v="3"/>
    <x v="4"/>
    <s v="2,3,4503,1000,2020130010033"/>
    <s v="871"/>
    <s v="1,3,3,4,16-95-100 RB OTRAS TASAS Y DERECHOS ADMINISTRATIVOS APROVECHAMIENTO ESPACIO PUBLICO"/>
    <s v="INV"/>
    <s v="NO"/>
    <s v="CONTROL DE LOS RIESGOS EN NUESTRO TERRITORIO  CARTAGENA DE INDIAS"/>
    <x v="11"/>
    <s v="06"/>
    <s v="00"/>
    <n v="0"/>
    <n v="26503817.190000001"/>
    <n v="26503817.190000001"/>
    <n v="26503817.190000001"/>
    <n v="0"/>
    <n v="26503817.190000001"/>
    <n v="100"/>
    <n v="0"/>
    <n v="0"/>
    <n v="0"/>
    <n v="0"/>
  </r>
  <r>
    <n v="2022"/>
    <n v="100"/>
    <x v="4"/>
    <s v="DESPACHO DEL ALCALDE"/>
    <x v="4"/>
    <n v="2020130010033"/>
    <x v="1"/>
    <x v="3"/>
    <x v="4"/>
    <s v="2,3,4503,1000,2020130010033"/>
    <s v="886"/>
    <s v="1,3,3,4,21-95-034 R,B, VENTA DE SERVICIOS CEMENTERIOS"/>
    <s v="INV"/>
    <s v="NO"/>
    <s v="CONTROL DE LOS RIESGOS EN NUESTRO TERRITORIO  CARTAGENA DE INDIAS"/>
    <x v="11"/>
    <s v="06"/>
    <s v="00"/>
    <n v="0"/>
    <n v="31121031"/>
    <n v="31121031"/>
    <n v="31121031"/>
    <n v="0"/>
    <n v="31121031"/>
    <n v="100"/>
    <n v="0"/>
    <n v="0"/>
    <n v="0"/>
    <n v="0"/>
  </r>
  <r>
    <n v="2022"/>
    <n v="100"/>
    <x v="4"/>
    <s v="DESPACHO DEL ALCALDE"/>
    <x v="4"/>
    <n v="2020130010033"/>
    <x v="1"/>
    <x v="3"/>
    <x v="4"/>
    <s v="2,3,4503,1000,2020130010033"/>
    <s v="814"/>
    <s v="1,3,3,11,03-95-062 - RB DIVIDENDOS ACUACAR"/>
    <s v="INV"/>
    <s v="NO"/>
    <s v="CONTROL DE LOS RIESGOS EN NUESTRO TERRITORIO  CARTAGENA DE INDIAS"/>
    <x v="11"/>
    <s v="06"/>
    <s v="00"/>
    <n v="0"/>
    <n v="577061331"/>
    <n v="577061331"/>
    <n v="577061331"/>
    <n v="0"/>
    <n v="577061331"/>
    <n v="100"/>
    <n v="105097725"/>
    <n v="18.21"/>
    <n v="0"/>
    <n v="105097725"/>
  </r>
  <r>
    <n v="2022"/>
    <n v="100"/>
    <x v="4"/>
    <s v="DESPACHO DEL ALCALDE"/>
    <x v="4"/>
    <n v="2020130010033"/>
    <x v="1"/>
    <x v="3"/>
    <x v="4"/>
    <s v="2,3,4503,1000,2020130010033"/>
    <s v="821"/>
    <s v="1,3,3,11,06-93-086-01 RB DONACIONES COVID"/>
    <s v="INV"/>
    <s v="NO"/>
    <s v="CONTROL DE LOS RIESGOS EN NUESTRO TERRITORIO  CARTAGENA DE INDIAS"/>
    <x v="11"/>
    <s v="06"/>
    <s v="00"/>
    <n v="0"/>
    <n v="30172287.199999999"/>
    <n v="30172287.199999999"/>
    <n v="0"/>
    <n v="30172287.199999999"/>
    <n v="0"/>
    <n v="0"/>
    <n v="0"/>
    <n v="0"/>
    <n v="30172287.199999999"/>
    <n v="0"/>
  </r>
  <r>
    <n v="2022"/>
    <n v="100"/>
    <x v="4"/>
    <s v="DESPACHO DEL ALCALDE"/>
    <x v="4"/>
    <n v="2020130010033"/>
    <x v="1"/>
    <x v="3"/>
    <x v="4"/>
    <s v="2,3,4503,1000,2020130010033"/>
    <s v="822"/>
    <s v="1,3,3,11,06-95-086-01 RB DONACIONES COVID"/>
    <s v="INV"/>
    <s v="NO"/>
    <s v="CONTROL DE LOS RIESGOS EN NUESTRO TERRITORIO  CARTAGENA DE INDIAS"/>
    <x v="11"/>
    <s v="06"/>
    <s v="00"/>
    <n v="0"/>
    <n v="305257136.47000003"/>
    <n v="305257136.47000003"/>
    <n v="0"/>
    <n v="305257136.47000003"/>
    <n v="0"/>
    <n v="0"/>
    <n v="0"/>
    <n v="0"/>
    <n v="305257136.47000003"/>
    <n v="0"/>
  </r>
  <r>
    <n v="2022"/>
    <n v="100"/>
    <x v="4"/>
    <s v="DESPACHO DEL ALCALDE"/>
    <x v="4"/>
    <n v="2020130010033"/>
    <x v="1"/>
    <x v="3"/>
    <x v="4"/>
    <s v="2,3,4503,1000,2020130010033"/>
    <s v="823"/>
    <s v="1,3,3,11,06-95-086-02 RB DONACIONES IOTA"/>
    <s v="INV"/>
    <s v="NO"/>
    <s v="CONTROL DE LOS RIESGOS EN NUESTRO TERRITORIO  CARTAGENA DE INDIAS"/>
    <x v="11"/>
    <s v="06"/>
    <s v="00"/>
    <n v="0"/>
    <n v="22120795.870000001"/>
    <n v="22120795.870000001"/>
    <n v="0"/>
    <n v="22120795.870000001"/>
    <n v="0"/>
    <n v="0"/>
    <n v="0"/>
    <n v="0"/>
    <n v="22120795.870000001"/>
    <n v="0"/>
  </r>
  <r>
    <n v="2022"/>
    <n v="100"/>
    <x v="4"/>
    <s v="DESPACHO DEL ALCALDE"/>
    <x v="4"/>
    <n v="2020130010033"/>
    <x v="1"/>
    <x v="3"/>
    <x v="4"/>
    <s v="2,3,4503,1000,2020130010033"/>
    <s v="840"/>
    <s v="1,3,3,2,00-95-083 RB  ICDE DISTRISEGURIDAD 10% DELINEACION URBANA"/>
    <s v="INV"/>
    <s v="NO"/>
    <s v="CONTROL DE LOS RIESGOS EN NUESTRO TERRITORIO  CARTAGENA DE INDIAS"/>
    <x v="11"/>
    <s v="06"/>
    <s v="00"/>
    <n v="0"/>
    <n v="131372954.40000001"/>
    <n v="131372954.40000001"/>
    <n v="131372954.40000001"/>
    <n v="0"/>
    <n v="131372954.40000001"/>
    <n v="100"/>
    <n v="0"/>
    <n v="0"/>
    <n v="0"/>
    <n v="0"/>
  </r>
  <r>
    <n v="2022"/>
    <n v="100"/>
    <x v="4"/>
    <s v="DESPACHO DEL ALCALDE"/>
    <x v="4"/>
    <n v="2020130010033"/>
    <x v="1"/>
    <x v="3"/>
    <x v="4"/>
    <s v="2,3,4503,1000,2020130010033"/>
    <s v="852"/>
    <s v="1,3,3,3,17-95-124 RB IMPUESTO DE TRANSPORTE POR OLEODUCTOS Y GASODUCTOS"/>
    <s v="INV"/>
    <s v="NO"/>
    <s v="CONTROL DE LOS RIESGOS EN NUESTRO TERRITORIO  CARTAGENA DE INDIAS"/>
    <x v="11"/>
    <s v="06"/>
    <s v="00"/>
    <n v="0"/>
    <n v="400000000"/>
    <n v="400000000"/>
    <n v="400000000"/>
    <n v="0"/>
    <n v="400000000"/>
    <n v="100"/>
    <n v="0"/>
    <n v="0"/>
    <n v="0"/>
    <n v="0"/>
  </r>
  <r>
    <n v="2022"/>
    <n v="100"/>
    <x v="4"/>
    <s v="DESPACHO DEL ALCALDE"/>
    <x v="4"/>
    <n v="2020130010033"/>
    <x v="1"/>
    <x v="3"/>
    <x v="4"/>
    <s v="2,3,4503,1000,2020130010033"/>
    <s v="922"/>
    <s v="1,3,3,8,03-95-070 R,B, SGP-PROPOSITO GENERAL-PROPOSITO GENERAL LIBRE INVERSION"/>
    <s v="INV"/>
    <s v="NO"/>
    <s v="CONTROL DE LOS RIESGOS EN NUESTRO TERRITORIO  CARTAGENA DE INDIAS"/>
    <x v="11"/>
    <s v="06"/>
    <s v="00"/>
    <n v="0"/>
    <n v="408450013.44"/>
    <n v="408450013.44"/>
    <n v="408450013.44"/>
    <n v="0"/>
    <n v="408450013.44"/>
    <n v="100"/>
    <n v="0"/>
    <n v="0"/>
    <n v="0"/>
    <n v="0"/>
  </r>
  <r>
    <n v="2022"/>
    <n v="100"/>
    <x v="4"/>
    <s v="DESPACHO DEL ALCALDE"/>
    <x v="4"/>
    <n v="2020130010033"/>
    <x v="1"/>
    <x v="3"/>
    <x v="4"/>
    <s v="2,3,4503,1000,2020130010033"/>
    <s v="806"/>
    <s v="1,3,3,1,00-93-009 RB RECURSOS PROVISIONADOS"/>
    <s v="INV"/>
    <s v="NO"/>
    <s v="CONTROL DE LOS RIESGOS EN NUESTRO TERRITORIO  CARTAGENA DE INDIAS"/>
    <x v="11"/>
    <s v="06"/>
    <s v="00"/>
    <n v="0"/>
    <n v="17800585.260000002"/>
    <n v="17800585.260000002"/>
    <n v="17800585.260000002"/>
    <n v="0"/>
    <n v="17800585.260000002"/>
    <n v="100"/>
    <n v="0"/>
    <n v="0"/>
    <n v="0"/>
    <n v="0"/>
  </r>
  <r>
    <n v="2022"/>
    <n v="100"/>
    <x v="4"/>
    <s v="DESPACHO DEL ALCALDE"/>
    <x v="4"/>
    <n v="2020130010033"/>
    <x v="1"/>
    <x v="3"/>
    <x v="4"/>
    <s v="2,3,4503,1000,2020130010033"/>
    <s v="807"/>
    <s v="1,3,3,1,00-95-009 RB RECURSOS PROVISIONADOS"/>
    <s v="INV"/>
    <s v="NO"/>
    <s v="CONTROL DE LOS RIESGOS EN NUESTRO TERRITORIO  CARTAGENA DE INDIAS"/>
    <x v="11"/>
    <s v="06"/>
    <s v="00"/>
    <n v="0"/>
    <n v="783735912.27999997"/>
    <n v="783735912.27999997"/>
    <n v="783735912.27999997"/>
    <n v="0"/>
    <n v="735833492.27999997"/>
    <n v="93.89"/>
    <n v="454154330"/>
    <n v="57.95"/>
    <n v="47902420"/>
    <n v="454154330"/>
  </r>
  <r>
    <n v="2022"/>
    <n v="100"/>
    <x v="4"/>
    <s v="DESPACHO DEL ALCALDE"/>
    <x v="4"/>
    <n v="2020130010033"/>
    <x v="1"/>
    <x v="3"/>
    <x v="4"/>
    <s v="2,3,4503,1000,2020130010033"/>
    <s v="810"/>
    <s v="1,3,3,11,01-93-182 R,B, VENTA DE ACTIVOS"/>
    <s v="INV"/>
    <s v="NO"/>
    <s v="CONTROL DE LOS RIESGOS EN NUESTRO TERRITORIO  CARTAGENA DE INDIAS"/>
    <x v="11"/>
    <s v="06"/>
    <s v="00"/>
    <n v="0"/>
    <n v="2868205.18"/>
    <n v="2868205.18"/>
    <n v="2868205.18"/>
    <n v="0"/>
    <n v="2868205.18"/>
    <n v="100"/>
    <n v="0"/>
    <n v="0"/>
    <n v="0"/>
    <n v="0"/>
  </r>
  <r>
    <n v="2022"/>
    <n v="100"/>
    <x v="4"/>
    <s v="DESPACHO DEL ALCALDE"/>
    <x v="4"/>
    <n v="2020130010033"/>
    <x v="1"/>
    <x v="3"/>
    <x v="4"/>
    <s v="2,3,4503,1000,2020130010033"/>
    <s v="811"/>
    <s v="1,3,3,11,01-95-182 R,B, VENTA DE ACTIVOS"/>
    <s v="INV"/>
    <s v="NO"/>
    <s v="CONTROL DE LOS RIESGOS EN NUESTRO TERRITORIO  CARTAGENA DE INDIAS"/>
    <x v="11"/>
    <s v="06"/>
    <s v="00"/>
    <n v="0"/>
    <n v="65564180.5"/>
    <n v="65564180.5"/>
    <n v="65564180.5"/>
    <n v="0"/>
    <n v="65564180.5"/>
    <n v="100"/>
    <n v="0"/>
    <n v="0"/>
    <n v="0"/>
    <n v="0"/>
  </r>
  <r>
    <n v="2022"/>
    <n v="100"/>
    <x v="4"/>
    <s v="DESPACHO DEL ALCALDE"/>
    <x v="4"/>
    <n v="2020130010033"/>
    <x v="1"/>
    <x v="3"/>
    <x v="4"/>
    <s v="2,3,4503,1000,2020130010033"/>
    <s v="070"/>
    <s v="1,2,4,3,03-070 - SGP LIBRE INVERSION"/>
    <s v="INV"/>
    <s v="NO"/>
    <s v="CONTROL DE LOS RIESGOS EN NUESTRO TERRITORIO  CARTAGENA DE INDIAS"/>
    <x v="11"/>
    <s v="06"/>
    <s v="00"/>
    <n v="410000000"/>
    <n v="21752487"/>
    <n v="431752487"/>
    <n v="431752486.75999999"/>
    <n v="0.24"/>
    <n v="427709735.72000003"/>
    <n v="99.06"/>
    <n v="320385095.98000002"/>
    <n v="74.209999999999994"/>
    <n v="4042751.28"/>
    <n v="236201890.97999999"/>
  </r>
  <r>
    <n v="2022"/>
    <n v="100"/>
    <x v="4"/>
    <s v="DESPACHO DEL ALCALDE"/>
    <x v="4"/>
    <n v="2020130010033"/>
    <x v="1"/>
    <x v="3"/>
    <x v="4"/>
    <s v="2,3,4503,1000,2020130010033"/>
    <s v="086"/>
    <s v="1,3,1,1,06-086 - DONACIONES"/>
    <s v="INV"/>
    <s v="NO"/>
    <s v="CONTROL DE LOS RIESGOS EN NUESTRO TERRITORIO  CARTAGENA DE INDIAS"/>
    <x v="11"/>
    <s v="06"/>
    <s v="00"/>
    <n v="1"/>
    <n v="0"/>
    <n v="1"/>
    <n v="0"/>
    <n v="1"/>
    <n v="0"/>
    <n v="0"/>
    <n v="0"/>
    <n v="0"/>
    <n v="1"/>
    <n v="0"/>
  </r>
  <r>
    <n v="2022"/>
    <n v="100"/>
    <x v="4"/>
    <s v="DESPACHO DEL ALCALDE"/>
    <x v="4"/>
    <n v="2020130010033"/>
    <x v="1"/>
    <x v="3"/>
    <x v="4"/>
    <s v="2,3,4503,1000,2020130010033"/>
    <s v="119"/>
    <s v="1,2,2,0,00-119 - ICDE  FONDO DE RIESGO 1% ICLD"/>
    <s v="INV"/>
    <s v="NO"/>
    <s v="CONTROL DE LOS RIESGOS EN NUESTRO TERRITORIO  CARTAGENA DE INDIAS"/>
    <x v="11"/>
    <s v="06"/>
    <s v="00"/>
    <n v="4179924000"/>
    <n v="0"/>
    <n v="4179924000"/>
    <n v="4158287365"/>
    <n v="21636635"/>
    <n v="3862666719"/>
    <n v="92.41"/>
    <n v="3471333184.9400001"/>
    <n v="83.05"/>
    <n v="317257281"/>
    <n v="3149026995.9400001"/>
  </r>
  <r>
    <n v="2022"/>
    <n v="100"/>
    <x v="4"/>
    <s v="DESPACHO DEL ALCALDE"/>
    <x v="4"/>
    <n v="2020130010033"/>
    <x v="1"/>
    <x v="3"/>
    <x v="4"/>
    <s v="2,3,4503,1000,2020130010033"/>
    <s v="001"/>
    <s v="1,2,1,0,00-001 - ICLD"/>
    <s v="INV"/>
    <s v="NO"/>
    <s v="CONTROL DE LOS RIESGOS EN NUESTRO TERRITORIO  CARTAGENA DE INDIAS"/>
    <x v="11"/>
    <s v="06"/>
    <s v="00"/>
    <n v="219999999"/>
    <n v="-120289050"/>
    <n v="99710949"/>
    <n v="32198937"/>
    <n v="67512012"/>
    <n v="30776496"/>
    <n v="30.87"/>
    <n v="30776496"/>
    <n v="30.87"/>
    <n v="68934453"/>
    <n v="0"/>
  </r>
  <r>
    <n v="2022"/>
    <n v="100"/>
    <x v="4"/>
    <s v="DESPACHO DEL ALCALDE"/>
    <x v="4"/>
    <n v="2020130010034"/>
    <x v="1"/>
    <x v="3"/>
    <x v="5"/>
    <s v="2,3,4503,1000,2020130010034"/>
    <s v="922"/>
    <s v="1,3,3,8,03-95-070 R,B, SGP-PROPOSITO GENERAL-PROPOSITO GENERAL LIBRE INVERSION"/>
    <s v="INV"/>
    <s v="NO"/>
    <s v="APORTES PARA MITIGAR EL RIESGO EN LAS COMUNIDADES DEL DISTRITO   CARTAGENA DE INDIAS"/>
    <x v="12"/>
    <s v="06"/>
    <s v="00"/>
    <n v="0"/>
    <n v="220599901.09999999"/>
    <n v="220599901.09999999"/>
    <n v="52352250"/>
    <n v="168247651.09999999"/>
    <n v="50039500"/>
    <n v="22.68"/>
    <n v="50039500"/>
    <n v="22.68"/>
    <n v="170560401.09999999"/>
    <n v="50039500"/>
  </r>
  <r>
    <n v="2022"/>
    <n v="100"/>
    <x v="4"/>
    <s v="DESPACHO DEL ALCALDE"/>
    <x v="4"/>
    <n v="2020130010034"/>
    <x v="1"/>
    <x v="3"/>
    <x v="5"/>
    <s v="2,3,4503,1000,2020130010034"/>
    <s v="070"/>
    <s v="1,2,4,3,03-070 - SGP LIBRE INVERSION"/>
    <s v="INV"/>
    <s v="NO"/>
    <s v="APORTES PARA MITIGAR EL RIESGO EN LAS COMUNIDADES DEL DISTRITO   CARTAGENA DE INDIAS"/>
    <x v="12"/>
    <s v="06"/>
    <s v="00"/>
    <n v="390245667"/>
    <n v="0"/>
    <n v="390245667"/>
    <n v="360176751.19999999"/>
    <n v="30068915.800000001"/>
    <n v="350321433"/>
    <n v="89.77"/>
    <n v="225576850"/>
    <n v="57.8"/>
    <n v="39924234"/>
    <n v="225576850"/>
  </r>
  <r>
    <n v="2022"/>
    <n v="100"/>
    <x v="4"/>
    <s v="DESPACHO DEL ALCALDE"/>
    <x v="4"/>
    <n v="2020130010034"/>
    <x v="1"/>
    <x v="3"/>
    <x v="5"/>
    <s v="2,3,4503,1000,2020130010034"/>
    <s v="119"/>
    <s v="1,2,2,0,00-119 - ICDE  FONDO DE RIESGO 1% ICLD"/>
    <s v="INV"/>
    <s v="NO"/>
    <s v="APORTES PARA MITIGAR EL RIESGO EN LAS COMUNIDADES DEL DISTRITO   CARTAGENA DE INDIAS"/>
    <x v="12"/>
    <s v="06"/>
    <s v="00"/>
    <n v="878000000"/>
    <n v="974572155"/>
    <n v="1852572155"/>
    <n v="1402572155"/>
    <n v="450000000"/>
    <n v="1382732154"/>
    <n v="74.64"/>
    <n v="1382732154"/>
    <n v="74.64"/>
    <n v="469840001"/>
    <n v="1378332154"/>
  </r>
  <r>
    <n v="2022"/>
    <n v="100"/>
    <x v="4"/>
    <s v="DESPACHO DEL ALCALDE"/>
    <x v="4"/>
    <n v="2020130010034"/>
    <x v="1"/>
    <x v="3"/>
    <x v="5"/>
    <s v="2,3,4503,1000,2020130010034"/>
    <s v="001"/>
    <s v="1,2,1,0,00-001 - ICLD"/>
    <s v="INV"/>
    <s v="NO"/>
    <s v="APORTES PARA MITIGAR EL RIESGO EN LAS COMUNIDADES DEL DISTRITO   CARTAGENA DE INDIAS"/>
    <x v="12"/>
    <s v="06"/>
    <s v="00"/>
    <n v="520704000"/>
    <n v="-260414949"/>
    <n v="260289051"/>
    <n v="251257263.5"/>
    <n v="9031787.5"/>
    <n v="227133124.19999999"/>
    <n v="87.26"/>
    <n v="137949955.59"/>
    <n v="53"/>
    <n v="33155926.800000001"/>
    <n v="57078957.200000003"/>
  </r>
  <r>
    <n v="2022"/>
    <n v="100"/>
    <x v="4"/>
    <s v="DESPACHO DEL ALCALDE"/>
    <x v="4"/>
    <n v="2020130010036"/>
    <x v="2"/>
    <x v="4"/>
    <x v="6"/>
    <s v="2,3,4301,1604,2020130010036"/>
    <s v="001"/>
    <s v="1,2,1,0,00-001 - ICLD"/>
    <s v="INV"/>
    <s v="NO"/>
    <s v="CONSERVACION , MANTENIMIENTO CONSERVACION, MANTENIMIENTO Y MEJORAMIENTO DE LOS ESCENARIOS DEPORTIVOS DE LA CIUDAD COMO ESTRATEGIA DE PRESERVACION DEL PATRIMONIO MATERIAL DEL DISTRITO DE CARTAGENA DE INDIAS"/>
    <x v="13"/>
    <s v="06"/>
    <s v="00"/>
    <n v="0"/>
    <n v="3311507151.29"/>
    <n v="3311507151.29"/>
    <n v="3311507151.29"/>
    <n v="0"/>
    <n v="3311507151.29"/>
    <n v="100"/>
    <n v="3311507151.29"/>
    <n v="100"/>
    <n v="0"/>
    <n v="3311507151.29"/>
  </r>
  <r>
    <n v="2022"/>
    <n v="100"/>
    <x v="5"/>
    <s v="INSTITUTO DE DEPORTE Y RECREACION"/>
    <x v="5"/>
    <n v="2020130010036"/>
    <x v="2"/>
    <x v="4"/>
    <x v="6"/>
    <s v="2,3,4301,1604,2020130010036"/>
    <s v="834"/>
    <s v="1,3,3,2,00-93-097 R,B, ICDE IDER 3% ICA"/>
    <s v="INV"/>
    <s v="NO"/>
    <s v="CONSERVACION, MANTENIMIENTO Y MEJORAMIENTO DE LOS ESCENARIOS DEPORTIVOS DE LA CIUDAD COMO ESTRATEGIA DE PRESERVACION DEL PATRIMONIO MATERIAL DEL DISTRITO DE   CARTAGENA DE INDIAS"/>
    <x v="14"/>
    <s v="06"/>
    <s v="00"/>
    <n v="0"/>
    <n v="893992064.37"/>
    <n v="893992064.37"/>
    <n v="893992064"/>
    <n v="0.37"/>
    <n v="893992064"/>
    <n v="100"/>
    <n v="893992064"/>
    <n v="100"/>
    <n v="0.37"/>
    <n v="893992064"/>
  </r>
  <r>
    <n v="2022"/>
    <n v="100"/>
    <x v="5"/>
    <s v="INSTITUTO DE DEPORTE Y RECREACION"/>
    <x v="5"/>
    <n v="2020130010036"/>
    <x v="2"/>
    <x v="4"/>
    <x v="6"/>
    <s v="2,3,4301,1604,2020130010036"/>
    <s v="841"/>
    <s v="1,3,3,2,00-95-097 R,B, ICDE IDER 3% ICA"/>
    <s v="INV"/>
    <s v="NO"/>
    <s v="CONSERVACION, MANTENIMIENTO Y MEJORAMIENTO DE LOS ESCENARIOS DEPORTIVOS DE LA CIUDAD COMO ESTRATEGIA DE PRESERVACION DEL PATRIMONIO MATERIAL DEL DISTRITO DE   CARTAGENA DE INDIAS"/>
    <x v="14"/>
    <s v="06"/>
    <s v="00"/>
    <n v="0"/>
    <n v="801289815.91999996"/>
    <n v="801289815.91999996"/>
    <n v="559357977"/>
    <n v="241931838.91999999"/>
    <n v="559357977"/>
    <n v="69.81"/>
    <n v="559357977"/>
    <n v="69.81"/>
    <n v="241931838.91999999"/>
    <n v="285393714"/>
  </r>
  <r>
    <n v="2022"/>
    <n v="100"/>
    <x v="5"/>
    <s v="INSTITUTO DE DEPORTE Y RECREACION"/>
    <x v="5"/>
    <n v="2020130010036"/>
    <x v="2"/>
    <x v="4"/>
    <x v="6"/>
    <s v="2,3,4301,1604,2020130010036"/>
    <s v="917"/>
    <s v="1,3,3,8,01-93-122 R,B, SGP DEPORTE"/>
    <s v="INV"/>
    <s v="NO"/>
    <s v="CONSERVACION, MANTENIMIENTO Y MEJORAMIENTO DE LOS ESCENARIOS DEPORTIVOS DE LA CIUDAD COMO ESTRATEGIA DE PRESERVACION DEL PATRIMONIO MATERIAL DEL DISTRITO DE   CARTAGENA DE INDIAS"/>
    <x v="14"/>
    <s v="06"/>
    <s v="00"/>
    <n v="0"/>
    <n v="9644123.6400000006"/>
    <n v="9644123.6400000006"/>
    <n v="0"/>
    <n v="9644123.6400000006"/>
    <n v="0"/>
    <n v="0"/>
    <n v="0"/>
    <n v="0"/>
    <n v="9644123.6400000006"/>
    <n v="0"/>
  </r>
  <r>
    <n v="2022"/>
    <n v="100"/>
    <x v="5"/>
    <s v="INSTITUTO DE DEPORTE Y RECREACION"/>
    <x v="5"/>
    <n v="2020130010036"/>
    <x v="2"/>
    <x v="4"/>
    <x v="6"/>
    <s v="2,3,4301,1604,2020130010036"/>
    <s v="918"/>
    <s v="1,3,3,8,01-95-059 - R,B, SGP DEPORTE"/>
    <s v="INV"/>
    <s v="NO"/>
    <s v="CONSERVACION, MANTENIMIENTO Y MEJORAMIENTO DE LOS ESCENARIOS DEPORTIVOS DE LA CIUDAD COMO ESTRATEGIA DE PRESERVACION DEL PATRIMONIO MATERIAL DEL DISTRITO DE   CARTAGENA DE INDIAS"/>
    <x v="14"/>
    <s v="06"/>
    <s v="00"/>
    <n v="0"/>
    <n v="1161353537.6600001"/>
    <n v="1161353537.6600001"/>
    <n v="1161353537"/>
    <n v="0.66"/>
    <n v="1161353537"/>
    <n v="100"/>
    <n v="1161353537"/>
    <n v="100"/>
    <n v="0.66"/>
    <n v="1161353537"/>
  </r>
  <r>
    <n v="2022"/>
    <n v="100"/>
    <x v="5"/>
    <s v="INSTITUTO DE DEPORTE Y RECREACION"/>
    <x v="5"/>
    <n v="2020130010036"/>
    <x v="2"/>
    <x v="4"/>
    <x v="6"/>
    <s v="2,3,4301,1604,2020130010036"/>
    <s v="919"/>
    <s v="1,3,3,8,01-95-122 R,B, SGP DEPORTE"/>
    <s v="INV"/>
    <s v="NO"/>
    <s v="CONSERVACION, MANTENIMIENTO Y MEJORAMIENTO DE LOS ESCENARIOS DEPORTIVOS DE LA CIUDAD COMO ESTRATEGIA DE PRESERVACION DEL PATRIMONIO MATERIAL DEL DISTRITO DE   CARTAGENA DE INDIAS"/>
    <x v="14"/>
    <s v="06"/>
    <s v="00"/>
    <n v="0"/>
    <n v="29254560"/>
    <n v="29254560"/>
    <n v="28614458.780000001"/>
    <n v="640101.22"/>
    <n v="28614458.780000001"/>
    <n v="97.81"/>
    <n v="28614458.780000001"/>
    <n v="97.81"/>
    <n v="640101.22"/>
    <n v="28614458.780000001"/>
  </r>
  <r>
    <n v="2022"/>
    <n v="100"/>
    <x v="5"/>
    <s v="INSTITUTO DE DEPORTE Y RECREACION"/>
    <x v="5"/>
    <n v="2020130010036"/>
    <x v="2"/>
    <x v="4"/>
    <x v="6"/>
    <s v="2,3,4301,1604,2020130010036"/>
    <s v="932"/>
    <s v="1,3,3,1,00-95-001 RB DE LIBRE DESTINACION"/>
    <s v="INV"/>
    <s v="NO"/>
    <s v="CONSERVACION , MANTENIMIENTO Y MEJORAMIENTO DE LOS ESCENARIOS DEPORTIVOS DE LA CIUDAD COMO ESTRATEGIA DE PRESERVACION DEL PATRIMONIO MATERIAL DEL DISTRITO DE   CARTAGENA DE INDIAS ? DEFICIT"/>
    <x v="15"/>
    <s v="06"/>
    <s v="00"/>
    <n v="0"/>
    <n v="82041252.579999998"/>
    <n v="82041252.579999998"/>
    <n v="0"/>
    <n v="82041252.579999998"/>
    <n v="0"/>
    <n v="0"/>
    <n v="0"/>
    <n v="0"/>
    <n v="82041252.579999998"/>
    <n v="0"/>
  </r>
  <r>
    <n v="2022"/>
    <n v="100"/>
    <x v="5"/>
    <s v="INSTITUTO DE DEPORTE Y RECREACION"/>
    <x v="5"/>
    <n v="2020130010036"/>
    <x v="2"/>
    <x v="4"/>
    <x v="6"/>
    <s v="2,3,4301,1604,2020130010036"/>
    <s v="933"/>
    <s v="1,3,1,1,02-03 -EXCEDENTES FINANCIEROS IDER"/>
    <s v="INV"/>
    <s v="NO"/>
    <s v="CONSERVACION , MANTENIMIENTO Y MEJORAMIENTO DE LOS ESCENARIOS DEPORTIVOS DE LA CIUDAD COMO ESTRATEGIA DE PRESERVACION DEL PATRIMONIO MATERIAL DEL DISTRITO DE   CARTAGENA DE INDIAS ? DEFICIT"/>
    <x v="15"/>
    <s v="06"/>
    <s v="00"/>
    <n v="0"/>
    <n v="90028747.420000002"/>
    <n v="90028747.420000002"/>
    <n v="0"/>
    <n v="90028747.420000002"/>
    <n v="0"/>
    <n v="0"/>
    <n v="0"/>
    <n v="0"/>
    <n v="90028747.420000002"/>
    <n v="0"/>
  </r>
  <r>
    <n v="2022"/>
    <n v="100"/>
    <x v="5"/>
    <s v="INSTITUTO DE DEPORTE Y RECREACION"/>
    <x v="5"/>
    <n v="2020130010036"/>
    <x v="2"/>
    <x v="4"/>
    <x v="6"/>
    <s v="2,3,4301,1604,2020130010036"/>
    <s v="059"/>
    <s v="1,2,4,3,01-059 - SGP DEPORTE"/>
    <s v="INV"/>
    <s v="NO"/>
    <s v="CONSERVACION , MANTENIMIENTO Y MEJORAMIENTO DE LOS ESCENARIOS DEPORTIVOS DE LA CIUDAD COMO ESTRATEGIA DE PRESERVACION DEL PATRIMONIO MATERIAL DEL DISTRITO DE   CARTAGENA DE INDIAS"/>
    <x v="16"/>
    <s v="06"/>
    <s v="00"/>
    <n v="521282650"/>
    <n v="0"/>
    <n v="521282650"/>
    <n v="245164282"/>
    <n v="276118368"/>
    <n v="245164282"/>
    <n v="47.03"/>
    <n v="245164282"/>
    <n v="47.03"/>
    <n v="276118368"/>
    <n v="190000000"/>
  </r>
  <r>
    <n v="2022"/>
    <n v="100"/>
    <x v="5"/>
    <s v="INSTITUTO DE DEPORTE Y RECREACION"/>
    <x v="5"/>
    <n v="2020130010036"/>
    <x v="2"/>
    <x v="4"/>
    <x v="6"/>
    <s v="2,3,4301,1604,2020130010036"/>
    <s v="097"/>
    <s v="1,2,2,0,00-097 - ICDE IDER 3% ICA"/>
    <s v="INV"/>
    <s v="NO"/>
    <s v="CONSERVACION , MANTENIMIENTO Y MEJORAMIENTO DE LOS ESCENARIOS DEPORTIVOS DE LA CIUDAD COMO ESTRATEGIA DE PRESERVACION DEL PATRIMONIO MATERIAL DEL DISTRITO DE   CARTAGENA DE INDIAS"/>
    <x v="16"/>
    <s v="06"/>
    <s v="00"/>
    <n v="3372871474"/>
    <n v="2961691538"/>
    <n v="6334563012"/>
    <n v="6149433470.2200003"/>
    <n v="185129541.78"/>
    <n v="6149433470.2200003"/>
    <n v="97.08"/>
    <n v="6149433470.2200003"/>
    <n v="97.08"/>
    <n v="185129541.78"/>
    <n v="5899426139.2200003"/>
  </r>
  <r>
    <n v="2022"/>
    <n v="100"/>
    <x v="5"/>
    <s v="INSTITUTO DE DEPORTE Y RECREACION"/>
    <x v="5"/>
    <n v="2020130010036"/>
    <x v="2"/>
    <x v="4"/>
    <x v="6"/>
    <s v="2,3,4301,1604,2020130010036"/>
    <s v="025"/>
    <s v="1,2,3,2,05-025 - OTRAS TASAS Y DERECHOS ADMINISTRATIVOS TASA PRODEPORTE"/>
    <s v="INV"/>
    <s v="NO"/>
    <s v="CONSERVACION , MANTENIMIENTO Y MEJORAMIENTO DE LOS ESCENARIOS DEPORTIVOS DE LA CIUDAD COMO ESTRATEGIA DE PRESERVACION DEL PATRIMONIO MATERIAL DEL DISTRITO DE   CARTAGENA DE INDIAS"/>
    <x v="16"/>
    <s v="06"/>
    <s v="00"/>
    <n v="3202000000"/>
    <n v="0"/>
    <n v="3202000000"/>
    <n v="3081999999.4200001"/>
    <n v="120000000.58"/>
    <n v="3081999899.4200001"/>
    <n v="96.25"/>
    <n v="3081999899.4200001"/>
    <n v="96.25"/>
    <n v="120000100.58"/>
    <n v="3081999899.4200001"/>
  </r>
  <r>
    <n v="2022"/>
    <n v="100"/>
    <x v="3"/>
    <s v="SECRETARIA DEL INTERIOR Y CONVIVENCIA CIUDADANAL"/>
    <x v="3"/>
    <n v="2020130010037"/>
    <x v="0"/>
    <x v="1"/>
    <x v="7"/>
    <s v="2,3,4501,1000,2020130010037"/>
    <s v="800"/>
    <s v="1,3,3,11,07-93-005 R,B, TRANSFERENCIAS DE CAPITAL CONVENIO FONSECON"/>
    <s v="INV"/>
    <s v="NO"/>
    <s v="FORTALECIMIENTO DE LOS MECANISMOS COMUNITARIOS E INSTITUCIONALES DE PREVENCION Y REACCION A SITUACIONES DE RIESGO POR CONDUCTAS DELICTIVAS EN EL DISTRITO DE CARTAGENA DE INDIAS"/>
    <x v="17"/>
    <s v="06"/>
    <s v="00"/>
    <n v="0"/>
    <n v="1038000000"/>
    <n v="1038000000"/>
    <n v="1038000000"/>
    <n v="0"/>
    <n v="1038000000"/>
    <n v="100"/>
    <n v="1038000000"/>
    <n v="100"/>
    <n v="0"/>
    <n v="1038000000"/>
  </r>
  <r>
    <n v="2022"/>
    <n v="100"/>
    <x v="3"/>
    <s v="SECRETARIA DEL INTERIOR Y CONVIVENCIA CIUDADANAL"/>
    <x v="3"/>
    <n v="2020130010037"/>
    <x v="0"/>
    <x v="1"/>
    <x v="7"/>
    <s v="2,3,4501,1000,2020130010037"/>
    <s v="801"/>
    <s v="1,3,3,11,07-95-158 R,B, TRANSFERENCIAS DE CAPITAL CONVENIO FONSECON"/>
    <s v="INV"/>
    <s v="NO"/>
    <s v="FORTALECIMIENTO DE LOS MECANISMOS COMUNITARIOS E INSTITUCIONALES DE PREVENCION Y REACCION A SITUACIONES DE RIESGO POR CONDUCTAS DELICTIVAS EN EL DISTRITO DE CARTAGENA DE INDIAS"/>
    <x v="17"/>
    <s v="06"/>
    <s v="00"/>
    <n v="0"/>
    <n v="122081887.2"/>
    <n v="122081887.2"/>
    <n v="0"/>
    <n v="122081887.2"/>
    <n v="0"/>
    <n v="0"/>
    <n v="0"/>
    <n v="0"/>
    <n v="122081887.2"/>
    <n v="0"/>
  </r>
  <r>
    <n v="2022"/>
    <n v="100"/>
    <x v="3"/>
    <s v="SECRETARIA DEL INTERIOR Y CONVIVENCIA CIUDADANAL"/>
    <x v="3"/>
    <n v="2020130010037"/>
    <x v="0"/>
    <x v="1"/>
    <x v="7"/>
    <s v="2,3,4501,1000,2020130010037"/>
    <s v="802"/>
    <s v="1,3,3,11,07-93-158 R,B, TRANSFERENCIAS DE CAPITAL CONVENIO FONSECON"/>
    <s v="INV"/>
    <s v="NO"/>
    <s v="FORTALECIMIENTO DE LOS MECANISMOS COMUNITARIOS E INSTITUCIONALES DE PREVENCION Y REACCION A SITUACIONES DE RIESGO POR CONDUCTAS DELICTIVAS EN EL DISTRITO DE CARTAGENA DE INDIAS"/>
    <x v="17"/>
    <s v="06"/>
    <s v="00"/>
    <n v="0"/>
    <n v="18234351.210000001"/>
    <n v="18234351.210000001"/>
    <n v="0"/>
    <n v="18234351.210000001"/>
    <n v="0"/>
    <n v="0"/>
    <n v="0"/>
    <n v="0"/>
    <n v="18234351.210000001"/>
    <n v="0"/>
  </r>
  <r>
    <n v="2022"/>
    <n v="100"/>
    <x v="3"/>
    <s v="SECRETARIA DEL INTERIOR Y CONVIVENCIA CIUDADANAL"/>
    <x v="3"/>
    <n v="2020130010037"/>
    <x v="0"/>
    <x v="1"/>
    <x v="7"/>
    <s v="2,3,4501,1000,2020130010037"/>
    <s v="803"/>
    <s v="1,3,3,11,07-95-005 R,B, TRANSFERENCIAS DE CAPITAL CONVENIO FONSECON"/>
    <s v="INV"/>
    <s v="NO"/>
    <s v="FORTALECIMIENTO DE LOS MECANISMOS COMUNITARIOS E INSTITUCIONALES DE PREVENCION Y REACCION A SITUACIONES DE RIESGO POR CONDUCTAS DELICTIVAS EN EL DISTRITO DE CARTAGENA DE INDIAS"/>
    <x v="17"/>
    <s v="06"/>
    <s v="00"/>
    <n v="0"/>
    <n v="575421919.25"/>
    <n v="575421919.25"/>
    <n v="515029740.33999997"/>
    <n v="60392178.909999996"/>
    <n v="515029740.33999997"/>
    <n v="89.5"/>
    <n v="515029740.33999997"/>
    <n v="89.5"/>
    <n v="60392178.909999996"/>
    <n v="515029740.33999997"/>
  </r>
  <r>
    <n v="2022"/>
    <n v="100"/>
    <x v="3"/>
    <s v="SECRETARIA DEL INTERIOR Y CONVIVENCIA CIUDADANAL"/>
    <x v="3"/>
    <n v="2020130010037"/>
    <x v="0"/>
    <x v="1"/>
    <x v="7"/>
    <s v="2,3,4501,1000,2020130010037"/>
    <s v="001"/>
    <s v="1,2,1,0,00-001 - ICLD"/>
    <s v="INV"/>
    <s v="NO"/>
    <s v="FORTALECIMIENTO DE LOS MECANISMOS COMUNITARIOS  E INSTITUCIONALES DE PREVENCION Y REACCION A SITUACIONES DE RIESGO POR CONDUCTAS DELICTIVAS EN EL DISTRITO DE   CARTAGENA DE INDIAS"/>
    <x v="18"/>
    <s v="06"/>
    <s v="00"/>
    <n v="382873239"/>
    <n v="0"/>
    <n v="382873239"/>
    <n v="379786085"/>
    <n v="3087154"/>
    <n v="375036085.00999999"/>
    <n v="97.95"/>
    <n v="364919418.33999997"/>
    <n v="95.31"/>
    <n v="7837153.9900000002"/>
    <n v="355459418.33999997"/>
  </r>
  <r>
    <n v="2022"/>
    <n v="100"/>
    <x v="5"/>
    <s v="INSTITUTO DE DEPORTE Y RECREACION"/>
    <x v="5"/>
    <n v="2020130010038"/>
    <x v="2"/>
    <x v="4"/>
    <x v="8"/>
    <s v="2,3,4302,1604,2020130010038"/>
    <s v="918"/>
    <s v="1,3,3,8,01-95-059 - R,B, SGP DEPORTE"/>
    <s v="INV"/>
    <s v="NO"/>
    <s v="CONSOLIDACION DEL SISTEMA DEPORTIVO DISTRITAL MEDIANTE UNA ESTRATEGIA DE ESTIMULOS Y/O APOYOS A LAS ORGANIZACIONES DEPORTIVAS Y DEPORTISTAS DE ALTOS LOGROS-0  CARTAGENA DE INDIAS"/>
    <x v="19"/>
    <s v="06"/>
    <s v="00"/>
    <n v="0"/>
    <n v="494114520.01999998"/>
    <n v="494114520.01999998"/>
    <n v="75000000"/>
    <n v="419114520.01999998"/>
    <n v="75000000"/>
    <n v="15.18"/>
    <n v="75000000"/>
    <n v="15.18"/>
    <n v="419114520.01999998"/>
    <n v="75000000"/>
  </r>
  <r>
    <n v="2022"/>
    <n v="100"/>
    <x v="5"/>
    <s v="INSTITUTO DE DEPORTE Y RECREACION"/>
    <x v="5"/>
    <n v="2020130010038"/>
    <x v="2"/>
    <x v="4"/>
    <x v="8"/>
    <s v="2,3,4302,1604,2020130010038"/>
    <s v="059"/>
    <s v="1,2,4,3,01-059 - SGP DEPORTE"/>
    <s v="INV"/>
    <s v="NO"/>
    <s v="CONSOLIDACION DEL SISTEMA DEPORTIVO DISTRITAL MEDIANTE UNA ESTRATEGIA DE ESTIMULOS Y/O APOYOS A LAS ORGANIZACIONES DEPORTIVAS Y DEPORTISTAS DE ALTOS LOGROS-0  CARTAGENA DE INDIAS"/>
    <x v="19"/>
    <s v="06"/>
    <s v="00"/>
    <n v="582610025"/>
    <n v="0"/>
    <n v="582610025"/>
    <n v="580000000"/>
    <n v="2610025"/>
    <n v="580000000"/>
    <n v="99.55"/>
    <n v="580000000"/>
    <n v="99.55"/>
    <n v="2610025"/>
    <n v="580000000"/>
  </r>
  <r>
    <n v="2022"/>
    <n v="100"/>
    <x v="5"/>
    <s v="INSTITUTO DE DEPORTE Y RECREACION"/>
    <x v="5"/>
    <n v="2020130010038"/>
    <x v="2"/>
    <x v="4"/>
    <x v="8"/>
    <s v="2,3,4302,1604,2020130010038"/>
    <s v="097"/>
    <s v="1,2,2,0,00-097 - ICDE IDER 3% ICA"/>
    <s v="INV"/>
    <s v="NO"/>
    <s v="CONSOLIDACION DEL SISTEMA DEPORTIVO DISTRITAL MEDIANTE UNA ESTRATEGIA DE ESTIMULOS Y/O APOYOS A LAS ORGANIZACIONES DEPORTIVAS Y DEPORTISTAS DE ALTOS LOGROS-0  CARTAGENA DE INDIAS"/>
    <x v="19"/>
    <s v="06"/>
    <s v="00"/>
    <n v="1499053988"/>
    <n v="0"/>
    <n v="1499053988"/>
    <n v="1299452896.8599999"/>
    <n v="199601091.13999999"/>
    <n v="1299452896.8599999"/>
    <n v="86.68"/>
    <n v="1299452896.8599999"/>
    <n v="86.68"/>
    <n v="199601091.13999999"/>
    <n v="971888000"/>
  </r>
  <r>
    <n v="2022"/>
    <n v="100"/>
    <x v="5"/>
    <s v="INSTITUTO DE DEPORTE Y RECREACION"/>
    <x v="5"/>
    <n v="2020130010038"/>
    <x v="2"/>
    <x v="4"/>
    <x v="8"/>
    <s v="2,3,4302,1604,2020130010038"/>
    <s v="025"/>
    <s v="1,2,3,2,05-025 - OTRAS TASAS Y DERECHOS ADMINISTRATIVOS TASA PRODEPORTE"/>
    <s v="INV"/>
    <s v="NO"/>
    <s v="CONSOLIDACION DEL SISTEMA DEPORTIVO DISTRITAL MEDIANTE UNA ESTRATEGIA DE ESTIMULOS Y/O APOYOS A LAS ORGANIZACIONES DEPORTIVAS Y DEPORTISTAS DE ALTOS LOGROS-0  CARTAGENA DE INDIAS"/>
    <x v="19"/>
    <s v="06"/>
    <s v="00"/>
    <n v="300000000"/>
    <n v="0"/>
    <n v="300000000"/>
    <n v="300000000"/>
    <n v="0"/>
    <n v="300000000"/>
    <n v="100"/>
    <n v="300000000"/>
    <n v="100"/>
    <n v="0"/>
    <n v="0"/>
  </r>
  <r>
    <n v="2022"/>
    <n v="100"/>
    <x v="6"/>
    <s v="INSTITUTO DE PATRIMONIO Y CULTURA DE CARTAGENA DE INDIAS"/>
    <x v="6"/>
    <n v="2020130010042"/>
    <x v="2"/>
    <x v="5"/>
    <x v="9"/>
    <s v="2,3,3301,1603,2020130010042"/>
    <s v="057"/>
    <s v="1,2,4,3,02-057 - SGP CULTURA"/>
    <s v="INV"/>
    <s v="NO"/>
    <s v="FORTALECIMIENTO DE LOS PROCESOS DE MEDIACION Y BIBLIOTECAS PARA LA INCLUSION EN EL DISTRITO DE  CARTAGENA DE INDIAS"/>
    <x v="20"/>
    <s v="06"/>
    <s v="00"/>
    <n v="233350515"/>
    <n v="0"/>
    <n v="233350515"/>
    <n v="233350515"/>
    <n v="0"/>
    <n v="233350515"/>
    <n v="100"/>
    <n v="175012886"/>
    <n v="75"/>
    <n v="0"/>
    <n v="155567010"/>
  </r>
  <r>
    <n v="2022"/>
    <n v="100"/>
    <x v="6"/>
    <s v="INSTITUTO DE PATRIMONIO Y CULTURA DE CARTAGENA DE INDIAS"/>
    <x v="6"/>
    <n v="2020130010042"/>
    <x v="2"/>
    <x v="5"/>
    <x v="9"/>
    <s v="2,3,3301,1603,2020130010042"/>
    <s v="082"/>
    <s v="1,2,3,1,19-082 - ESTAMPILLAS PROCULTURA"/>
    <s v="INV"/>
    <s v="NO"/>
    <s v="FORTALECIMIENTO DE LOS PROCESOS DE MEDIACION Y BIBLIOTECAS PARA LA INCLUSION EN EL DISTRITO DE  CARTAGENA DE INDIAS"/>
    <x v="20"/>
    <s v="06"/>
    <s v="00"/>
    <n v="80000000"/>
    <n v="0"/>
    <n v="80000000"/>
    <n v="0"/>
    <n v="80000000"/>
    <n v="0"/>
    <n v="0"/>
    <n v="0"/>
    <n v="0"/>
    <n v="80000000"/>
    <n v="0"/>
  </r>
  <r>
    <n v="2022"/>
    <n v="100"/>
    <x v="6"/>
    <s v="INSTITUTO DE PATRIMONIO Y CULTURA DE CARTAGENA DE INDIAS"/>
    <x v="6"/>
    <n v="2020130010042"/>
    <x v="2"/>
    <x v="5"/>
    <x v="9"/>
    <s v="2,3,3301,1603,2020130010042"/>
    <s v="001"/>
    <s v="1,2,1,0,00-001 - ICLD"/>
    <s v="INV"/>
    <s v="NO"/>
    <s v="FORTALECIMIENTO DE LOS PROCESOS DE MEDIACION Y BIBLIOTECAS PARA LA INCLUSION EN EL DISTRITO DE  CARTAGENA DE INDIAS"/>
    <x v="20"/>
    <s v="06"/>
    <s v="00"/>
    <n v="850000000"/>
    <n v="0"/>
    <n v="850000000"/>
    <n v="850000000"/>
    <n v="0"/>
    <n v="850000000"/>
    <n v="100"/>
    <n v="850000000"/>
    <n v="100"/>
    <n v="0"/>
    <n v="850000000"/>
  </r>
  <r>
    <n v="2022"/>
    <n v="100"/>
    <x v="6"/>
    <s v="INSTITUTO DE PATRIMONIO Y CULTURA DE CARTAGENA DE INDIAS"/>
    <x v="6"/>
    <n v="2020130010043"/>
    <x v="2"/>
    <x v="5"/>
    <x v="10"/>
    <s v="2,3,3301,1603,2020130010043"/>
    <s v="057"/>
    <s v="1,2,4,3,02-057 - SGP CULTURA"/>
    <s v="INV"/>
    <s v="NO"/>
    <s v="FORTALECIMIENTO DE ESTIMULOS PARA LAS ARTES Y LA CULTURA EN EL DISTRITO DE  CARTAGENA DE INDIAS"/>
    <x v="21"/>
    <s v="06"/>
    <s v="00"/>
    <n v="267962307"/>
    <n v="34346032"/>
    <n v="302308339"/>
    <n v="302308339"/>
    <n v="0"/>
    <n v="302308339"/>
    <n v="100"/>
    <n v="257647954.5"/>
    <n v="85.23"/>
    <n v="0"/>
    <n v="145996993.5"/>
  </r>
  <r>
    <n v="2022"/>
    <n v="100"/>
    <x v="6"/>
    <s v="INSTITUTO DE PATRIMONIO Y CULTURA DE CARTAGENA DE INDIAS"/>
    <x v="6"/>
    <n v="2020130010043"/>
    <x v="2"/>
    <x v="5"/>
    <x v="10"/>
    <s v="2,3,3301,1603,2020130010043"/>
    <s v="082"/>
    <s v="1,2,3,1,19-082 - ESTAMPILLAS PROCULTURA"/>
    <s v="INV"/>
    <s v="NO"/>
    <s v="FORTALECIMIENTO DE ESTIMULOS PARA LAS ARTES Y LA CULTURA EN EL DISTRITO DE  CARTAGENA DE INDIAS"/>
    <x v="21"/>
    <s v="06"/>
    <s v="00"/>
    <n v="80000000"/>
    <n v="0"/>
    <n v="80000000"/>
    <n v="0"/>
    <n v="80000000"/>
    <n v="0"/>
    <n v="0"/>
    <n v="0"/>
    <n v="0"/>
    <n v="80000000"/>
    <n v="0"/>
  </r>
  <r>
    <n v="2022"/>
    <n v="100"/>
    <x v="6"/>
    <s v="INSTITUTO DE PATRIMONIO Y CULTURA DE CARTAGENA DE INDIAS"/>
    <x v="6"/>
    <n v="2020130010043"/>
    <x v="2"/>
    <x v="5"/>
    <x v="10"/>
    <s v="2,3,3301,1603,2020130010043"/>
    <s v="001"/>
    <s v="1,2,1,0,00-001 - ICLD"/>
    <s v="INV"/>
    <s v="NO"/>
    <s v="FORTALECIMIENTO DE ESTIMULOS PARA LAS ARTES Y LA CULTURA EN EL DISTRITO DE  CARTAGENA DE INDIAS"/>
    <x v="21"/>
    <s v="06"/>
    <s v="00"/>
    <n v="250000000"/>
    <n v="0"/>
    <n v="250000000"/>
    <n v="250000000"/>
    <n v="0"/>
    <n v="250000000"/>
    <n v="100"/>
    <n v="250000000"/>
    <n v="100"/>
    <n v="0"/>
    <n v="250000000"/>
  </r>
  <r>
    <n v="2022"/>
    <n v="100"/>
    <x v="6"/>
    <s v="INSTITUTO DE PATRIMONIO Y CULTURA DE CARTAGENA DE INDIAS"/>
    <x v="6"/>
    <n v="2020130010045"/>
    <x v="2"/>
    <x v="5"/>
    <x v="10"/>
    <s v="2,3,3301,1603,2020130010045"/>
    <s v="057"/>
    <s v="1,2,4,3,02-057 - SGP CULTURA"/>
    <s v="INV"/>
    <s v="NO"/>
    <s v="FORMACION Y DIVULGACION PARA LAS ARTES Y EL EMPRENDIMIENTO EN EL DISTRITO DE  CARTAGENA DE INDIAS"/>
    <x v="22"/>
    <s v="06"/>
    <s v="00"/>
    <n v="267962307"/>
    <n v="0"/>
    <n v="267962307"/>
    <n v="156311346"/>
    <n v="111650961"/>
    <n v="156311346"/>
    <n v="58.33"/>
    <n v="156311346"/>
    <n v="58.33"/>
    <n v="111650961"/>
    <n v="156311346"/>
  </r>
  <r>
    <n v="2022"/>
    <n v="100"/>
    <x v="6"/>
    <s v="INSTITUTO DE PATRIMONIO Y CULTURA DE CARTAGENA DE INDIAS"/>
    <x v="6"/>
    <n v="2020130010045"/>
    <x v="2"/>
    <x v="5"/>
    <x v="10"/>
    <s v="2,3,3301,1603,2020130010045"/>
    <s v="082"/>
    <s v="1,2,3,1,19-082 - ESTAMPILLAS PROCULTURA"/>
    <s v="INV"/>
    <s v="NO"/>
    <s v="FORMACION Y DIVULGACION PARA LAS ARTES Y EL EMPRENDIMIENTO EN EL DISTRITO DE  CARTAGENA DE INDIAS"/>
    <x v="22"/>
    <s v="06"/>
    <s v="00"/>
    <n v="80000000"/>
    <n v="0"/>
    <n v="80000000"/>
    <n v="0"/>
    <n v="80000000"/>
    <n v="0"/>
    <n v="0"/>
    <n v="0"/>
    <n v="0"/>
    <n v="80000000"/>
    <n v="0"/>
  </r>
  <r>
    <n v="2022"/>
    <n v="100"/>
    <x v="6"/>
    <s v="INSTITUTO DE PATRIMONIO Y CULTURA DE CARTAGENA DE INDIAS"/>
    <x v="6"/>
    <n v="2020130010045"/>
    <x v="2"/>
    <x v="5"/>
    <x v="10"/>
    <s v="2,3,3301,1603,2020130010045"/>
    <s v="083"/>
    <s v="1,2,2,0,00-083 - ICDE IPCC 20% DELINEACION URBANA"/>
    <s v="INV"/>
    <s v="NO"/>
    <s v="FORMACION Y DIVULGACION PARA LAS ARTES Y EL EMPRENDIMIENTO EN EL DISTRITO DE  CARTAGENA DE INDIAS"/>
    <x v="22"/>
    <s v="06"/>
    <s v="00"/>
    <n v="49869037"/>
    <n v="0"/>
    <n v="49869037"/>
    <n v="49869037"/>
    <n v="0"/>
    <n v="49869037"/>
    <n v="100"/>
    <n v="43650368"/>
    <n v="87.53"/>
    <n v="0"/>
    <n v="33826168"/>
  </r>
  <r>
    <n v="2022"/>
    <n v="100"/>
    <x v="6"/>
    <s v="INSTITUTO DE PATRIMONIO Y CULTURA DE CARTAGENA DE INDIAS"/>
    <x v="6"/>
    <n v="2020130010045"/>
    <x v="2"/>
    <x v="5"/>
    <x v="10"/>
    <s v="2,3,3301,1603,2020130010045"/>
    <s v="001"/>
    <s v="1,2,1,0,00-001 - ICLD"/>
    <s v="INV"/>
    <s v="NO"/>
    <s v="FORMACION Y DIVULGACION PARA LAS ARTES Y EL EMPRENDIMIENTO EN EL DISTRITO DE  CARTAGENA DE INDIAS"/>
    <x v="22"/>
    <s v="06"/>
    <s v="00"/>
    <n v="100000000"/>
    <n v="0"/>
    <n v="100000000"/>
    <n v="100000000"/>
    <n v="0"/>
    <n v="100000000"/>
    <n v="100"/>
    <n v="100000000"/>
    <n v="100"/>
    <n v="0"/>
    <n v="100000000"/>
  </r>
  <r>
    <n v="2022"/>
    <n v="100"/>
    <x v="6"/>
    <s v="INSTITUTO DE PATRIMONIO Y CULTURA DE CARTAGENA DE INDIAS"/>
    <x v="6"/>
    <n v="2020130010045"/>
    <x v="2"/>
    <x v="5"/>
    <x v="10"/>
    <s v="2,3,3301,1603,2020130010045"/>
    <s v="920"/>
    <s v="1,3,3,8,02-93-123 R,B, SGP CULTURA"/>
    <s v="INV"/>
    <s v="NO"/>
    <s v="FORMACION Y DIVULGACION PARA LAS ARTES Y EL EMPRENDIMIENTO EN EL DISTRITO DE CARTAGENA DE INDIAS"/>
    <x v="23"/>
    <s v="06"/>
    <s v="00"/>
    <n v="0"/>
    <n v="7233092.7300000004"/>
    <n v="7233092.7300000004"/>
    <n v="7233092.7300000004"/>
    <n v="0"/>
    <n v="7233092.7300000004"/>
    <n v="100"/>
    <n v="0"/>
    <n v="0"/>
    <n v="0"/>
    <n v="0"/>
  </r>
  <r>
    <n v="2022"/>
    <n v="100"/>
    <x v="7"/>
    <s v="SECRETARIA DE EDUCACION"/>
    <x v="7"/>
    <n v="2020130010052"/>
    <x v="2"/>
    <x v="6"/>
    <x v="11"/>
    <s v="2,3,2299,0700,2020130010052"/>
    <s v="908"/>
    <s v="1,3,3,6,01-95-071 R,B, SGP-EDUCACION-PRESTACION DE SERVICIOS"/>
    <s v="INV"/>
    <s v="NO"/>
    <s v="ADMINISTRACION DEL TALENTO HUMANO DEL SERVICIO EDUCATIVO OFICIAL DOCENTES, DIRECTIVOS DOCENTES Y ADMINISTRATIVOS DEL DISTRITO DE CARTAGENA DE INDIAS"/>
    <x v="24"/>
    <s v="06"/>
    <s v="00"/>
    <n v="0"/>
    <n v="5044707837.1999998"/>
    <n v="5044707837.1999998"/>
    <n v="5044707837"/>
    <n v="0.2"/>
    <n v="5044707837"/>
    <n v="100"/>
    <n v="5044707837"/>
    <n v="100"/>
    <n v="0.2"/>
    <n v="5044707837"/>
  </r>
  <r>
    <n v="2022"/>
    <n v="100"/>
    <x v="7"/>
    <s v="SECRETARIA DE EDUCACION"/>
    <x v="7"/>
    <n v="2020130010052"/>
    <x v="2"/>
    <x v="6"/>
    <x v="11"/>
    <s v="2,3,2299,0700,2020130010052"/>
    <s v="899"/>
    <s v="1,3,3,6,01-93-071 R,B, SGP-EDUCACION-PRESTACION DE SERVICIOS"/>
    <s v="INV"/>
    <s v="NO"/>
    <s v="ADMINISTRACION DEL TALENTO HUMANO DEL SERVICIO EDUCATIVO OFICIAL DOCENTES, DIRECTIVOS DOCENTES Y ADMINISTRATIVOS DEL DISTRITO DE CARTAGENA DE INDIAS"/>
    <x v="24"/>
    <s v="06"/>
    <s v="00"/>
    <n v="0"/>
    <n v="535919337.60000002"/>
    <n v="535919337.60000002"/>
    <n v="535919337"/>
    <n v="0.6"/>
    <n v="535919337"/>
    <n v="100"/>
    <n v="535919337"/>
    <n v="100"/>
    <n v="0.6"/>
    <n v="535919337"/>
  </r>
  <r>
    <n v="2022"/>
    <n v="100"/>
    <x v="7"/>
    <s v="SECRETARIA DE EDUCACION"/>
    <x v="7"/>
    <n v="2020130010052"/>
    <x v="2"/>
    <x v="6"/>
    <x v="11"/>
    <s v="2,3,2299,0700,2020130010052"/>
    <s v="071"/>
    <s v="1,2,4,1,01-071 - SGP PRESTACION EDUCATIVO"/>
    <s v="INV"/>
    <s v="NO"/>
    <s v="ADMINISTRACION DEL TALENTO HUMANO DEL SERVICIO EDUCATIVO OFICIAL DOCENTES, DIRECTIVOS DOCENTES Y ADMINISTRATIVOS DEL DISTRITO DE   CARTAGENA DE INDIAS"/>
    <x v="25"/>
    <s v="06"/>
    <s v="00"/>
    <n v="410028127428"/>
    <n v="3317129202.1999998"/>
    <n v="413345256630.20001"/>
    <n v="413345256630"/>
    <n v="0.2"/>
    <n v="413345256630"/>
    <n v="100"/>
    <n v="413310439973"/>
    <n v="99.99"/>
    <n v="0.2"/>
    <n v="404333972648"/>
  </r>
  <r>
    <n v="2022"/>
    <n v="100"/>
    <x v="7"/>
    <s v="SECRETARIA DE EDUCACION"/>
    <x v="7"/>
    <n v="2020130010052"/>
    <x v="2"/>
    <x v="6"/>
    <x v="11"/>
    <s v="2,3,2299,0700,2020130010052"/>
    <s v="001"/>
    <s v="1,2,1,0,00-001 - ICLD"/>
    <s v="INV"/>
    <s v="NO"/>
    <s v="ADMINISTRACION DEL TALENTO HUMANO DEL SERVICIO EDUCATIVO OFICIAL DOCENTES, DIRECTIVOS DOCENTES Y ADMINISTRATIVOS DEL DISTRITO DE   CARTAGENA DE INDIAS"/>
    <x v="25"/>
    <s v="06"/>
    <s v="00"/>
    <n v="166759652"/>
    <n v="4476226479"/>
    <n v="4642986131"/>
    <n v="4642986131"/>
    <n v="0"/>
    <n v="4642986131"/>
    <n v="100"/>
    <n v="4575426073"/>
    <n v="98.54"/>
    <n v="0"/>
    <n v="4035007885"/>
  </r>
  <r>
    <n v="2022"/>
    <n v="100"/>
    <x v="5"/>
    <s v="INSTITUTO DE DEPORTE Y RECREACION"/>
    <x v="5"/>
    <n v="2020130010053"/>
    <x v="2"/>
    <x v="4"/>
    <x v="12"/>
    <s v="2,3,4301,1604,2020130010053"/>
    <s v="853"/>
    <s v="1,3,3,3,19-95-025 R,B, TASA PRODEPORTE Y RECREACION"/>
    <s v="INV"/>
    <s v="NO"/>
    <s v="DESARROLLO DE LA ESCUELA DE INICIACION Y FORMACION DEPORTIVA - EIFD EN EL DISTRITO DE CARTAGENA DE INDIAS"/>
    <x v="26"/>
    <s v="06"/>
    <s v="00"/>
    <n v="0"/>
    <n v="5084182.32"/>
    <n v="5084182.32"/>
    <n v="0"/>
    <n v="5084182.32"/>
    <n v="0"/>
    <n v="0"/>
    <n v="0"/>
    <n v="0"/>
    <n v="5084182.32"/>
    <n v="0"/>
  </r>
  <r>
    <n v="2022"/>
    <n v="100"/>
    <x v="5"/>
    <s v="INSTITUTO DE DEPORTE Y RECREACION"/>
    <x v="5"/>
    <n v="2020130010053"/>
    <x v="2"/>
    <x v="4"/>
    <x v="12"/>
    <s v="2,3,4301,1604,2020130010053"/>
    <s v="918"/>
    <s v="1,3,3,8,01-95-059 - R,B, SGP DEPORTE"/>
    <s v="INV"/>
    <s v="NO"/>
    <s v="DESARROLLO DE LA ESCUELA DE INICIACION Y FORMACION DEPORTIVA - EIFD EN EL DISTRITO DE  CARTAGENA DE INDIAS"/>
    <x v="27"/>
    <s v="06"/>
    <s v="00"/>
    <n v="0"/>
    <n v="2305765.9"/>
    <n v="2305765.9"/>
    <n v="0"/>
    <n v="2305765.9"/>
    <n v="0"/>
    <n v="0"/>
    <n v="0"/>
    <n v="0"/>
    <n v="2305765.9"/>
    <n v="0"/>
  </r>
  <r>
    <n v="2022"/>
    <n v="100"/>
    <x v="5"/>
    <s v="INSTITUTO DE DEPORTE Y RECREACION"/>
    <x v="5"/>
    <n v="2020130010053"/>
    <x v="2"/>
    <x v="4"/>
    <x v="12"/>
    <s v="2,3,4301,1604,2020130010053"/>
    <s v="933"/>
    <s v="1,3,1,1,02-03 -EXCEDENTES FINANCIEROS IDER"/>
    <s v="INV"/>
    <s v="NO"/>
    <s v="DESARROLLO DE LA ESCUELA DE INICIACION Y FORMACION DEPORTIVA EIFD EN EL DISTRITO DE CARTAGENA DE INDIAS"/>
    <x v="28"/>
    <s v="06"/>
    <s v="00"/>
    <n v="0"/>
    <n v="199826079.22999999"/>
    <n v="199826079.22999999"/>
    <n v="92772606"/>
    <n v="107053473.23"/>
    <n v="92772606"/>
    <n v="46.43"/>
    <n v="0"/>
    <n v="0"/>
    <n v="107053473.23"/>
    <n v="0"/>
  </r>
  <r>
    <n v="2022"/>
    <n v="100"/>
    <x v="5"/>
    <s v="INSTITUTO DE DEPORTE Y RECREACION"/>
    <x v="5"/>
    <n v="2020130010053"/>
    <x v="2"/>
    <x v="4"/>
    <x v="12"/>
    <s v="2,3,4301,1604,2020130010053"/>
    <s v="059"/>
    <s v="1,2,4,3,01-059 - SGP DEPORTE"/>
    <s v="INV"/>
    <s v="NO"/>
    <s v="DESARROLLO DE LA ESCUELA DE INICIACION Y FORMACION DEPORTIVA - EIFD EN EL DISTRITO DE  CARTAGENA DE INDIAS"/>
    <x v="27"/>
    <s v="06"/>
    <s v="00"/>
    <n v="306636856"/>
    <n v="0"/>
    <n v="306636856"/>
    <n v="305484750"/>
    <n v="1152106"/>
    <n v="305484750"/>
    <n v="99.62"/>
    <n v="305484750"/>
    <n v="99.62"/>
    <n v="1152106"/>
    <n v="275441318"/>
  </r>
  <r>
    <n v="2022"/>
    <n v="100"/>
    <x v="5"/>
    <s v="INSTITUTO DE DEPORTE Y RECREACION"/>
    <x v="5"/>
    <n v="2020130010053"/>
    <x v="2"/>
    <x v="4"/>
    <x v="12"/>
    <s v="2,3,4301,1604,2020130010053"/>
    <s v="097"/>
    <s v="1,2,2,0,00-097 - ICDE IDER 3% ICA"/>
    <s v="INV"/>
    <s v="NO"/>
    <s v="DESARROLLO DE LA ESCUELA DE INICIACION Y FORMACION DEPORTIVA - EIFD EN EL DISTRITO DE  CARTAGENA DE INDIAS"/>
    <x v="27"/>
    <s v="06"/>
    <s v="00"/>
    <n v="762973719"/>
    <n v="0"/>
    <n v="762973719"/>
    <n v="748396750"/>
    <n v="14576969"/>
    <n v="748396750"/>
    <n v="98.09"/>
    <n v="748396750"/>
    <n v="98.09"/>
    <n v="14576969"/>
    <n v="730360750"/>
  </r>
  <r>
    <n v="2022"/>
    <n v="100"/>
    <x v="5"/>
    <s v="INSTITUTO DE DEPORTE Y RECREACION"/>
    <x v="5"/>
    <n v="2020130010053"/>
    <x v="2"/>
    <x v="4"/>
    <x v="12"/>
    <s v="2,3,4301,1604,2020130010053"/>
    <s v="025"/>
    <s v="1,2,3,2,05-025 - OTRAS TASAS Y DERECHOS ADMINISTRATIVOS TASA PRODEPORTE"/>
    <s v="INV"/>
    <s v="NO"/>
    <s v="DESARROLLO DE LA ESCUELA DE INICIACION Y FORMACION DEPORTIVA - EIFD EN EL DISTRITO DE  CARTAGENA DE INDIAS"/>
    <x v="27"/>
    <s v="06"/>
    <s v="00"/>
    <n v="1133333333"/>
    <n v="0"/>
    <n v="1133333333"/>
    <n v="1133333333"/>
    <n v="0"/>
    <n v="1133333333"/>
    <n v="100"/>
    <n v="1133333333"/>
    <n v="100"/>
    <n v="0"/>
    <n v="905365650"/>
  </r>
  <r>
    <n v="2022"/>
    <n v="100"/>
    <x v="5"/>
    <s v="INSTITUTO DE DEPORTE Y RECREACION"/>
    <x v="5"/>
    <n v="2020130010055"/>
    <x v="2"/>
    <x v="4"/>
    <x v="13"/>
    <s v="2,3,4301,1604,2020130010055"/>
    <s v="918"/>
    <s v="1,3,3,8,01-95-059 - R,B, SGP DEPORTE"/>
    <s v="INV"/>
    <s v="NO"/>
    <s v="MEJORAMIENTO DE LOS ESTILOS DE VIDA MEDIANTE LA PROMOCION MASIVA DE UNA VIDA ACTIVA DE LA CIUDADANIA EN EL DISTRITO DE  CARTAGENA DE INDIAS"/>
    <x v="29"/>
    <s v="06"/>
    <s v="00"/>
    <n v="0"/>
    <n v="66473578"/>
    <n v="66473578"/>
    <n v="0"/>
    <n v="66473578"/>
    <n v="0"/>
    <n v="0"/>
    <n v="0"/>
    <n v="0"/>
    <n v="66473578"/>
    <n v="0"/>
  </r>
  <r>
    <n v="2022"/>
    <n v="100"/>
    <x v="5"/>
    <s v="INSTITUTO DE DEPORTE Y RECREACION"/>
    <x v="5"/>
    <n v="2020130010055"/>
    <x v="2"/>
    <x v="4"/>
    <x v="13"/>
    <s v="2,3,4301,1604,2020130010055"/>
    <s v="933"/>
    <s v="1,3,1,1,02-03 -EXCEDENTES FINANCIEROS IDER"/>
    <s v="INV"/>
    <s v="NO"/>
    <s v="MEJORAMIENTO DE LOS ESTILOS DE VIDA MEDIANTE LA PROMOCION MASIVA DE UNA VIDA ACTIVA DE LA CIUDADANIA EN EL DISTRITO DE CARTAGENA DE INDIAS - DEFICIT"/>
    <x v="30"/>
    <s v="06"/>
    <s v="00"/>
    <n v="0"/>
    <n v="2828000"/>
    <n v="2828000"/>
    <n v="0"/>
    <n v="2828000"/>
    <n v="0"/>
    <n v="0"/>
    <n v="0"/>
    <n v="0"/>
    <n v="2828000"/>
    <n v="0"/>
  </r>
  <r>
    <n v="2022"/>
    <n v="100"/>
    <x v="5"/>
    <s v="INSTITUTO DE DEPORTE Y RECREACION"/>
    <x v="5"/>
    <n v="2020130010055"/>
    <x v="2"/>
    <x v="4"/>
    <x v="13"/>
    <s v="2,3,4301,1604,2020130010055"/>
    <s v="059"/>
    <s v="1,2,4,3,01-059 - SGP DEPORTE"/>
    <s v="INV"/>
    <s v="NO"/>
    <s v="MEJORAMIENTO DE LOS ESTILOS DE VIDA MEDIANTE LA PROMOCION MASIVA DE UNA VIDA ACTIVA DE LA CIUDADANIA EN EL DISTRITO DE  CARTAGENA DE INDIAS"/>
    <x v="29"/>
    <s v="06"/>
    <s v="00"/>
    <n v="306636853"/>
    <n v="0"/>
    <n v="306636853"/>
    <n v="143385280"/>
    <n v="163251573"/>
    <n v="143385280"/>
    <n v="46.76"/>
    <n v="143385280"/>
    <n v="46.76"/>
    <n v="163251573"/>
    <n v="143385280"/>
  </r>
  <r>
    <n v="2022"/>
    <n v="100"/>
    <x v="5"/>
    <s v="INSTITUTO DE DEPORTE Y RECREACION"/>
    <x v="5"/>
    <n v="2020130010055"/>
    <x v="2"/>
    <x v="4"/>
    <x v="13"/>
    <s v="2,3,4301,1604,2020130010055"/>
    <s v="097"/>
    <s v="1,2,2,0,00-097 - ICDE IDER 3% ICA"/>
    <s v="INV"/>
    <s v="NO"/>
    <s v="MEJORAMIENTO DE LOS ESTILOS DE VIDA MEDIANTE LA PROMOCION MASIVA DE UNA VIDA ACTIVA DE LA CIUDADANIA EN EL DISTRITO DE  CARTAGENA DE INDIAS"/>
    <x v="29"/>
    <s v="06"/>
    <s v="00"/>
    <n v="1405363114"/>
    <n v="0"/>
    <n v="1405363114"/>
    <n v="1395159400"/>
    <n v="10203714"/>
    <n v="1395159400"/>
    <n v="99.27"/>
    <n v="1380159400"/>
    <n v="98.21"/>
    <n v="10203714"/>
    <n v="1325159400"/>
  </r>
  <r>
    <n v="2022"/>
    <n v="100"/>
    <x v="5"/>
    <s v="INSTITUTO DE DEPORTE Y RECREACION"/>
    <x v="5"/>
    <n v="2020130010055"/>
    <x v="2"/>
    <x v="4"/>
    <x v="13"/>
    <s v="2,3,4301,1604,2020130010055"/>
    <s v="025"/>
    <s v="1,2,3,2,05-025 - OTRAS TASAS Y DERECHOS ADMINISTRATIVOS TASA PRODEPORTE"/>
    <s v="INV"/>
    <s v="NO"/>
    <s v="MEJORAMIENTO DE LOS ESTILOS DE VIDA MEDIANTE LA PROMOCION MASIVA DE UNA VIDA ACTIVA DE LA CIUDADANIA EN EL DISTRITO DE  CARTAGENA DE INDIAS"/>
    <x v="29"/>
    <s v="06"/>
    <s v="00"/>
    <n v="866666665"/>
    <n v="0"/>
    <n v="866666665"/>
    <n v="858666664.84000003"/>
    <n v="8000000.1600000001"/>
    <n v="858666664.84000003"/>
    <n v="99.08"/>
    <n v="858666664.84000003"/>
    <n v="99.08"/>
    <n v="8000000.1600000001"/>
    <n v="858666664.84000003"/>
  </r>
  <r>
    <n v="2022"/>
    <n v="100"/>
    <x v="7"/>
    <s v="SECRETARIA DE EDUCACION"/>
    <x v="7"/>
    <n v="2020130010057"/>
    <x v="2"/>
    <x v="6"/>
    <x v="11"/>
    <s v="2,3,2201,0700,2020130010057"/>
    <s v="909"/>
    <s v="1,3,3,6,03-93-171 R,B, SGP-EDUCACION-CALIDAD  POR MATRICULA OFICIAL"/>
    <s v="INV"/>
    <s v="NO"/>
    <s v="OPTIMIZACION DE LA OPERACION DE LAS INSTITUCIONES EDUCATIVAS OFICIALES DEL DISTRITO DE   CARTAGENA DE INDIAS"/>
    <x v="31"/>
    <s v="06"/>
    <s v="00"/>
    <n v="0"/>
    <n v="216871833.86000001"/>
    <n v="216871833.86000001"/>
    <n v="216871833"/>
    <n v="0.86"/>
    <n v="216871833"/>
    <n v="100"/>
    <n v="216871833"/>
    <n v="100"/>
    <n v="0.86"/>
    <n v="216871833"/>
  </r>
  <r>
    <n v="2022"/>
    <n v="100"/>
    <x v="7"/>
    <s v="SECRETARIA DE EDUCACION"/>
    <x v="7"/>
    <n v="2020130010057"/>
    <x v="2"/>
    <x v="6"/>
    <x v="11"/>
    <s v="2,3,2201,0700,2020130010057"/>
    <s v="910"/>
    <s v="1,3,3,6,03-95-081 R,B, SGP-EDUCACION-CALIDAD  POR MATRICULA OFICIAL RENDIMIENTOS FINANCIEROS SGP EDUCACION"/>
    <s v="INV"/>
    <s v="NO"/>
    <s v="OPTIMIZACION DE LA OPERACION DE LAS INSTITUCIONES EDUCATIVAS OFICIALES DEL DISTRITO DE   CARTAGENA DE INDIAS"/>
    <x v="31"/>
    <s v="06"/>
    <s v="00"/>
    <n v="0"/>
    <n v="34451023"/>
    <n v="34451023"/>
    <n v="34451023"/>
    <n v="0"/>
    <n v="34451023"/>
    <n v="100"/>
    <n v="34451023"/>
    <n v="100"/>
    <n v="0"/>
    <n v="34451023"/>
  </r>
  <r>
    <n v="2022"/>
    <n v="100"/>
    <x v="7"/>
    <s v="SECRETARIA DE EDUCACION"/>
    <x v="7"/>
    <n v="2020130010057"/>
    <x v="2"/>
    <x v="6"/>
    <x v="11"/>
    <s v="2,3,2201,0700,2020130010057"/>
    <s v="824"/>
    <s v="1,3,3,11,07-93-159 RF FONDO DE MITIGACION  DE EMERGENCIA -FOME"/>
    <s v="INV"/>
    <s v="NO"/>
    <s v="OPTIMIZACION DE LA OPERACION DE LAS INSTITUCIONES EDUCATIVAS OFICIALES DEL DISTRITO DE   CARTAGENA DE INDIAS"/>
    <x v="31"/>
    <s v="06"/>
    <s v="00"/>
    <n v="0"/>
    <n v="66284234.740000002"/>
    <n v="66284234.740000002"/>
    <n v="66284234.740000002"/>
    <n v="0"/>
    <n v="66284234.740000002"/>
    <n v="100"/>
    <n v="66284234.740000002"/>
    <n v="100"/>
    <n v="0"/>
    <n v="66284234.740000002"/>
  </r>
  <r>
    <n v="2022"/>
    <n v="100"/>
    <x v="7"/>
    <s v="SECRETARIA DE EDUCACION"/>
    <x v="7"/>
    <n v="2020130010057"/>
    <x v="2"/>
    <x v="6"/>
    <x v="11"/>
    <s v="2,3,2201,0700,2020130010057"/>
    <s v="825"/>
    <s v="1,3,3,11,07-95-156 FONDO DE MITIGACION  DE EMERGENCIA -FOME"/>
    <s v="INV"/>
    <s v="NO"/>
    <s v="OPTIMIZACION DE LA OPERACION DE LAS INSTITUCIONES EDUCATIVAS OFICIALES DEL DISTRITO DE   CARTAGENA DE INDIAS"/>
    <x v="31"/>
    <s v="06"/>
    <s v="00"/>
    <n v="0"/>
    <n v="552323897.40999997"/>
    <n v="552323897.40999997"/>
    <n v="552323897.40999997"/>
    <n v="0"/>
    <n v="552323897.23000002"/>
    <n v="100"/>
    <n v="548587643.23000002"/>
    <n v="99.32"/>
    <n v="0.18"/>
    <n v="548587643.23000002"/>
  </r>
  <r>
    <n v="2022"/>
    <n v="100"/>
    <x v="7"/>
    <s v="SECRETARIA DE EDUCACION"/>
    <x v="7"/>
    <n v="2020130010057"/>
    <x v="2"/>
    <x v="6"/>
    <x v="11"/>
    <s v="2,3,2201,0700,2020130010057"/>
    <s v="826"/>
    <s v="1,3,3,11,07-95-159 RF FONDO DE MITIGACION  DE EMERGENCIA -FOME"/>
    <s v="INV"/>
    <s v="NO"/>
    <s v="OPTIMIZACION DE LA OPERACION DE LAS INSTITUCIONES EDUCATIVAS OFICIALES DEL DISTRITO DE   CARTAGENA DE INDIAS"/>
    <x v="31"/>
    <s v="06"/>
    <s v="00"/>
    <n v="0"/>
    <n v="5049142.87"/>
    <n v="5049142.87"/>
    <n v="5049142.87"/>
    <n v="0"/>
    <n v="5049142.87"/>
    <n v="100"/>
    <n v="5049142.87"/>
    <n v="100"/>
    <n v="0"/>
    <n v="5049142.87"/>
  </r>
  <r>
    <n v="2022"/>
    <n v="100"/>
    <x v="7"/>
    <s v="SECRETARIA DE EDUCACION"/>
    <x v="7"/>
    <n v="2020130010057"/>
    <x v="2"/>
    <x v="6"/>
    <x v="11"/>
    <s v="2,3,2201,0700,2020130010057"/>
    <s v="171"/>
    <s v="1,2,4,1,03-171 - SGP CALIDAD MATRICULA"/>
    <s v="INV"/>
    <s v="NO"/>
    <s v="OPTIMIZACION DE LA OPERACION DE LAS INSTITUCIONES EDUCATIVAS OFICIALES DEL DISTRITO DE   CARTAGENA DE INDIAS"/>
    <x v="31"/>
    <s v="06"/>
    <s v="00"/>
    <n v="2314881761"/>
    <n v="1366432566"/>
    <n v="3681314327"/>
    <n v="3681314327"/>
    <n v="0"/>
    <n v="3666109753"/>
    <n v="99.59"/>
    <n v="3342733362"/>
    <n v="90.8"/>
    <n v="15204574"/>
    <n v="3022172571"/>
  </r>
  <r>
    <n v="2022"/>
    <n v="100"/>
    <x v="7"/>
    <s v="SECRETARIA DE EDUCACION"/>
    <x v="7"/>
    <n v="2020130010057"/>
    <x v="2"/>
    <x v="6"/>
    <x v="11"/>
    <s v="2,3,2201,0700,2020130010057"/>
    <s v="172"/>
    <s v="1,2,4,1,04-172 - SGP CALIDAD GRATUIDAD"/>
    <s v="INV"/>
    <s v="NO"/>
    <s v="OPTIMIZACION DE LA OPERACION DE LAS INSTITUCIONES EDUCATIVAS OFICIALES DEL DISTRITO DE   CARTAGENA DE INDIAS"/>
    <x v="31"/>
    <s v="06"/>
    <s v="00"/>
    <n v="10195492808"/>
    <n v="-892807586"/>
    <n v="9302685222"/>
    <n v="9302685222"/>
    <n v="0"/>
    <n v="9302685222"/>
    <n v="100"/>
    <n v="9302685222"/>
    <n v="100"/>
    <n v="0"/>
    <n v="9302685222"/>
  </r>
  <r>
    <n v="2022"/>
    <n v="100"/>
    <x v="7"/>
    <s v="SECRETARIA DE EDUCACION"/>
    <x v="7"/>
    <n v="2020130010057"/>
    <x v="2"/>
    <x v="6"/>
    <x v="11"/>
    <s v="2,3,2201,0700,2020130010057"/>
    <s v="901"/>
    <s v="1,3,3,6,03-95-171 - R,B, SGP - EDUCACION - CALIDAD  POR MATRICULA OFICIAL"/>
    <s v="INV"/>
    <s v="NO"/>
    <s v="OPTIMIZACION DE LA OPERACION DE LAS INSTITUCIONES EDUCATIVAS OFICIALES DEL DISTRITO DE   CARTAGENA DE INDIAS"/>
    <x v="31"/>
    <s v="06"/>
    <s v="00"/>
    <n v="0"/>
    <n v="5575460"/>
    <n v="5575460"/>
    <n v="5575460"/>
    <n v="0"/>
    <n v="5575460"/>
    <n v="100"/>
    <n v="5575460"/>
    <n v="100"/>
    <n v="0"/>
    <n v="5575460"/>
  </r>
  <r>
    <n v="2022"/>
    <n v="100"/>
    <x v="7"/>
    <s v="SECRETARIA DE EDUCACION"/>
    <x v="7"/>
    <n v="2020130010057"/>
    <x v="2"/>
    <x v="6"/>
    <x v="11"/>
    <s v="2,3,2201,0700,2020130010057"/>
    <s v="081"/>
    <s v="1,3,2,2,01-081 - RF SGP EDUCACION"/>
    <s v="INV"/>
    <s v="NO"/>
    <s v="OPTIMIZACION DE LA OPERACION DE LAS INSTITUCIONES EDUCATIVAS OFICIALES DEL DISTRITO DE   CARTAGENA DE INDIAS"/>
    <x v="31"/>
    <s v="06"/>
    <s v="00"/>
    <n v="898970554"/>
    <n v="-628969329"/>
    <n v="270001225"/>
    <n v="54243956"/>
    <n v="215757269"/>
    <n v="54243956"/>
    <n v="20.09"/>
    <n v="54243956"/>
    <n v="20.09"/>
    <n v="215757269"/>
    <n v="54243956"/>
  </r>
  <r>
    <n v="2022"/>
    <n v="100"/>
    <x v="7"/>
    <s v="SECRETARIA DE EDUCACION"/>
    <x v="7"/>
    <n v="2020130010057"/>
    <x v="2"/>
    <x v="6"/>
    <x v="11"/>
    <s v="2,3,2201,0700,2020130010057"/>
    <s v="001"/>
    <s v="1,2,1,0,00-001 - ICLD"/>
    <s v="INV"/>
    <s v="NO"/>
    <s v="OPTIMIZACION DE LA OPERACION DE LAS INSTITUCIONES EDUCATIVAS OFICIALES DEL DISTRITO DE   CARTAGENA DE INDIAS"/>
    <x v="31"/>
    <s v="06"/>
    <s v="00"/>
    <n v="41589419364"/>
    <n v="9208802021"/>
    <n v="50798221385"/>
    <n v="50797778589.470001"/>
    <n v="442795.53"/>
    <n v="50769628819.589996"/>
    <n v="99.94"/>
    <n v="48916431653.290001"/>
    <n v="96.3"/>
    <n v="28592565.41"/>
    <n v="44610207478.290001"/>
  </r>
  <r>
    <n v="2022"/>
    <n v="100"/>
    <x v="8"/>
    <s v="DEPARTAMENTO ADMINISTRATIVO DE SALUD"/>
    <x v="8"/>
    <n v="2020130010058"/>
    <x v="2"/>
    <x v="7"/>
    <x v="14"/>
    <s v="2,3,1905,0300,2020130010058"/>
    <s v="016"/>
    <s v="1,2,3,3,07-016 - RECURSOS DEL SISTEMA DE SEGURIDAD SOCIAL INTEGRAL - SALUD"/>
    <s v="INV"/>
    <s v="NO"/>
    <s v="PREVENCION Y CONTROL DE LA LEPRA EN EL DISTRITO DE  CARTAGENA DE INDIAS"/>
    <x v="32"/>
    <s v="06"/>
    <s v="00"/>
    <n v="61547391"/>
    <n v="-3015371"/>
    <n v="58532020"/>
    <n v="52347391"/>
    <n v="6184629"/>
    <n v="31547391"/>
    <n v="53.9"/>
    <n v="6400000"/>
    <n v="10.93"/>
    <n v="26984629"/>
    <n v="0"/>
  </r>
  <r>
    <n v="2022"/>
    <n v="100"/>
    <x v="8"/>
    <s v="DEPARTAMENTO ADMINISTRATIVO DE SALUD"/>
    <x v="8"/>
    <n v="2020130010058"/>
    <x v="2"/>
    <x v="7"/>
    <x v="14"/>
    <s v="2,3,1905,0300,2020130010058"/>
    <s v="170"/>
    <s v="1,2,4,2,02-170 - SGP SALUD PUBLICA"/>
    <s v="INV"/>
    <s v="NO"/>
    <s v="PREVENCION Y CONTROL DE LA LEPRA EN EL DISTRITO DE  CARTAGENA DE INDIAS"/>
    <x v="32"/>
    <s v="06"/>
    <s v="00"/>
    <n v="240000000"/>
    <n v="0"/>
    <n v="240000000"/>
    <n v="240000000"/>
    <n v="0"/>
    <n v="227000000"/>
    <n v="94.58"/>
    <n v="126400000"/>
    <n v="52.67"/>
    <n v="13000000"/>
    <n v="126400000"/>
  </r>
  <r>
    <n v="2022"/>
    <n v="100"/>
    <x v="8"/>
    <s v="DEPARTAMENTO ADMINISTRATIVO DE SALUD"/>
    <x v="8"/>
    <n v="2020130010058"/>
    <x v="2"/>
    <x v="7"/>
    <x v="14"/>
    <s v="2,3,1905,0300,2020130010058"/>
    <s v="894"/>
    <s v="1,3,3,5,07-95-016 R,B, RECURSOS DEL SISTEMA DE SEGURIDAD SOCIAL INTEGRAL - SALUD MINISTERIO DE PROTECCION SOCIAL"/>
    <s v="INV"/>
    <s v="NO"/>
    <s v="PREVENCION Y CONTROL DE LA LEPRA EN EL DISTRITO DE  CARTAGENA DE INDIAS"/>
    <x v="32"/>
    <s v="06"/>
    <s v="00"/>
    <n v="0"/>
    <n v="28032561"/>
    <n v="28032561"/>
    <n v="28032561"/>
    <n v="0"/>
    <n v="28032561"/>
    <n v="100"/>
    <n v="28032561"/>
    <n v="100"/>
    <n v="0"/>
    <n v="0"/>
  </r>
  <r>
    <n v="2022"/>
    <n v="100"/>
    <x v="8"/>
    <s v="DEPARTAMENTO ADMINISTRATIVO DE SALUD"/>
    <x v="8"/>
    <n v="2020130010058"/>
    <x v="2"/>
    <x v="7"/>
    <x v="14"/>
    <s v="2,3,1905,0300,2020130010058"/>
    <s v="916"/>
    <s v="1,3,3,7,02-95-170 R,B, SGP-SALUD-SALUD PUBLICA"/>
    <s v="INV"/>
    <s v="NO"/>
    <s v="PREVENCION Y CONTROL DE LA LEPRA EN EL DISTRITO DE  CARTAGENA DE INDIAS"/>
    <x v="32"/>
    <s v="06"/>
    <s v="00"/>
    <n v="0"/>
    <n v="432000000"/>
    <n v="432000000"/>
    <n v="432000000"/>
    <n v="0"/>
    <n v="432000000"/>
    <n v="100"/>
    <n v="47400000"/>
    <n v="10.97"/>
    <n v="0"/>
    <n v="45000000"/>
  </r>
  <r>
    <n v="2022"/>
    <n v="100"/>
    <x v="8"/>
    <s v="DEPARTAMENTO ADMINISTRATIVO DE SALUD"/>
    <x v="8"/>
    <n v="2020130010060"/>
    <x v="2"/>
    <x v="7"/>
    <x v="14"/>
    <s v="2,3,1905,0300,2020130010060"/>
    <s v="016"/>
    <s v="1,2,3,3,07-016 - RECURSOS DEL SISTEMA DE SEGURIDAD SOCIAL INTEGRAL - SALUD"/>
    <s v="INV"/>
    <s v="NO"/>
    <s v="PREVENCION Y CONTROL DE LA TUBERCULOSIS EN EL DISTRITO DE  CARTAGENA DE INDIAS"/>
    <x v="33"/>
    <s v="06"/>
    <s v="00"/>
    <n v="159224164"/>
    <n v="-7582103"/>
    <n v="151642061"/>
    <n v="134000000"/>
    <n v="17642061"/>
    <n v="96833333"/>
    <n v="63.86"/>
    <n v="21833333"/>
    <n v="14.4"/>
    <n v="54808728"/>
    <n v="10000000"/>
  </r>
  <r>
    <n v="2022"/>
    <n v="100"/>
    <x v="8"/>
    <s v="DEPARTAMENTO ADMINISTRATIVO DE SALUD"/>
    <x v="8"/>
    <n v="2020130010060"/>
    <x v="2"/>
    <x v="7"/>
    <x v="14"/>
    <s v="2,3,1905,0300,2020130010060"/>
    <s v="170"/>
    <s v="1,2,4,2,02-170 - SGP SALUD PUBLICA"/>
    <s v="INV"/>
    <s v="NO"/>
    <s v="PREVENCION Y CONTROL DE LA TUBERCULOSIS EN EL DISTRITO DE  CARTAGENA DE INDIAS"/>
    <x v="33"/>
    <s v="06"/>
    <s v="00"/>
    <n v="240000000"/>
    <n v="0"/>
    <n v="240000000"/>
    <n v="186600000"/>
    <n v="53400000"/>
    <n v="186600000"/>
    <n v="77.75"/>
    <n v="97200000"/>
    <n v="40.5"/>
    <n v="53400000"/>
    <n v="97200000"/>
  </r>
  <r>
    <n v="2022"/>
    <n v="100"/>
    <x v="8"/>
    <s v="DEPARTAMENTO ADMINISTRATIVO DE SALUD"/>
    <x v="8"/>
    <n v="2020130010060"/>
    <x v="2"/>
    <x v="7"/>
    <x v="14"/>
    <s v="2,3,1905,0300,2020130010060"/>
    <s v="894"/>
    <s v="1,3,3,5,07-95-016 R,B, RECURSOS DEL SISTEMA DE SEGURIDAD SOCIAL INTEGRAL - SALUD MINISTERIO DE PROTECCION SOCIAL"/>
    <s v="INV"/>
    <s v="NO"/>
    <s v="PREVENCION Y CONTROL DE LA TUBERCULOSIS EN EL DISTRITO DE  CARTAGENA DE INDIAS"/>
    <x v="33"/>
    <s v="06"/>
    <s v="00"/>
    <n v="0"/>
    <n v="41638728"/>
    <n v="41638728"/>
    <n v="41638728"/>
    <n v="0"/>
    <n v="41638728"/>
    <n v="100"/>
    <n v="41638728"/>
    <n v="100"/>
    <n v="0"/>
    <n v="41638728"/>
  </r>
  <r>
    <n v="2022"/>
    <n v="100"/>
    <x v="8"/>
    <s v="DEPARTAMENTO ADMINISTRATIVO DE SALUD"/>
    <x v="8"/>
    <n v="2020130010060"/>
    <x v="2"/>
    <x v="7"/>
    <x v="14"/>
    <s v="2,3,1905,0300,2020130010060"/>
    <s v="916"/>
    <s v="1,3,3,7,02-95-170 R,B, SGP-SALUD-SALUD PUBLICA"/>
    <s v="INV"/>
    <s v="NO"/>
    <s v="PREVENCION Y CONTROL DE LA TUBERCULOSIS EN EL DISTRITO DE  CARTAGENA DE INDIAS"/>
    <x v="33"/>
    <s v="06"/>
    <s v="00"/>
    <n v="0"/>
    <n v="355400000"/>
    <n v="355400000"/>
    <n v="344600000"/>
    <n v="10800000"/>
    <n v="319586666"/>
    <n v="89.92"/>
    <n v="93186666"/>
    <n v="26.22"/>
    <n v="35813334"/>
    <n v="62000000"/>
  </r>
  <r>
    <n v="2022"/>
    <n v="100"/>
    <x v="3"/>
    <s v="SECRETARIA DEL INTERIOR Y CONVIVENCIA CIUDADANAL"/>
    <x v="3"/>
    <n v="2020130010061"/>
    <x v="0"/>
    <x v="8"/>
    <x v="15"/>
    <s v="2,3,4103,1500,2020130010061"/>
    <s v="001"/>
    <s v="1,2,1,0,00-001 - ICLD"/>
    <s v="INV"/>
    <s v="NO"/>
    <s v="ASISTENCIA ATENCION Y REPARACION INTEGRAL A LAS VICTIMAS DEL CONFLICTO ARMADO EN EL DISTRITO DE   CARTAGENA DE INDIAS"/>
    <x v="34"/>
    <s v="06"/>
    <s v="00"/>
    <n v="670028169"/>
    <n v="153864800"/>
    <n v="823892969"/>
    <n v="823229162.66999996"/>
    <n v="663806.32999999996"/>
    <n v="711121002.33000004"/>
    <n v="86.31"/>
    <n v="696199668.88999999"/>
    <n v="84.5"/>
    <n v="112771966.67"/>
    <n v="479630676.88999999"/>
  </r>
  <r>
    <n v="2022"/>
    <n v="100"/>
    <x v="8"/>
    <s v="DEPARTAMENTO ADMINISTRATIVO DE SALUD"/>
    <x v="8"/>
    <n v="2020130010063"/>
    <x v="2"/>
    <x v="7"/>
    <x v="16"/>
    <s v="2,3,1903,0300,2020130010063"/>
    <s v="001"/>
    <s v="1,2,1,0,00-001 - ICLD"/>
    <s v="INV"/>
    <s v="NO"/>
    <s v="CONTROL , VIGILANCIA, INSPECCION Y PROMOCION DEL SISTEMA OBLIGATORIO DE GARANTIA DE LA CALIDAD EN EL DISTRITO DE  CARTAGENA DE INDIAS"/>
    <x v="35"/>
    <s v="06"/>
    <s v="00"/>
    <n v="100000000"/>
    <n v="0"/>
    <n v="100000000"/>
    <n v="100000000"/>
    <n v="0"/>
    <n v="100000000"/>
    <n v="100"/>
    <n v="100000000"/>
    <n v="100"/>
    <n v="0"/>
    <n v="100000000"/>
  </r>
  <r>
    <n v="2022"/>
    <n v="100"/>
    <x v="8"/>
    <s v="DEPARTAMENTO ADMINISTRATIVO DE SALUD"/>
    <x v="8"/>
    <n v="2020130010063"/>
    <x v="2"/>
    <x v="7"/>
    <x v="16"/>
    <s v="2,3,1903,0300,2020130010063"/>
    <s v="015"/>
    <s v="1,2,3,3,07-015 - RECURSOS DEL SISTEMA DE SEGURIDAD SOCIAL INTEGRAL - SALUD"/>
    <s v="INV"/>
    <s v="NO"/>
    <s v="CONTROL , VIGILANCIA, INSPECCION Y PROMOCION DEL SISTEMA OBLIGATORIO DE GARANTIA DE LA CALIDAD EN EL DISTRITO DE  CARTAGENA DE INDIAS"/>
    <x v="35"/>
    <s v="06"/>
    <s v="00"/>
    <n v="420000000"/>
    <n v="0"/>
    <n v="420000000"/>
    <n v="412000000"/>
    <n v="8000000"/>
    <n v="412000000"/>
    <n v="98.1"/>
    <n v="412000000"/>
    <n v="98.1"/>
    <n v="8000000"/>
    <n v="409600000"/>
  </r>
  <r>
    <n v="2022"/>
    <n v="100"/>
    <x v="8"/>
    <s v="DEPARTAMENTO ADMINISTRATIVO DE SALUD"/>
    <x v="8"/>
    <n v="2020130010063"/>
    <x v="2"/>
    <x v="7"/>
    <x v="16"/>
    <s v="2,3,1903,0300,2020130010063"/>
    <s v="889"/>
    <s v="1,3,3,5,07-93-015 R,B, RECURSOS DEL SISTEMA DE SEGURIDAD SOCIAL INTEGRAL - SALUD COLJUEGOS"/>
    <s v="INV"/>
    <s v="NO"/>
    <s v="CONTROL, VIGILANCIA, INSPECCION Y PROMOCION DEL SISTEMA OBLIGATORIO DE GARANTIA DE LA CALIDAD EN EL DISTRITO DE  CARTAGENA DE INDIAS"/>
    <x v="36"/>
    <s v="06"/>
    <s v="00"/>
    <n v="0"/>
    <n v="249876391"/>
    <n v="249876391"/>
    <n v="239200000"/>
    <n v="10676391"/>
    <n v="200000000"/>
    <n v="80.040000000000006"/>
    <n v="200000000"/>
    <n v="80.040000000000006"/>
    <n v="49876391"/>
    <n v="185000000"/>
  </r>
  <r>
    <n v="2022"/>
    <n v="100"/>
    <x v="8"/>
    <s v="DEPARTAMENTO ADMINISTRATIVO DE SALUD"/>
    <x v="8"/>
    <n v="2020130010063"/>
    <x v="2"/>
    <x v="7"/>
    <x v="16"/>
    <s v="2,3,1903,0300,2020130010063"/>
    <s v="893"/>
    <s v="1,3,3,5,07-95-015 R,B, RECURSOS DEL SISTEMA DE SEGURIDAD SOCIAL INTEGRAL - SALUD COLJUEGOS"/>
    <s v="INV"/>
    <s v="NO"/>
    <s v="CONTROL, VIGILANCIA, INSPECCION Y PROMOCION DEL SISTEMA OBLIGATORIO DE GARANTIA DE LA CALIDAD EN EL DISTRITO DE  CARTAGENA DE INDIAS"/>
    <x v="36"/>
    <s v="06"/>
    <s v="00"/>
    <n v="0"/>
    <n v="413941140"/>
    <n v="413941140"/>
    <n v="288101627"/>
    <n v="125839513"/>
    <n v="233546662"/>
    <n v="56.42"/>
    <n v="233546662"/>
    <n v="56.42"/>
    <n v="180394478"/>
    <n v="191500000"/>
  </r>
  <r>
    <n v="2022"/>
    <n v="100"/>
    <x v="7"/>
    <s v="SECRETARIA DE EDUCACION"/>
    <x v="7"/>
    <n v="2020130010065"/>
    <x v="2"/>
    <x v="6"/>
    <x v="11"/>
    <s v="2,3,2201,0700,2020130010065"/>
    <s v="071"/>
    <s v="1,2,4,1,01-071 - SGP PRESTACION EDUCATIVO"/>
    <s v="INV"/>
    <s v="NO"/>
    <s v="IMPLEMENTACION DE LA ESTRATEGIA ESCUELA DINAMICA: LLEGO Y ME QUEDO EN LA ESCUELA EN EL DISTRITO DE  CARTAGENA DE INDIAS"/>
    <x v="37"/>
    <s v="06"/>
    <s v="00"/>
    <n v="72626478309"/>
    <n v="-1420129353"/>
    <n v="71206348956"/>
    <n v="71206348956"/>
    <n v="0"/>
    <n v="71023421273"/>
    <n v="99.74"/>
    <n v="71023421273"/>
    <n v="99.74"/>
    <n v="182927683"/>
    <n v="69966613601"/>
  </r>
  <r>
    <n v="2022"/>
    <n v="100"/>
    <x v="7"/>
    <s v="SECRETARIA DE EDUCACION"/>
    <x v="7"/>
    <n v="2020130010065"/>
    <x v="2"/>
    <x v="6"/>
    <x v="11"/>
    <s v="2,3,2201,0700,2020130010065"/>
    <s v="001"/>
    <s v="1,2,1,0,00-001 - ICLD"/>
    <s v="INV"/>
    <s v="NO"/>
    <s v="IMPLEMENTACION DE LA ESTRATEGIA ESCUELA DINAMICA: LLEGO Y ME QUEDO EN LA ESCUELA EN EL DISTRITO DE  CARTAGENA DE INDIAS"/>
    <x v="37"/>
    <s v="06"/>
    <s v="00"/>
    <n v="1200000000"/>
    <n v="749663466.01999998"/>
    <n v="1949663466.02"/>
    <n v="1934119036.02"/>
    <n v="15544430"/>
    <n v="1934109035.3199999"/>
    <n v="99.2"/>
    <n v="1896524384.02"/>
    <n v="97.27"/>
    <n v="15554430.699999999"/>
    <n v="1596306160.02"/>
  </r>
  <r>
    <n v="2022"/>
    <n v="100"/>
    <x v="8"/>
    <s v="DEPARTAMENTO ADMINISTRATIVO DE SALUD"/>
    <x v="8"/>
    <n v="2020130010069"/>
    <x v="2"/>
    <x v="7"/>
    <x v="17"/>
    <s v="2,3,1905,0300,2020130010069"/>
    <s v="170"/>
    <s v="1,2,4,2,02-170 - SGP SALUD PUBLICA"/>
    <s v="INV"/>
    <s v="NO"/>
    <s v="MEJORAMIENTO DE LA SALUD SEXUAL Y REPRODUCTIVA DE LOS Y LAS CARTAGENERAS EN EL DISTRITO DE  CARTAGENA DE INDIAS"/>
    <x v="38"/>
    <s v="06"/>
    <s v="00"/>
    <n v="647258187"/>
    <n v="0"/>
    <n v="647258187"/>
    <n v="644858187"/>
    <n v="2400000"/>
    <n v="633904853"/>
    <n v="97.94"/>
    <n v="348446666"/>
    <n v="53.83"/>
    <n v="13353334"/>
    <n v="285000000"/>
  </r>
  <r>
    <n v="2022"/>
    <n v="100"/>
    <x v="8"/>
    <s v="DEPARTAMENTO ADMINISTRATIVO DE SALUD"/>
    <x v="8"/>
    <n v="2020130010070"/>
    <x v="2"/>
    <x v="7"/>
    <x v="17"/>
    <s v="2,3,1905,0300,2020130010070"/>
    <s v="170"/>
    <s v="1,2,4,2,02-170 - SGP SALUD PUBLICA"/>
    <s v="INV"/>
    <s v="NO"/>
    <s v="PREVENCION DE LA MORTALIDAD MATERNA Y PERINATAL  CARTAGENA DE INDIAS"/>
    <x v="39"/>
    <s v="06"/>
    <s v="00"/>
    <n v="260000000"/>
    <n v="0"/>
    <n v="260000000"/>
    <n v="252800000"/>
    <n v="7200000"/>
    <n v="245600000"/>
    <n v="94.46"/>
    <n v="88000000"/>
    <n v="33.85"/>
    <n v="14400000"/>
    <n v="58000000"/>
  </r>
  <r>
    <n v="2022"/>
    <n v="100"/>
    <x v="4"/>
    <s v="DESPACHO DEL ALCALDE"/>
    <x v="4"/>
    <n v="2020130010071"/>
    <x v="2"/>
    <x v="9"/>
    <x v="18"/>
    <s v="2,3,4103,1500,2020130010071"/>
    <s v="827"/>
    <s v="1,3,3,11,08-93-004 R,B, OTRAS TRANSFERENCIAS DE CAPITAL MARGEN DE COMERCIALIZACION"/>
    <s v="INV"/>
    <s v="NO"/>
    <s v="APOYO DINAMICA FAMILIAR PARA SUPERACION DE LA POBREZA Y DESIGUALDAD "/>
    <x v="40"/>
    <s v="06"/>
    <s v="00"/>
    <n v="0"/>
    <n v="117198.39999999999"/>
    <n v="117198.39999999999"/>
    <n v="0"/>
    <n v="117198.39999999999"/>
    <n v="0"/>
    <n v="0"/>
    <n v="0"/>
    <n v="0"/>
    <n v="117198.39999999999"/>
    <n v="0"/>
  </r>
  <r>
    <n v="2022"/>
    <n v="100"/>
    <x v="4"/>
    <s v="DESPACHO DEL ALCALDE"/>
    <x v="4"/>
    <n v="2020130010071"/>
    <x v="2"/>
    <x v="9"/>
    <x v="18"/>
    <s v="2,3,4103,1500,2020130010071"/>
    <s v="828"/>
    <s v="1,3,3,11,08-95-004 R,B, OTRAS TRANSFERENCIAS DE CAPITAL MARGEN DE COMERCIALIZACION"/>
    <s v="INV"/>
    <s v="NO"/>
    <s v="APOYO DINAMICA FAMILIAR PARA SUPERACION DE LA POBREZA Y DESIGUALDAD "/>
    <x v="40"/>
    <s v="06"/>
    <s v="00"/>
    <n v="0"/>
    <n v="43190006"/>
    <n v="43190006"/>
    <n v="43140000"/>
    <n v="50006"/>
    <n v="31800000"/>
    <n v="73.63"/>
    <n v="27800000"/>
    <n v="64.37"/>
    <n v="11390006"/>
    <n v="27800000"/>
  </r>
  <r>
    <n v="2022"/>
    <n v="100"/>
    <x v="4"/>
    <s v="DESPACHO DEL ALCALDE"/>
    <x v="4"/>
    <n v="2020130010071"/>
    <x v="2"/>
    <x v="9"/>
    <x v="18"/>
    <s v="2,3,4103,1500,2020130010071"/>
    <s v="001"/>
    <s v="1,2,1,0,00-001 - ICLD"/>
    <s v="INV"/>
    <s v="NO"/>
    <s v="APOYO DINAMICA FAMILIAR PARA SUPERACION DE LA POBREZA Y DESIGUALDAD "/>
    <x v="40"/>
    <s v="06"/>
    <s v="00"/>
    <n v="400000000"/>
    <n v="0"/>
    <n v="400000000"/>
    <n v="176641500"/>
    <n v="223358500"/>
    <n v="77400000"/>
    <n v="19.350000000000001"/>
    <n v="77400000"/>
    <n v="19.350000000000001"/>
    <n v="322600000"/>
    <n v="77400000"/>
  </r>
  <r>
    <n v="2022"/>
    <n v="100"/>
    <x v="8"/>
    <s v="DEPARTAMENTO ADMINISTRATIVO DE SALUD"/>
    <x v="8"/>
    <n v="2020130010072"/>
    <x v="2"/>
    <x v="7"/>
    <x v="19"/>
    <s v="2,3,1905,0300,2020130010072"/>
    <s v="170"/>
    <s v="1,2,4,2,02-170 - SGP SALUD PUBLICA"/>
    <s v="INV"/>
    <s v="NO"/>
    <s v="FORTALECIMIENTO DE LA NUTRICION, CONSUMO Y APROVECHAMIENTO DE ALIMENTOS DE LA POBLACION DEL DISTRITO DE  CARTAGENA DE INDIAS"/>
    <x v="41"/>
    <s v="06"/>
    <s v="00"/>
    <n v="304000000"/>
    <n v="0"/>
    <n v="304000000"/>
    <n v="304000000"/>
    <n v="0"/>
    <n v="304000000"/>
    <n v="100"/>
    <n v="220000000"/>
    <n v="72.37"/>
    <n v="0"/>
    <n v="220000000"/>
  </r>
  <r>
    <n v="2022"/>
    <n v="100"/>
    <x v="4"/>
    <s v="DESPACHO DEL ALCALDE"/>
    <x v="4"/>
    <n v="2020130010075"/>
    <x v="1"/>
    <x v="10"/>
    <x v="20"/>
    <s v="2,3,2408,0600,2020130010075"/>
    <s v="001"/>
    <s v="1,2,1,0,00-001 - ICLD"/>
    <s v="INV"/>
    <s v="NO"/>
    <s v="FORTALECIMIENTO FORTALECIMIENTO OPERACIONAL DEL SISTEMA INTEGRADO DE TRANSPORTE MASIVO DE CARTAGENA DE INDIAS  TRANSCARIBE  CARTAGENA DE INDIAS"/>
    <x v="42"/>
    <s v="06"/>
    <s v="00"/>
    <n v="13314321832"/>
    <n v="49700000000"/>
    <n v="63014321832"/>
    <n v="63014321832"/>
    <n v="0"/>
    <n v="63014321832"/>
    <n v="100"/>
    <n v="63014321832"/>
    <n v="100"/>
    <n v="0"/>
    <n v="63014321832"/>
  </r>
  <r>
    <n v="2022"/>
    <n v="100"/>
    <x v="4"/>
    <s v="DESPACHO DEL ALCALDE"/>
    <x v="4"/>
    <n v="2020130010079"/>
    <x v="2"/>
    <x v="9"/>
    <x v="21"/>
    <s v="2,3,4103,1500,2020130010079"/>
    <s v="001"/>
    <s v="1,2,1,0,00-001 - ICLD"/>
    <s v="INV"/>
    <s v="NO"/>
    <s v="APOYO EDUCACION PARA LA SUPERACION DE LA POBREZA Y LA DESIGUALDAD-0INCREMENTAR EL ACCESO A LOS DIFERENTES NIVELES EDUCATIVOS DE NI?OS NI?AS ADOLESCENTES JOVENES Y ADULTOS EN CONDICION DE POBREZA EXTREMA DE  CARTAGENA DE INDIAS"/>
    <x v="43"/>
    <s v="06"/>
    <s v="00"/>
    <n v="205168000"/>
    <n v="0"/>
    <n v="205168000"/>
    <n v="204950000"/>
    <n v="218000"/>
    <n v="179828200"/>
    <n v="87.65"/>
    <n v="179822250"/>
    <n v="87.65"/>
    <n v="25339800"/>
    <n v="175122250"/>
  </r>
  <r>
    <n v="2022"/>
    <n v="100"/>
    <x v="7"/>
    <s v="SECRETARIA DE EDUCACION"/>
    <x v="7"/>
    <n v="2020130010082"/>
    <x v="2"/>
    <x v="6"/>
    <x v="11"/>
    <s v="2,3,2201,0700,2020130010082"/>
    <s v="171"/>
    <s v="1,2,4,1,03-171 - SGP CALIDAD MATRICULA"/>
    <s v="INV"/>
    <s v="NO"/>
    <s v="IMPLEMENTACION DE LA ESTRATEGIA PERMANECER : MI ESCUELA, MI LUGAR FAVORITO, TRANSPORTE Y OTRAS ESTRATEGIAS DE PERMANENCIA EN CARTAGENA DE INDIAS"/>
    <x v="44"/>
    <s v="06"/>
    <s v="00"/>
    <n v="0"/>
    <n v="2429850000"/>
    <n v="2429850000"/>
    <n v="1838295996.05"/>
    <n v="591554003.95000005"/>
    <n v="1838295951.6500001"/>
    <n v="75.650000000000006"/>
    <n v="1744635616.6700001"/>
    <n v="71.8"/>
    <n v="591554048.35000002"/>
    <n v="0"/>
  </r>
  <r>
    <n v="2022"/>
    <n v="100"/>
    <x v="7"/>
    <s v="SECRETARIA DE EDUCACION"/>
    <x v="7"/>
    <n v="2020130010082"/>
    <x v="2"/>
    <x v="6"/>
    <x v="11"/>
    <s v="2,3,2201,0700,2020130010082"/>
    <s v="001"/>
    <s v="1,2,1,0,00-001 - ICLD"/>
    <s v="INV"/>
    <s v="NO"/>
    <s v="IMPLEMENTACION DE LA ESTRATEGIA PERMANECER: MI ESCUELA, MI LUGARFAVORITO, TRANSPORTE Y OTRAS ESTRATEGIAS DE PERMANENCIA EN  CARTAGENA DE INDIAS"/>
    <x v="45"/>
    <s v="06"/>
    <s v="00"/>
    <n v="3853744496"/>
    <n v="697434819.48000002"/>
    <n v="4551179315.4799995"/>
    <n v="4551179315.4799995"/>
    <n v="0"/>
    <n v="4551179271.0799999"/>
    <n v="100"/>
    <n v="3848801767.3299999"/>
    <n v="84.57"/>
    <n v="44.4"/>
    <n v="3519283701"/>
  </r>
  <r>
    <n v="2022"/>
    <n v="100"/>
    <x v="3"/>
    <s v="SECRETARIA DEL INTERIOR Y CONVIVENCIA CIUDADANAL"/>
    <x v="3"/>
    <n v="2020130010084"/>
    <x v="0"/>
    <x v="1"/>
    <x v="22"/>
    <s v="2,3,4103,1500,2020130010084"/>
    <s v="869"/>
    <s v="1,3,3,4,16-95-053 RB  OTRAS TASAS Y DERECHOS ADMINISTRATIVOS CONTRAPRESTACION PORTUARIA"/>
    <s v="INV"/>
    <s v="NO"/>
    <s v="ASISTENCIA Y ATENCION INTEGRAL A LOS NI?OS Y NI?AS,  JOVENES  Y ADOLESCENTES EN RIESGO DE VINCULACION A  ACTIVIDADES DELICTIVAS Y  AQUELLOS EN CONFLICTO CON LA LEY PENAL EN EL DISTRITO DE   CARTAGENA DE INDIAS"/>
    <x v="46"/>
    <s v="06"/>
    <s v="00"/>
    <n v="0"/>
    <n v="206200000"/>
    <n v="206200000"/>
    <n v="200000000"/>
    <n v="6200000"/>
    <n v="200000000"/>
    <n v="96.99"/>
    <n v="52881150"/>
    <n v="25.65"/>
    <n v="6200000"/>
    <n v="0"/>
  </r>
  <r>
    <n v="2022"/>
    <n v="100"/>
    <x v="3"/>
    <s v="SECRETARIA DEL INTERIOR Y CONVIVENCIA CIUDADANAL"/>
    <x v="3"/>
    <n v="2020130010084"/>
    <x v="0"/>
    <x v="1"/>
    <x v="22"/>
    <s v="2,3,4103,1500,2020130010084"/>
    <s v="001"/>
    <s v="1,2,1,0,00-001 - ICLD"/>
    <s v="INV"/>
    <s v="NO"/>
    <s v="ASISTENCIA Y ATENCION INTEGRAL A LOS NI?OS, NI?AS,  JOVENES  Y ADOLESCENTES EN RIESGO DE VINCULACION A  ACTIVIDADES DELICTIVAS Y  AQUELLOS EN CONFLICTO CON LA LEY PENAL EN EL DISTRITO DE   CARTAGENA DE INDIAS"/>
    <x v="47"/>
    <s v="06"/>
    <s v="00"/>
    <n v="363729577"/>
    <n v="0"/>
    <n v="363729577"/>
    <n v="330374074"/>
    <n v="33355503"/>
    <n v="294210300.37"/>
    <n v="80.89"/>
    <n v="265610300.37"/>
    <n v="73.02"/>
    <n v="69519276.629999995"/>
    <n v="204645550.37"/>
  </r>
  <r>
    <n v="2022"/>
    <n v="100"/>
    <x v="7"/>
    <s v="SECRETARIA DE EDUCACION"/>
    <x v="7"/>
    <n v="2020130010085"/>
    <x v="2"/>
    <x v="6"/>
    <x v="11"/>
    <s v="2,3,2201,0700,2020130010085"/>
    <s v="071"/>
    <s v="1,2,4,1,01-071 - SGP PRESTACION EDUCATIVO"/>
    <s v="INV"/>
    <s v="NO"/>
    <s v="IMPLEMENTACION DE LA ESTRATEGIA ESCUELA DINAMICA: YO TAMBIEN LLEGO , ATENCION A POBLACION CON EXTRAEDAD EN EL  DISTRITO DE CARTAGENA DE INDIAS"/>
    <x v="48"/>
    <s v="06"/>
    <s v="00"/>
    <n v="0"/>
    <n v="9734352"/>
    <n v="9734352"/>
    <n v="6057084"/>
    <n v="3677268"/>
    <n v="6057084"/>
    <n v="62.22"/>
    <n v="6057084"/>
    <n v="62.22"/>
    <n v="3677268"/>
    <n v="6057084"/>
  </r>
  <r>
    <n v="2022"/>
    <n v="100"/>
    <x v="7"/>
    <s v="SECRETARIA DE EDUCACION"/>
    <x v="7"/>
    <n v="2020130010085"/>
    <x v="2"/>
    <x v="6"/>
    <x v="11"/>
    <s v="2,3,2201,0700,2020130010085"/>
    <s v="001"/>
    <s v="1,2,1,0,00-001 - ICLD"/>
    <s v="INV"/>
    <s v="NO"/>
    <s v="IMPLEMENTACION DE LA ESTRATEGIA ESCUELA DINAMICA: YO TAMBIEN LLEGO, ATENCION A POBLACION CON EXTRAEDAD EN EL DISTRITO DE  CARTAGENA DE INDIAS"/>
    <x v="49"/>
    <s v="06"/>
    <s v="00"/>
    <n v="1638009053"/>
    <n v="0"/>
    <n v="1638009053"/>
    <n v="1479631323.48"/>
    <n v="158377729.52000001"/>
    <n v="1479631323.48"/>
    <n v="90.33"/>
    <n v="1466858649.48"/>
    <n v="89.55"/>
    <n v="158377729.52000001"/>
    <n v="1466814449.48"/>
  </r>
  <r>
    <n v="2022"/>
    <n v="100"/>
    <x v="7"/>
    <s v="SECRETARIA DE EDUCACION"/>
    <x v="7"/>
    <n v="2020130010094"/>
    <x v="2"/>
    <x v="6"/>
    <x v="11"/>
    <s v="2,3,2201,0700,2020130010094"/>
    <s v="171"/>
    <s v="1,2,4,1,03-171 - SGP CALIDAD MATRICULA"/>
    <s v="INV"/>
    <s v="NO"/>
    <s v="FORTALECIMIENTO DE LOS AMBIENTES DE APRENDIZAJE DE LAS SEDES DE LAS INSTITUCIONES EDUCATIVAS DE  CARTAGENA DE INDIAS"/>
    <x v="50"/>
    <s v="06"/>
    <s v="00"/>
    <n v="3700000000"/>
    <n v="0"/>
    <n v="3700000000"/>
    <n v="3642916002.25"/>
    <n v="57083997.75"/>
    <n v="3642916001.9499998"/>
    <n v="98.46"/>
    <n v="2627980849.1300001"/>
    <n v="71.03"/>
    <n v="57083998.049999997"/>
    <n v="2523656007.4099998"/>
  </r>
  <r>
    <n v="2022"/>
    <n v="100"/>
    <x v="7"/>
    <s v="SECRETARIA DE EDUCACION"/>
    <x v="7"/>
    <n v="2020130010094"/>
    <x v="2"/>
    <x v="6"/>
    <x v="11"/>
    <s v="2,3,2201,0700,2020130010094"/>
    <s v="901"/>
    <s v="1,3,3,6,03-95-171 - R,B, SGP - EDUCACION - CALIDAD  POR MATRICULA OFICIAL"/>
    <s v="INV"/>
    <s v="NO"/>
    <s v="FORTALECIMIENTO DE LOS AMBIENTES DE APRENDIZAJE DE LAS SEDES DE LAS INSTITUCIONES EDUCATIVAS DE  CARTAGENA DE INDIAS"/>
    <x v="50"/>
    <s v="06"/>
    <s v="00"/>
    <n v="0"/>
    <n v="3748657.69"/>
    <n v="3748657.69"/>
    <n v="3748657"/>
    <n v="0.69"/>
    <n v="3748657"/>
    <n v="100"/>
    <n v="3748657"/>
    <n v="100"/>
    <n v="0.69"/>
    <n v="3748657"/>
  </r>
  <r>
    <n v="2022"/>
    <n v="100"/>
    <x v="7"/>
    <s v="SECRETARIA DE EDUCACION"/>
    <x v="7"/>
    <n v="2020130010094"/>
    <x v="2"/>
    <x v="6"/>
    <x v="11"/>
    <s v="2,3,2201,0700,2020130010094"/>
    <s v="001"/>
    <s v="1,2,1,0,00-001 - ICLD"/>
    <s v="INV"/>
    <s v="NO"/>
    <s v="FORTALECIMIENTO DE LOS AMBIENTES DE APRENDIZAJE DE LAS SEDES DE LAS INSTITUCIONES EDUCATIVAS DE  CARTAGENA DE INDIAS"/>
    <x v="50"/>
    <s v="06"/>
    <s v="00"/>
    <n v="2361600000"/>
    <n v="774086963.40999997"/>
    <n v="3135686963.4099998"/>
    <n v="3114590937.8600001"/>
    <n v="21096025.550000001"/>
    <n v="3114590936.9299998"/>
    <n v="99.33"/>
    <n v="2257623427.8600001"/>
    <n v="72"/>
    <n v="21096026.48"/>
    <n v="1483599244.8599999"/>
  </r>
  <r>
    <n v="2022"/>
    <n v="100"/>
    <x v="9"/>
    <s v="SECRETARIA DE PARTICIPACION Y DESARROLLO SOCIAL"/>
    <x v="9"/>
    <n v="2020130010101"/>
    <x v="3"/>
    <x v="11"/>
    <x v="23"/>
    <s v="2,3,4103,1500,2020130010101"/>
    <s v="001"/>
    <s v="1,2,1,0,00-001 - ICLD"/>
    <s v="INV"/>
    <s v="NO"/>
    <s v="FORTALECIMIENTO EMPLEO INCLUSIVO PARA LOS JOVENES-0  CARTAGENA DE INDIAS"/>
    <x v="51"/>
    <s v="06"/>
    <s v="00"/>
    <n v="80000000"/>
    <n v="0"/>
    <n v="80000000"/>
    <n v="79320000"/>
    <n v="680000"/>
    <n v="79299677.599999994"/>
    <n v="99.12"/>
    <n v="24400000"/>
    <n v="30.5"/>
    <n v="700322.4"/>
    <n v="24400000"/>
  </r>
  <r>
    <n v="2022"/>
    <n v="100"/>
    <x v="9"/>
    <s v="SECRETARIA DE PARTICIPACION Y DESARROLLO SOCIAL"/>
    <x v="9"/>
    <n v="2020130010102"/>
    <x v="3"/>
    <x v="11"/>
    <x v="24"/>
    <s v="2,3,4103,1500,2020130010102"/>
    <s v="001"/>
    <s v="1,2,1,0,00-001 - ICLD"/>
    <s v="INV"/>
    <s v="NO"/>
    <s v="FORTALECIMIENTO MUJERES CON AUTONOMIA ECONOMICA  CARTAGENA DE INDIAS"/>
    <x v="52"/>
    <s v="06"/>
    <s v="00"/>
    <n v="95000000"/>
    <n v="-18000000"/>
    <n v="77000000"/>
    <n v="77000000"/>
    <n v="0"/>
    <n v="76900000"/>
    <n v="99.87"/>
    <n v="72883333"/>
    <n v="94.65"/>
    <n v="100000"/>
    <n v="72883333"/>
  </r>
  <r>
    <n v="2022"/>
    <n v="100"/>
    <x v="9"/>
    <s v="SECRETARIA DE PARTICIPACION Y DESARROLLO SOCIAL"/>
    <x v="9"/>
    <n v="2020130010103"/>
    <x v="3"/>
    <x v="11"/>
    <x v="25"/>
    <s v="2,3,4103,1500,2020130010103"/>
    <s v="001"/>
    <s v="1,2,1,0,00-001 - ICLD"/>
    <s v="INV"/>
    <s v="NO"/>
    <s v="IMPLEMENTACION ESTRATEGIAS DE EMPRENDIMIENTO Y EMPRESARISMO PARA LA INCLUSION PRODUCTIVA Y LA VINCULACION LABORAL EN EL DISTRITO DE CARTAGENA:  CENTROS PARA EL EMPRENDIMIENTO Y LA GESTION DE LA EMPLEABILIDAD  CARTAGENA DE INDIAS"/>
    <x v="53"/>
    <s v="06"/>
    <s v="00"/>
    <n v="460000000"/>
    <n v="0"/>
    <n v="460000000"/>
    <n v="459049865"/>
    <n v="950135"/>
    <n v="450204681"/>
    <n v="97.87"/>
    <n v="138300000"/>
    <n v="30.07"/>
    <n v="9795319"/>
    <n v="131700000"/>
  </r>
  <r>
    <n v="2022"/>
    <n v="100"/>
    <x v="9"/>
    <s v="SECRETARIA DE PARTICIPACION Y DESARROLLO SOCIAL"/>
    <x v="9"/>
    <n v="2020130010110"/>
    <x v="4"/>
    <x v="12"/>
    <x v="26"/>
    <s v="2,3,4102,1500,2020130010110"/>
    <s v="001"/>
    <s v="1,2,1,0,00-001 - ICLD"/>
    <s v="INV"/>
    <s v="NO"/>
    <s v="FORTALECIMIENTO FAMILIAR  CARTAGENA DE INDIAS"/>
    <x v="54"/>
    <s v="06"/>
    <s v="00"/>
    <n v="70000000"/>
    <n v="0"/>
    <n v="70000000"/>
    <n v="61359997"/>
    <n v="8640003"/>
    <n v="53709997"/>
    <n v="76.73"/>
    <n v="46209997"/>
    <n v="66.010000000000005"/>
    <n v="16290003"/>
    <n v="10000000"/>
  </r>
  <r>
    <n v="2022"/>
    <n v="100"/>
    <x v="9"/>
    <s v="SECRETARIA DE PARTICIPACION Y DESARROLLO SOCIAL"/>
    <x v="9"/>
    <n v="2020130010112"/>
    <x v="4"/>
    <x v="12"/>
    <x v="27"/>
    <s v="2,3,4102,1500,2020130010112"/>
    <s v="001"/>
    <s v="1,2,1,0,00-001 - ICLD"/>
    <s v="INV"/>
    <s v="NO"/>
    <s v="PROTECCION DE LA INFANCIA Y LA ADOLESCENCIA PARA LA PREVENCION Y ATENCION DE VIOLENCIAS EN EL DISTRITO DE  CARTAGENA DE INDIAS"/>
    <x v="55"/>
    <s v="06"/>
    <s v="00"/>
    <n v="500000000"/>
    <n v="0"/>
    <n v="500000000"/>
    <n v="499996999.80000001"/>
    <n v="3000.2"/>
    <n v="462311755.80000001"/>
    <n v="92.46"/>
    <n v="256608159"/>
    <n v="51.32"/>
    <n v="37688244.200000003"/>
    <n v="143370000"/>
  </r>
  <r>
    <n v="2022"/>
    <n v="100"/>
    <x v="7"/>
    <s v="SECRETARIA DE EDUCACION"/>
    <x v="7"/>
    <n v="2020130010117"/>
    <x v="2"/>
    <x v="6"/>
    <x v="11"/>
    <s v="2,3,2201,0700,2020130010117"/>
    <s v="908"/>
    <s v="1,3,3,6,01-95-071 R,B, SGP-EDUCACION-PRESTACION DE SERVICIOS"/>
    <s v="INV"/>
    <s v="NO"/>
    <s v="IMPLEMENTACION DE LA ESTRATEGIA UNICOS E INAGOTABLES PARA LA ATENCION A POBLACION DIVERSA: UNA ESCUELA DE Y PARA TODAS Y TODOS, EN  CARTAGENA DE INDIAS"/>
    <x v="56"/>
    <s v="06"/>
    <s v="00"/>
    <n v="0"/>
    <n v="0"/>
    <n v="0"/>
    <n v="0"/>
    <n v="0"/>
    <n v="0"/>
    <n v="0"/>
    <n v="0"/>
    <n v="0"/>
    <n v="0"/>
    <n v="0"/>
  </r>
  <r>
    <n v="2022"/>
    <n v="100"/>
    <x v="7"/>
    <s v="SECRETARIA DE EDUCACION"/>
    <x v="7"/>
    <n v="2020130010117"/>
    <x v="2"/>
    <x v="6"/>
    <x v="11"/>
    <s v="2,3,2201,0700,2020130010117"/>
    <s v="071"/>
    <s v="1,2,4,1,01-071 - SGP PRESTACION EDUCATIVO"/>
    <s v="INV"/>
    <s v="NO"/>
    <s v="IMPLEMENTACION DE LA ESTRATEGIA UNICOS E INAGOTABLES PARA LA ATENCION A POBLACION DIVERSA: UNA ESCUELA DE Y PARA TODAS Y TODOS, EN  CARTAGENA DE INDIAS"/>
    <x v="56"/>
    <s v="06"/>
    <s v="00"/>
    <n v="2754707448"/>
    <n v="-1130734771.2"/>
    <n v="1623972676.8"/>
    <n v="1623972676.8"/>
    <n v="0"/>
    <n v="1623972676"/>
    <n v="100"/>
    <n v="1608123351"/>
    <n v="99.02"/>
    <n v="0.8"/>
    <n v="1584808878"/>
  </r>
  <r>
    <n v="2022"/>
    <n v="100"/>
    <x v="7"/>
    <s v="SECRETARIA DE EDUCACION"/>
    <x v="7"/>
    <n v="2020130010117"/>
    <x v="2"/>
    <x v="6"/>
    <x v="11"/>
    <s v="2,3,2201,0700,2020130010117"/>
    <s v="001"/>
    <s v="1,2,1,0,00-001 - ICLD"/>
    <s v="INV"/>
    <s v="NO"/>
    <s v="IMPLEMENTACION DE LA ESTRATEGIA UNICOS E INAGOTABLES PARA LA ATENCION A POBLACION DIVERSA: UNA ESCUELA DE Y PARA TODAS Y TODOS, EN  CARTAGENA DE INDIAS"/>
    <x v="56"/>
    <s v="06"/>
    <s v="00"/>
    <n v="86525385"/>
    <n v="-10172893"/>
    <n v="76352492"/>
    <n v="76352492"/>
    <n v="0"/>
    <n v="76352491.989999995"/>
    <n v="100"/>
    <n v="76352491.989999995"/>
    <n v="100"/>
    <n v="0.01"/>
    <n v="69550051.659999996"/>
  </r>
  <r>
    <n v="2022"/>
    <n v="100"/>
    <x v="9"/>
    <s v="SECRETARIA DE PARTICIPACION Y DESARROLLO SOCIAL"/>
    <x v="9"/>
    <n v="2020130010119"/>
    <x v="4"/>
    <x v="12"/>
    <x v="28"/>
    <s v="2,3,4102,1500,2020130010119"/>
    <s v="924"/>
    <s v="1,3,3,9,03-93-026 R,B, SGP-ASIGNACION-ATENCION INTEGRAL DE LA PRIMERA INFANCIA"/>
    <s v="INV"/>
    <s v="NO"/>
    <s v="COMPROMISO CON LA SALVACION DE NUESTRA PRIMERA INFANCIA EN EL DISTRITO DE CARTAGENA DE INDIAS"/>
    <x v="57"/>
    <s v="06"/>
    <s v="00"/>
    <n v="0"/>
    <n v="839280606.97000003"/>
    <n v="839280606.97000003"/>
    <n v="600222928.65999997"/>
    <n v="239057678.31"/>
    <n v="125969716.31999999"/>
    <n v="15.01"/>
    <n v="0"/>
    <n v="0"/>
    <n v="713310890.64999998"/>
    <n v="0"/>
  </r>
  <r>
    <n v="2022"/>
    <n v="100"/>
    <x v="9"/>
    <s v="SECRETARIA DE PARTICIPACION Y DESARROLLO SOCIAL"/>
    <x v="9"/>
    <n v="2020130010119"/>
    <x v="4"/>
    <x v="12"/>
    <x v="28"/>
    <s v="2,3,4102,1500,2020130010119"/>
    <s v="926"/>
    <s v="1,3,3,9,03-95-065 R,B, SGP-ASIGNACION-ATENCION INTEGRAL DE LA PRIMERA INFANCIA"/>
    <s v="INV"/>
    <s v="NO"/>
    <s v="COMPROMISO CON LA SALVACION DE NUESTRA PRIMERA INFANCIA EN EL DISTRITO DE CARTAGENA DE INDIAS"/>
    <x v="57"/>
    <s v="06"/>
    <s v="00"/>
    <n v="0"/>
    <n v="159738854.62"/>
    <n v="159738854.62"/>
    <n v="159738854.16999999"/>
    <n v="0.45"/>
    <n v="159738854.16999999"/>
    <n v="100"/>
    <n v="148236385.16999999"/>
    <n v="92.8"/>
    <n v="0.45"/>
    <n v="0"/>
  </r>
  <r>
    <n v="2022"/>
    <n v="100"/>
    <x v="9"/>
    <s v="SECRETARIA DE PARTICIPACION Y DESARROLLO SOCIAL"/>
    <x v="9"/>
    <n v="2020130010119"/>
    <x v="4"/>
    <x v="12"/>
    <x v="28"/>
    <s v="2,3,4102,1500,2020130010119"/>
    <s v="065"/>
    <s v="1,3,2,2,11-065 - RF SGP PRIMERA INFANCIA"/>
    <s v="INV"/>
    <s v="NO"/>
    <s v="COMPROMISO CON LA SALVACION DE  NUESTRA PRIMERA INFANCIA EN EL DISTRITO DE  CARTAGENA DE INDIAS"/>
    <x v="58"/>
    <s v="06"/>
    <s v="00"/>
    <n v="1"/>
    <n v="0"/>
    <n v="1"/>
    <n v="0"/>
    <n v="1"/>
    <n v="0"/>
    <n v="0"/>
    <n v="0"/>
    <n v="0"/>
    <n v="1"/>
    <n v="0"/>
  </r>
  <r>
    <n v="2022"/>
    <n v="100"/>
    <x v="9"/>
    <s v="SECRETARIA DE PARTICIPACION Y DESARROLLO SOCIAL"/>
    <x v="9"/>
    <n v="2020130010119"/>
    <x v="4"/>
    <x v="12"/>
    <x v="28"/>
    <s v="2,3,4102,1500,2020130010119"/>
    <s v="001"/>
    <s v="1,2,1,0,00-001 - ICLD"/>
    <s v="INV"/>
    <s v="NO"/>
    <s v="COMPROMISO CON LA SALVACION DE  NUESTRA PRIMERA INFANCIA EN EL DISTRITO DE  CARTAGENA DE INDIAS"/>
    <x v="58"/>
    <s v="06"/>
    <s v="00"/>
    <n v="1335000000"/>
    <n v="-120000000"/>
    <n v="1215000000"/>
    <n v="1214881741"/>
    <n v="118259"/>
    <n v="1134308739.95"/>
    <n v="93.36"/>
    <n v="966834479"/>
    <n v="79.569999999999993"/>
    <n v="80691260.049999997"/>
    <n v="885137243"/>
  </r>
  <r>
    <n v="2022"/>
    <n v="100"/>
    <x v="9"/>
    <s v="SECRETARIA DE PARTICIPACION Y DESARROLLO SOCIAL"/>
    <x v="9"/>
    <n v="2020130010119"/>
    <x v="4"/>
    <x v="12"/>
    <x v="28"/>
    <s v="2,3,4102,1500,2020130010119"/>
    <s v="925"/>
    <s v="1,3,3,9,03-93-065 R,B, SGP-ASIGNACION-ATENCION INTEGRAL DE LA PRIMERA INFANCIA"/>
    <s v="INV"/>
    <s v="NO"/>
    <s v="COMPROMISO CON LA SALVACION DE NUESTRA PRIMERA INFANCIA EN EL DISTRITO DE CARTAGENA DE INDIAS"/>
    <x v="57"/>
    <s v="06"/>
    <s v="00"/>
    <n v="0"/>
    <n v="16455153.369999999"/>
    <n v="16455153.369999999"/>
    <n v="16455153"/>
    <n v="0.37"/>
    <n v="16455153"/>
    <n v="100"/>
    <n v="0"/>
    <n v="0"/>
    <n v="0.37"/>
    <n v="0"/>
  </r>
  <r>
    <n v="2022"/>
    <n v="100"/>
    <x v="9"/>
    <s v="SECRETARIA DE PARTICIPACION Y DESARROLLO SOCIAL"/>
    <x v="9"/>
    <n v="2020130010120"/>
    <x v="4"/>
    <x v="12"/>
    <x v="29"/>
    <s v="2,3,4102,1500,2020130010120"/>
    <s v="001"/>
    <s v="1,2,1,0,00-001 - ICLD"/>
    <s v="INV"/>
    <s v="NO"/>
    <s v="LOS NINOS, LAS NINAS Y ADOLESCENTES DE CARTAGENA PARTICIPAN Y DISFRUTAN SUS DERECHOS "/>
    <x v="59"/>
    <s v="06"/>
    <s v="00"/>
    <n v="100000000"/>
    <n v="120000000"/>
    <n v="220000000"/>
    <n v="219999556"/>
    <n v="444"/>
    <n v="174375284"/>
    <n v="79.260000000000005"/>
    <n v="54376600"/>
    <n v="24.72"/>
    <n v="45624716"/>
    <n v="47700000"/>
  </r>
  <r>
    <n v="2022"/>
    <n v="100"/>
    <x v="8"/>
    <s v="DEPARTAMENTO ADMINISTRATIVO DE SALUD"/>
    <x v="8"/>
    <n v="2020130010124"/>
    <x v="2"/>
    <x v="7"/>
    <x v="14"/>
    <s v="2,3,1905,0300,2020130010124"/>
    <s v="170"/>
    <s v="1,2,4,2,02-170 - SGP SALUD PUBLICA"/>
    <s v="INV"/>
    <s v="NO"/>
    <s v="PREVENCION Y CONTROL DE LAS ENFERMEDADES INMUNOPREVENIBLES EN EL DISTRITO DE  CARTAGENA DE INDIAS"/>
    <x v="60"/>
    <s v="06"/>
    <s v="00"/>
    <n v="540800000"/>
    <n v="0"/>
    <n v="540800000"/>
    <n v="540800000"/>
    <n v="0"/>
    <n v="527673333"/>
    <n v="97.57"/>
    <n v="454673333"/>
    <n v="84.07"/>
    <n v="13126667"/>
    <n v="454673333"/>
  </r>
  <r>
    <n v="2022"/>
    <n v="100"/>
    <x v="8"/>
    <s v="DEPARTAMENTO ADMINISTRATIVO DE SALUD"/>
    <x v="8"/>
    <n v="2020130010124"/>
    <x v="2"/>
    <x v="7"/>
    <x v="14"/>
    <s v="2,3,1905,0300,2020130010124"/>
    <s v="916"/>
    <s v="1,3,3,7,02-95-170 R,B, SGP-SALUD-SALUD PUBLICA"/>
    <s v="INV"/>
    <s v="NO"/>
    <s v="PREVENCION Y CONTROL DE LAS ENFERMEDADES INMUNOPREVENIBLES EN EL DISTRITO DE  CARTAGENA DE INDIAS"/>
    <x v="60"/>
    <s v="06"/>
    <s v="00"/>
    <n v="0"/>
    <n v="1065100000"/>
    <n v="1065100000"/>
    <n v="977493332"/>
    <n v="87606668"/>
    <n v="863226662"/>
    <n v="81.05"/>
    <n v="686226662"/>
    <n v="64.430000000000007"/>
    <n v="201873338"/>
    <n v="405800000"/>
  </r>
  <r>
    <n v="2022"/>
    <n v="100"/>
    <x v="8"/>
    <s v="DEPARTAMENTO ADMINISTRATIVO DE SALUD"/>
    <x v="8"/>
    <n v="2020130010129"/>
    <x v="2"/>
    <x v="7"/>
    <x v="30"/>
    <s v="2,3,1905,0300,2020130010129"/>
    <s v="170"/>
    <s v="1,2,4,2,02-170 - SGP SALUD PUBLICA"/>
    <s v="INV"/>
    <s v="NO"/>
    <s v="FORTALECIMIENTO DE LA PROMOCION DE LA SALUD Y SEGURIDAD EN EL ENTORNO LABORAL DE LA ECONOMIA FORMAL E INFORMAL DEL DISTRITO DE  CARTAGENA DE INDIAS"/>
    <x v="61"/>
    <s v="06"/>
    <s v="00"/>
    <n v="382058179"/>
    <n v="0"/>
    <n v="382058179"/>
    <n v="382058179"/>
    <n v="0"/>
    <n v="382058179"/>
    <n v="100"/>
    <n v="263400000"/>
    <n v="68.94"/>
    <n v="0"/>
    <n v="263400000"/>
  </r>
  <r>
    <n v="2022"/>
    <n v="100"/>
    <x v="8"/>
    <s v="DEPARTAMENTO ADMINISTRATIVO DE SALUD"/>
    <x v="8"/>
    <n v="2020130010130"/>
    <x v="2"/>
    <x v="7"/>
    <x v="31"/>
    <s v="2,3,1905,0300,2020130010130"/>
    <s v="170"/>
    <s v="1,2,4,2,02-170 - SGP SALUD PUBLICA"/>
    <s v="INV"/>
    <s v="NO"/>
    <s v="FORTALECIMIENTO DE VIDA SALUDABLE Y ATENCION DE CONDICIONES CRONICAS NO TRANSMISIBLES EN EL DISTRITO DE  CARTAGENA DE INDIAS"/>
    <x v="62"/>
    <s v="06"/>
    <s v="00"/>
    <n v="418157605"/>
    <n v="0"/>
    <n v="418157605"/>
    <n v="418157605"/>
    <n v="0"/>
    <n v="418157605"/>
    <n v="100"/>
    <n v="280800000"/>
    <n v="67.150000000000006"/>
    <n v="0"/>
    <n v="277000000"/>
  </r>
  <r>
    <n v="2022"/>
    <n v="100"/>
    <x v="8"/>
    <s v="DEPARTAMENTO ADMINISTRATIVO DE SALUD"/>
    <x v="8"/>
    <n v="2020130010132"/>
    <x v="2"/>
    <x v="7"/>
    <x v="16"/>
    <s v="2,3,1903,0300,2020130010132"/>
    <s v="001"/>
    <s v="1,2,1,0,00-001 - ICLD"/>
    <s v="INV"/>
    <s v="NO"/>
    <s v="DESARROLLO INSTITUCIONAL DEL DEPARTAMENTO ADMINISTRATIVO DISTRITAL DE SALUD DE  CARTAGENA DE INDIAS"/>
    <x v="63"/>
    <s v="06"/>
    <s v="00"/>
    <n v="1125000000"/>
    <n v="0"/>
    <n v="1125000000"/>
    <n v="1115880000"/>
    <n v="9120000"/>
    <n v="1114906666"/>
    <n v="99.1"/>
    <n v="1114906666"/>
    <n v="99.1"/>
    <n v="10093334"/>
    <n v="1093200000"/>
  </r>
  <r>
    <n v="2022"/>
    <n v="100"/>
    <x v="8"/>
    <s v="DEPARTAMENTO ADMINISTRATIVO DE SALUD"/>
    <x v="8"/>
    <n v="2020130010132"/>
    <x v="2"/>
    <x v="7"/>
    <x v="16"/>
    <s v="2,3,1903,0300,2020130010132"/>
    <s v="015"/>
    <s v="1,2,3,3,07-015 - RECURSOS DEL SISTEMA DE SEGURIDAD SOCIAL INTEGRAL - SALUD"/>
    <s v="INV"/>
    <s v="NO"/>
    <s v="DESARROLLO INSTITUCIONAL DEL DEPARTAMENTO ADMINISTRATIVO DISTRITAL DE SALUD DE  CARTAGENA DE INDIAS"/>
    <x v="63"/>
    <s v="06"/>
    <s v="00"/>
    <n v="780000000"/>
    <n v="0"/>
    <n v="780000000"/>
    <n v="683561392"/>
    <n v="96438608"/>
    <n v="664101391"/>
    <n v="85.14"/>
    <n v="653601391"/>
    <n v="83.8"/>
    <n v="115898609"/>
    <n v="506100000"/>
  </r>
  <r>
    <n v="2022"/>
    <n v="100"/>
    <x v="8"/>
    <s v="DEPARTAMENTO ADMINISTRATIVO DE SALUD"/>
    <x v="8"/>
    <n v="2020130010132"/>
    <x v="2"/>
    <x v="7"/>
    <x v="16"/>
    <s v="2,3,1903,0300,2020130010132"/>
    <s v="017"/>
    <s v="1,3,2,3,02-017 - RF SISTEMA DE SEGURIDAD SOCIAL SALUD"/>
    <s v="INV"/>
    <s v="NO"/>
    <s v="DESARROLLO INSTITUCIONAL DEL DEPARTAMENTO ADMINISTRATIVO DISTRITAL DE SALUD DE  CARTAGENA DE INDIAS"/>
    <x v="63"/>
    <s v="06"/>
    <s v="00"/>
    <n v="200000000"/>
    <n v="0"/>
    <n v="200000000"/>
    <n v="48800000"/>
    <n v="151200000"/>
    <n v="48800000"/>
    <n v="24.4"/>
    <n v="48800000"/>
    <n v="24.4"/>
    <n v="151200000"/>
    <n v="48800000"/>
  </r>
  <r>
    <n v="2022"/>
    <n v="100"/>
    <x v="8"/>
    <s v="DEPARTAMENTO ADMINISTRATIVO DE SALUD"/>
    <x v="8"/>
    <n v="2020130010132"/>
    <x v="2"/>
    <x v="7"/>
    <x v="16"/>
    <s v="2,3,1903,0300,2020130010132"/>
    <s v="889"/>
    <s v="1,3,3,5,07-93-015 R,B, RECURSOS DEL SISTEMA DE SEGURIDAD SOCIAL INTEGRAL - SALUD COLJUEGOS"/>
    <s v="INV"/>
    <s v="NO"/>
    <s v="DESARROLLO INSTITUCIONAL DEL DEPARTAMENTO ADMINISTRATIVO DISTRITAL DE SALUD DE  CARTAGENA DE INDIAS"/>
    <x v="63"/>
    <s v="06"/>
    <s v="00"/>
    <n v="0"/>
    <n v="288662340"/>
    <n v="288662340"/>
    <n v="288662340"/>
    <n v="0"/>
    <n v="283405672"/>
    <n v="98.18"/>
    <n v="283405672"/>
    <n v="98.18"/>
    <n v="5256668"/>
    <n v="179100000"/>
  </r>
  <r>
    <n v="2022"/>
    <n v="100"/>
    <x v="8"/>
    <s v="DEPARTAMENTO ADMINISTRATIVO DE SALUD"/>
    <x v="8"/>
    <n v="2020130010132"/>
    <x v="2"/>
    <x v="7"/>
    <x v="16"/>
    <s v="2,3,1903,0300,2020130010132"/>
    <s v="890"/>
    <s v="1,3,3,5,07-93-016 R,B, RECURSOS DEL SISTEMA DE SEGURIDAD SOCIAL INTEGRAL - SALUD MINISTERIO DE PROTECCION SOCIAL"/>
    <s v="INV"/>
    <s v="NO"/>
    <s v="DESARROLLO INSTITUCIONAL DEL DEPARTAMENTO ADMINISTRATIVO DISTRITAL DE SALUD DE  CARTAGENA DE INDIAS"/>
    <x v="63"/>
    <s v="06"/>
    <s v="00"/>
    <n v="0"/>
    <n v="225328248"/>
    <n v="225328248"/>
    <n v="0"/>
    <n v="225328248"/>
    <n v="0"/>
    <n v="0"/>
    <n v="0"/>
    <n v="0"/>
    <n v="225328248"/>
    <n v="0"/>
  </r>
  <r>
    <n v="2022"/>
    <n v="100"/>
    <x v="8"/>
    <s v="DEPARTAMENTO ADMINISTRATIVO DE SALUD"/>
    <x v="8"/>
    <n v="2020130010132"/>
    <x v="2"/>
    <x v="7"/>
    <x v="16"/>
    <s v="2,3,1903,0300,2020130010132"/>
    <s v="893"/>
    <s v="1,3,3,5,07-95-015 R,B, RECURSOS DEL SISTEMA DE SEGURIDAD SOCIAL INTEGRAL - SALUD COLJUEGOS"/>
    <s v="INV"/>
    <s v="NO"/>
    <s v="DESARROLLO INSTITUCIONAL DEL DEPARTAMENTO ADMINISTRATIVO DISTRITAL DE SALUD DE  CARTAGENA DE INDIAS"/>
    <x v="63"/>
    <s v="06"/>
    <s v="00"/>
    <n v="0"/>
    <n v="421076084"/>
    <n v="421076084"/>
    <n v="400296666"/>
    <n v="20779418"/>
    <n v="397296666"/>
    <n v="94.35"/>
    <n v="397296666"/>
    <n v="94.35"/>
    <n v="23779418"/>
    <n v="332700000"/>
  </r>
  <r>
    <n v="2022"/>
    <n v="100"/>
    <x v="8"/>
    <s v="DEPARTAMENTO ADMINISTRATIVO DE SALUD"/>
    <x v="8"/>
    <n v="2020130010132"/>
    <x v="2"/>
    <x v="7"/>
    <x v="16"/>
    <s v="2,3,1903,0300,2020130010132"/>
    <s v="895"/>
    <s v="1,3,3,5,07-95-017 R,B, RECURSOS DEL SISTEMA DE SEGURIDAD SOCIAL INTEGRAL - SALUD Rendimientos  Financieros FLS"/>
    <s v="INV"/>
    <s v="NO"/>
    <s v="DESARROLLO INSTITUCIONAL DEL DEPARTAMENTO ADMINISTRATIVO DISTRITAL DE SALUD DE  CARTAGENA DE INDIAS"/>
    <x v="63"/>
    <s v="06"/>
    <s v="00"/>
    <n v="0"/>
    <n v="151857129"/>
    <n v="151857129"/>
    <n v="28999999"/>
    <n v="122857130"/>
    <n v="28999999"/>
    <n v="19.100000000000001"/>
    <n v="26833333"/>
    <n v="17.670000000000002"/>
    <n v="122857130"/>
    <n v="0"/>
  </r>
  <r>
    <n v="2022"/>
    <n v="100"/>
    <x v="8"/>
    <s v="DEPARTAMENTO ADMINISTRATIVO DE SALUD"/>
    <x v="8"/>
    <n v="2020130010132"/>
    <x v="2"/>
    <x v="7"/>
    <x v="16"/>
    <s v="2,3,1903,0300,2020130010132"/>
    <s v="896"/>
    <s v="1,3,3,5,07-95-049 R,B, RECURSOS DEL SISTEMA DE SEGURIDAD SOCIAL INTEGRAL - SALUD ADRES"/>
    <s v="INV"/>
    <s v="NO"/>
    <s v="DESARROLLO INSTITUCIONAL DEL DEPARTAMENTO ADMINISTRATIVO DISTRITAL DE SALUD DE  CARTAGENA DE INDIAS"/>
    <x v="63"/>
    <s v="06"/>
    <s v="00"/>
    <n v="0"/>
    <n v="134400"/>
    <n v="134400"/>
    <n v="0"/>
    <n v="134400"/>
    <n v="0"/>
    <n v="0"/>
    <n v="0"/>
    <n v="0"/>
    <n v="134400"/>
    <n v="0"/>
  </r>
  <r>
    <n v="2022"/>
    <n v="100"/>
    <x v="9"/>
    <s v="SECRETARIA DE PARTICIPACION Y DESARROLLO SOCIAL"/>
    <x v="9"/>
    <n v="2020130010133"/>
    <x v="4"/>
    <x v="13"/>
    <x v="32"/>
    <s v="2,3,4103,1500,2020130010133"/>
    <s v="850"/>
    <s v="1,3,3,3,17-93-124 RB IMPUESTO DE TRANSPORTE POR OLEODUCTOS Y GASODUCTOS"/>
    <s v="INV"/>
    <s v="NO"/>
    <s v="APOYO PARA LA ATENCION INTEGRAL A LOS ADULTOS MAYORES EN CENTROS DE VIDA Y GRUPOS ORGANIZADOS EN EL DISTRITO DE CARTAGENA DE INDIAS"/>
    <x v="64"/>
    <s v="06"/>
    <s v="00"/>
    <n v="0"/>
    <n v="2800000000"/>
    <n v="2800000000"/>
    <n v="1402732717.1199999"/>
    <n v="1397267282.8800001"/>
    <n v="1397947454.3299999"/>
    <n v="49.93"/>
    <n v="1353749424.3299999"/>
    <n v="48.35"/>
    <n v="1402052545.6700001"/>
    <n v="1353749424.3299999"/>
  </r>
  <r>
    <n v="2022"/>
    <n v="100"/>
    <x v="9"/>
    <s v="SECRETARIA DE PARTICIPACION Y DESARROLLO SOCIAL"/>
    <x v="9"/>
    <n v="2020130010133"/>
    <x v="4"/>
    <x v="13"/>
    <x v="32"/>
    <s v="2,3,4103,1500,2020130010133"/>
    <s v="854"/>
    <s v="1,3,3,3,20-95-088 R,B, ESTAMPILLA A?OS DORADOS"/>
    <s v="INV"/>
    <s v="NO"/>
    <s v="APOYO PARA LA ATENCION INTEGRAL A LOS ADULTOS MAYORES EN CENTROS DE VIDA Y GRUPOS ORGANIZADOS EN EL DISTRITO DE CARTAGENA DE INDIAS"/>
    <x v="64"/>
    <s v="06"/>
    <s v="00"/>
    <n v="0"/>
    <n v="4051990392.46"/>
    <n v="4051990392.46"/>
    <n v="3378883303"/>
    <n v="673107089.46000004"/>
    <n v="1506572089"/>
    <n v="37.18"/>
    <n v="85321659"/>
    <n v="2.11"/>
    <n v="2545418303.46"/>
    <n v="41400000"/>
  </r>
  <r>
    <n v="2022"/>
    <n v="100"/>
    <x v="9"/>
    <s v="SECRETARIA DE PARTICIPACION Y DESARROLLO SOCIAL"/>
    <x v="9"/>
    <n v="2020130010133"/>
    <x v="4"/>
    <x v="13"/>
    <x v="32"/>
    <s v="2,3,4103,1500,2020130010133"/>
    <s v="855"/>
    <s v="1,3,3,3,20-95-109 R,B, ESTAMPILLA A?OS DORADOS"/>
    <s v="INV"/>
    <s v="NO"/>
    <s v="APOYO PARA LA ATENCION INTEGRAL A LOS ADULTOS MAYORES EN CENTROS DE VIDA Y GRUPOS ORGANIZADOS EN EL DISTRITO DE CARTAGENA DE INDIAS"/>
    <x v="64"/>
    <s v="06"/>
    <s v="00"/>
    <n v="0"/>
    <n v="156090887.47999999"/>
    <n v="156090887.47999999"/>
    <n v="156090887"/>
    <n v="0.48"/>
    <n v="0"/>
    <n v="0"/>
    <n v="0"/>
    <n v="0"/>
    <n v="156090887.47999999"/>
    <n v="0"/>
  </r>
  <r>
    <n v="2022"/>
    <n v="100"/>
    <x v="9"/>
    <s v="SECRETARIA DE PARTICIPACION Y DESARROLLO SOCIAL"/>
    <x v="9"/>
    <n v="2020130010133"/>
    <x v="4"/>
    <x v="13"/>
    <x v="32"/>
    <s v="2,3,4103,1500,2020130010133"/>
    <s v="088"/>
    <s v="1,2,3,1,19-088 - ESTAMPILLAS ADULTO MAYOR"/>
    <s v="INV"/>
    <s v="NO"/>
    <s v="APOYO PARA LA ATENCION INTEGRAL A LOS ADULTOS MAYORES EN CENTROS DE VIDA Y GRUPOS ORGANIZADOS EN EL DISTRITO DE  CARTAGENA DE INDIAS"/>
    <x v="65"/>
    <s v="06"/>
    <s v="00"/>
    <n v="7765042425"/>
    <n v="0"/>
    <n v="7765042425"/>
    <n v="7355480561"/>
    <n v="409561864"/>
    <n v="6511595707.6599998"/>
    <n v="83.86"/>
    <n v="6260162879.3299999"/>
    <n v="80.62"/>
    <n v="1253446717.3399999"/>
    <n v="4585633674"/>
  </r>
  <r>
    <n v="2022"/>
    <n v="100"/>
    <x v="9"/>
    <s v="SECRETARIA DE PARTICIPACION Y DESARROLLO SOCIAL"/>
    <x v="9"/>
    <n v="2020130010133"/>
    <x v="4"/>
    <x v="13"/>
    <x v="32"/>
    <s v="2,3,4103,1500,2020130010133"/>
    <s v="109"/>
    <s v="1,3,2,3,05-109 - OTROS RENDIMIENTOS FINANCIEROS ESTAMPILLA A?OS DORADOS"/>
    <s v="INV"/>
    <s v="NO"/>
    <s v="APOYO PARA LA ATENCION INTEGRAL A LOS ADULTOS MAYORES EN CENTROS DE VIDA Y GRUPOS ORGANIZADOS EN EL DISTRITO DE  CARTAGENA DE INDIAS"/>
    <x v="65"/>
    <s v="06"/>
    <s v="00"/>
    <n v="1"/>
    <n v="0"/>
    <n v="1"/>
    <n v="0"/>
    <n v="1"/>
    <n v="0"/>
    <n v="0"/>
    <n v="0"/>
    <n v="0"/>
    <n v="1"/>
    <n v="0"/>
  </r>
  <r>
    <n v="2022"/>
    <n v="100"/>
    <x v="7"/>
    <s v="SECRETARIA DE EDUCACION"/>
    <x v="7"/>
    <n v="2020130010136"/>
    <x v="2"/>
    <x v="6"/>
    <x v="11"/>
    <s v="2,3,2201,0700,2020130010136"/>
    <s v="001"/>
    <s v="1,2,1,0,00-001 - ICLD"/>
    <s v="INV"/>
    <s v="NO"/>
    <s v="IMPLEMENTACION DE LA ESTRATEGIA UNICOS E INAGOTABLES ACOGIDA - ATENCION A JOVENES Y ADULTOS EN EL DISTRITO DE  CARTAGENA DE INDIAS"/>
    <x v="66"/>
    <s v="06"/>
    <s v="00"/>
    <n v="905827769"/>
    <n v="-37531119.670000002"/>
    <n v="868296649.33000004"/>
    <n v="868296649.33000004"/>
    <n v="0"/>
    <n v="868296649.33000004"/>
    <n v="100"/>
    <n v="864821225.33000004"/>
    <n v="99.6"/>
    <n v="0"/>
    <n v="859473218.33000004"/>
  </r>
  <r>
    <n v="2022"/>
    <n v="100"/>
    <x v="7"/>
    <s v="SECRETARIA DE EDUCACION"/>
    <x v="7"/>
    <n v="2020130010139"/>
    <x v="2"/>
    <x v="6"/>
    <x v="33"/>
    <s v="2,3,2299,0700,2020130010139"/>
    <s v="001"/>
    <s v="1,2,1,0,00-001 - ICLD"/>
    <s v="INV"/>
    <s v="NO"/>
    <s v="MODERNIZACION Y FORTALECIMIENTO DE LA GESTION EDUCATIVA DEL DISTRITO DE   CARTAGENA DE INDIAS"/>
    <x v="67"/>
    <s v="06"/>
    <s v="00"/>
    <n v="421800000"/>
    <n v="-63000000"/>
    <n v="358800000"/>
    <n v="356292028"/>
    <n v="2507972"/>
    <n v="347786549.12"/>
    <n v="96.93"/>
    <n v="313297176"/>
    <n v="87.32"/>
    <n v="11013450.880000001"/>
    <n v="298897176"/>
  </r>
  <r>
    <n v="2022"/>
    <n v="100"/>
    <x v="8"/>
    <s v="DEPARTAMENTO ADMINISTRATIVO DE SALUD"/>
    <x v="8"/>
    <n v="2020130010144"/>
    <x v="2"/>
    <x v="7"/>
    <x v="31"/>
    <s v="2,3,1905,0300,2020130010144"/>
    <s v="170"/>
    <s v="1,2,4,2,02-170 - SGP SALUD PUBLICA"/>
    <s v="INV"/>
    <s v="NO"/>
    <s v="PREVENCION Y CONTROL DE LAS ALTERACIONES DE LA SALUD ORAL  CARTAGENA DE INDIAS"/>
    <x v="68"/>
    <s v="06"/>
    <s v="00"/>
    <n v="304407584"/>
    <n v="0"/>
    <n v="304407584"/>
    <n v="302607584"/>
    <n v="1800000"/>
    <n v="302607584"/>
    <n v="99.41"/>
    <n v="203600000"/>
    <n v="66.88"/>
    <n v="1800000"/>
    <n v="203600000"/>
  </r>
  <r>
    <n v="2022"/>
    <n v="100"/>
    <x v="8"/>
    <s v="DEPARTAMENTO ADMINISTRATIVO DE SALUD"/>
    <x v="8"/>
    <n v="2020130010145"/>
    <x v="2"/>
    <x v="7"/>
    <x v="31"/>
    <s v="2,3,1905,0300,2020130010145"/>
    <s v="170"/>
    <s v="1,2,4,2,02-170 - SGP SALUD PUBLICA"/>
    <s v="INV"/>
    <s v="NO"/>
    <s v="PREVENCION Y CONTROL DE LAS ALTERACIONES DE LA SALUD VISUAL  CARTAGENA DE INDIAS"/>
    <x v="69"/>
    <s v="06"/>
    <s v="00"/>
    <n v="200464375"/>
    <n v="0"/>
    <n v="200464375"/>
    <n v="200464375"/>
    <n v="0"/>
    <n v="188464375"/>
    <n v="94.01"/>
    <n v="121200000"/>
    <n v="60.46"/>
    <n v="12000000"/>
    <n v="121200000"/>
  </r>
  <r>
    <n v="2022"/>
    <n v="100"/>
    <x v="8"/>
    <s v="DEPARTAMENTO ADMINISTRATIVO DE SALUD"/>
    <x v="8"/>
    <n v="2020130010146"/>
    <x v="2"/>
    <x v="7"/>
    <x v="31"/>
    <s v="2,3,1905,0300,2020130010146"/>
    <s v="170"/>
    <s v="1,2,4,2,02-170 - SGP SALUD PUBLICA"/>
    <s v="INV"/>
    <s v="NO"/>
    <s v="PREVENCION Y CONTROL DE SALUD AUDITIVA  CARTAGENA DE INDIAS"/>
    <x v="70"/>
    <s v="06"/>
    <s v="00"/>
    <n v="159501611"/>
    <n v="0"/>
    <n v="159501611"/>
    <n v="159501611"/>
    <n v="0"/>
    <n v="159501611"/>
    <n v="100"/>
    <n v="113400000"/>
    <n v="71.099999999999994"/>
    <n v="0"/>
    <n v="113400000"/>
  </r>
  <r>
    <n v="2022"/>
    <n v="100"/>
    <x v="8"/>
    <s v="DEPARTAMENTO ADMINISTRATIVO DE SALUD"/>
    <x v="8"/>
    <n v="2020130010150"/>
    <x v="2"/>
    <x v="7"/>
    <x v="34"/>
    <s v="2,3,1905,0300,2020130010150"/>
    <s v="170"/>
    <s v="1,2,4,2,02-170 - SGP SALUD PUBLICA"/>
    <s v="INV"/>
    <s v="NO"/>
    <s v="PREVENCION Y PROMOCION DE LA ZOONOSIS EN EL DISTRITO DE  CARTAGENA DE INDIAS"/>
    <x v="71"/>
    <s v="06"/>
    <s v="00"/>
    <n v="446402915"/>
    <n v="-54664989"/>
    <n v="391737926"/>
    <n v="391737926"/>
    <n v="0"/>
    <n v="390533572"/>
    <n v="99.69"/>
    <n v="96300000"/>
    <n v="24.58"/>
    <n v="1204354"/>
    <n v="96300000"/>
  </r>
  <r>
    <n v="2022"/>
    <n v="100"/>
    <x v="8"/>
    <s v="DEPARTAMENTO ADMINISTRATIVO DE SALUD"/>
    <x v="8"/>
    <n v="2020130010150"/>
    <x v="2"/>
    <x v="7"/>
    <x v="34"/>
    <s v="2,3,1905,0300,2020130010150"/>
    <s v="916"/>
    <s v="1,3,3,7,02-95-170 R,B, SGP-SALUD-SALUD PUBLICA"/>
    <s v="INV"/>
    <s v="NO"/>
    <s v="PREVENCION Y PROMOCION DE LA ZOONOSIS EN EL DISTRITO DE  CARTAGENA DE INDIAS"/>
    <x v="71"/>
    <s v="06"/>
    <s v="00"/>
    <n v="0"/>
    <n v="167800000"/>
    <n v="167800000"/>
    <n v="156375000"/>
    <n v="11425000"/>
    <n v="69133333"/>
    <n v="41.2"/>
    <n v="7600000"/>
    <n v="4.53"/>
    <n v="98666667"/>
    <n v="7600000"/>
  </r>
  <r>
    <n v="2022"/>
    <n v="100"/>
    <x v="8"/>
    <s v="DEPARTAMENTO ADMINISTRATIVO DE SALUD"/>
    <x v="8"/>
    <n v="2020130010151"/>
    <x v="2"/>
    <x v="7"/>
    <x v="16"/>
    <s v="2,3,1905,0300,2020130010151"/>
    <s v="170"/>
    <s v="1,2,4,2,02-170 - SGP SALUD PUBLICA"/>
    <s v="INV"/>
    <s v="NO"/>
    <s v="PROGRAMACION DE LA VIGILANCIA EN SALUD PUBLICA EN EL DISTRITO DE  CARTAGENA DE INDIAS"/>
    <x v="72"/>
    <s v="06"/>
    <s v="00"/>
    <n v="1008800000"/>
    <n v="0"/>
    <n v="1008800000"/>
    <n v="1008793620"/>
    <n v="6380"/>
    <n v="987748360"/>
    <n v="97.91"/>
    <n v="985748360"/>
    <n v="97.71"/>
    <n v="21051640"/>
    <n v="963954740"/>
  </r>
  <r>
    <n v="2022"/>
    <n v="100"/>
    <x v="10"/>
    <s v="FONDO DE VIVIENDA DE INTERES SOCIAL Y REFORMA URBANA"/>
    <x v="10"/>
    <n v="2020130010152"/>
    <x v="1"/>
    <x v="14"/>
    <x v="35"/>
    <s v="2,3,4001,1400,2020130010152"/>
    <s v="837"/>
    <s v="1,3,3,2,00-95-039 R,B, ICDE-CORVIVIENDA 15% IPU"/>
    <s v="INV"/>
    <s v="NO"/>
    <s v="APLICACION A SUBSIDIOS FAMILIARES DE VIVIENDA PARA LA POBLACION BENEFICIADA DEL PROGRAMA JUNTOS POR UNA VIVIENDA DIGNA DE LA CIUDAD DE CARTAGENA DE INDIAS"/>
    <x v="73"/>
    <s v="06"/>
    <s v="00"/>
    <n v="0"/>
    <n v="0"/>
    <n v="0"/>
    <n v="0"/>
    <n v="0"/>
    <n v="0"/>
    <n v="0"/>
    <n v="0"/>
    <n v="0"/>
    <n v="0"/>
    <n v="0"/>
  </r>
  <r>
    <n v="2022"/>
    <n v="100"/>
    <x v="10"/>
    <s v="FONDO DE VIVIENDA DE INTERES SOCIAL Y REFORMA URBANA"/>
    <x v="10"/>
    <n v="2020130010152"/>
    <x v="1"/>
    <x v="14"/>
    <x v="35"/>
    <s v="2,3,4001,1400,2020130010152"/>
    <s v="001"/>
    <s v="1,2,1,0,00-001 - ICLD"/>
    <s v="INV"/>
    <s v="NO"/>
    <s v="APLICACION A SUBSIDIOS FAMILIARES DE VIVIENDA PARA LA POBLACION BENEFICIADA DEL PROGRAMA JUNTOS POR UNA VIVIENDA DIGNA DE LA CIUDAD DE  CARTAGENA DE INDIAS"/>
    <x v="74"/>
    <s v="06"/>
    <s v="00"/>
    <n v="3744000000"/>
    <n v="0"/>
    <n v="3744000000"/>
    <n v="3744000000"/>
    <n v="0"/>
    <n v="3744000000"/>
    <n v="100"/>
    <n v="3744000000"/>
    <n v="100"/>
    <n v="0"/>
    <n v="3744000000"/>
  </r>
  <r>
    <n v="2022"/>
    <n v="100"/>
    <x v="10"/>
    <s v="FONDO DE VIVIENDA DE INTERES SOCIAL Y REFORMA URBANA"/>
    <x v="10"/>
    <n v="2020130010152"/>
    <x v="1"/>
    <x v="14"/>
    <x v="35"/>
    <s v="2,3,4001,1400,2020130010152"/>
    <s v="039"/>
    <s v="1,2,2,0,00-039 - ICDE-CORVIVIENDA 15% IPU"/>
    <s v="INV"/>
    <s v="NO"/>
    <s v="APLICACION A SUBSIDIOS FAMILIARES DE VIVIENDA PARA LA POBLACION BENEFICIADA DEL PROGRAMA JUNTOS POR UNA VIVIENDA DIGNA DE LA CIUDAD DE  CARTAGENA DE INDIAS"/>
    <x v="74"/>
    <s v="06"/>
    <s v="00"/>
    <n v="3128788736"/>
    <n v="0"/>
    <n v="3128788736"/>
    <n v="3100962736"/>
    <n v="27826000"/>
    <n v="3100962736"/>
    <n v="99.11"/>
    <n v="3100962736"/>
    <n v="99.11"/>
    <n v="27826000"/>
    <n v="3100962736"/>
  </r>
  <r>
    <n v="2022"/>
    <n v="100"/>
    <x v="10"/>
    <s v="FONDO DE VIVIENDA DE INTERES SOCIAL Y REFORMA URBANA"/>
    <x v="10"/>
    <n v="2020130010153"/>
    <x v="1"/>
    <x v="14"/>
    <x v="36"/>
    <s v="2,3,4001,1400,2020130010153"/>
    <s v="039"/>
    <s v="1,2,2,0,00-039 - ICDE-CORVIVIENDA 15% IPU"/>
    <s v="INV"/>
    <s v="NO"/>
    <s v="MEJORAMIENTO DE LAS CONDICIONES DE HABITABILIDAD PARA LA POBLACION BENEFICIADA DEL SECTOR URBANO Y RURAL DEL PROGRAMA MEJORO MI CASA, COMPROMISO DE TODOS DEL DISTRITO DE   CARTAGENA DE INDIAS"/>
    <x v="75"/>
    <s v="06"/>
    <s v="00"/>
    <n v="1804466261"/>
    <n v="0"/>
    <n v="1804466261"/>
    <n v="1782377000"/>
    <n v="22089261"/>
    <n v="1782377000"/>
    <n v="98.78"/>
    <n v="1782377000"/>
    <n v="98.78"/>
    <n v="22089261"/>
    <n v="1782377000"/>
  </r>
  <r>
    <n v="2022"/>
    <n v="100"/>
    <x v="10"/>
    <s v="FONDO DE VIVIENDA DE INTERES SOCIAL Y REFORMA URBANA"/>
    <x v="10"/>
    <n v="2020130010153"/>
    <x v="1"/>
    <x v="14"/>
    <x v="36"/>
    <s v="2,3,4001,1400,2020130010153"/>
    <s v="837"/>
    <s v="1,3,3,2,00-95-039 R,B, ICDE-CORVIVIENDA 15% IPU"/>
    <s v="INV"/>
    <s v="NO"/>
    <s v="MEJORAMIENTO DE LAS CONDICIONES DE HABITABILIDAD PARA LA POBLACION BENEFICIADA DEL SECTOR URBANO Y RURAL DEL PROGRAMA MEJORO MI CASA, COMPROMISO DE TODOS DEL DISTRITO DE   CARTAGENA DE INDIAS"/>
    <x v="75"/>
    <s v="06"/>
    <s v="00"/>
    <n v="0"/>
    <n v="3963218476.8400002"/>
    <n v="3963218476.8400002"/>
    <n v="3960824853.5300002"/>
    <n v="2393623.31"/>
    <n v="3960824853.5300002"/>
    <n v="99.94"/>
    <n v="3960824853.5300002"/>
    <n v="99.94"/>
    <n v="2393623.31"/>
    <n v="3905824853.5300002"/>
  </r>
  <r>
    <n v="2022"/>
    <n v="100"/>
    <x v="10"/>
    <s v="FONDO DE VIVIENDA DE INTERES SOCIAL Y REFORMA URBANA"/>
    <x v="10"/>
    <n v="2020130010154"/>
    <x v="1"/>
    <x v="14"/>
    <x v="37"/>
    <s v="2,3,4001,1400,2020130010154"/>
    <s v="039"/>
    <s v="1,2,2,0,00-039 - ICDE-CORVIVIENDA 15% IPU"/>
    <s v="INV"/>
    <s v="NO"/>
    <s v="Titulacion y/o legalizacion de predios para la poblacion beneficiada del programa mi casa a lo legal de la ciudad de  Cartagena de Indias"/>
    <x v="76"/>
    <s v="06"/>
    <s v="00"/>
    <n v="872345752"/>
    <n v="0"/>
    <n v="872345752"/>
    <n v="712941944"/>
    <n v="159403808"/>
    <n v="712941944"/>
    <n v="81.73"/>
    <n v="712941944"/>
    <n v="81.73"/>
    <n v="159403808"/>
    <n v="712941944"/>
  </r>
  <r>
    <n v="2022"/>
    <n v="100"/>
    <x v="10"/>
    <s v="FONDO DE VIVIENDA DE INTERES SOCIAL Y REFORMA URBANA"/>
    <x v="10"/>
    <n v="2020130010154"/>
    <x v="1"/>
    <x v="14"/>
    <x v="37"/>
    <s v="2,3,4001,1400,2020130010154"/>
    <s v="837"/>
    <s v="1,3,3,2,00-95-039 R,B, ICDE-CORVIVIENDA 15% IPU"/>
    <s v="INV"/>
    <s v="NO"/>
    <s v="TITULACION Y/O LEGALIZACION DE PREDIOS PARA LA POBLACION BENEFICIADA DEL PROGRAMA MI CASA A LO LEGAL DE LA CIUDAD DE  CARTAGENA DE INDIAS"/>
    <x v="76"/>
    <s v="06"/>
    <s v="00"/>
    <n v="0"/>
    <n v="58750337.920000002"/>
    <n v="58750337.920000002"/>
    <n v="58750337.920000002"/>
    <n v="0"/>
    <n v="58750337.920000002"/>
    <n v="100"/>
    <n v="58750337.920000002"/>
    <n v="100"/>
    <n v="0"/>
    <n v="0"/>
  </r>
  <r>
    <n v="2022"/>
    <n v="100"/>
    <x v="8"/>
    <s v="DEPARTAMENTO ADMINISTRATIVO DE SALUD"/>
    <x v="8"/>
    <n v="2020130010157"/>
    <x v="2"/>
    <x v="7"/>
    <x v="16"/>
    <s v="2,3,1903,0300,2020130010157"/>
    <s v="170"/>
    <s v="1,2,4,2,02-170 - SGP SALUD PUBLICA"/>
    <s v="INV"/>
    <s v="NO"/>
    <s v="CONTROL Y VIGILANCIA DE MEDICAMENTOS EN EL DISTRITO DE  CARTAGENA DE INDIAS"/>
    <x v="77"/>
    <s v="06"/>
    <s v="00"/>
    <n v="215658186"/>
    <n v="0"/>
    <n v="215658186"/>
    <n v="215658186"/>
    <n v="0"/>
    <n v="215000185"/>
    <n v="99.69"/>
    <n v="163941999"/>
    <n v="76.02"/>
    <n v="658001"/>
    <n v="158941999"/>
  </r>
  <r>
    <n v="2022"/>
    <n v="100"/>
    <x v="8"/>
    <s v="DEPARTAMENTO ADMINISTRATIVO DE SALUD"/>
    <x v="8"/>
    <n v="2020130010157"/>
    <x v="2"/>
    <x v="7"/>
    <x v="16"/>
    <s v="2,3,1903,0300,2020130010157"/>
    <s v="880"/>
    <s v="1,3,3,4,19-95-184 R,B, OTRAS MULTAS, SANCIONES E INTERESES DE MORA (MULTAS DADIS)"/>
    <s v="INV"/>
    <s v="NO"/>
    <s v="CONTROL Y VIGILANCIA DE MEDICAMENTOS EN EL DISTRITO DE  CARTAGENA DE INDIAS"/>
    <x v="77"/>
    <s v="06"/>
    <s v="00"/>
    <n v="0"/>
    <n v="317683"/>
    <n v="317683"/>
    <n v="0"/>
    <n v="317683"/>
    <n v="0"/>
    <n v="0"/>
    <n v="0"/>
    <n v="0"/>
    <n v="317683"/>
    <n v="0"/>
  </r>
  <r>
    <n v="2022"/>
    <n v="100"/>
    <x v="8"/>
    <s v="DEPARTAMENTO ADMINISTRATIVO DE SALUD"/>
    <x v="8"/>
    <n v="2020130010158"/>
    <x v="2"/>
    <x v="7"/>
    <x v="19"/>
    <s v="2,3,1903,0300,2020130010158"/>
    <s v="170"/>
    <s v="1,2,4,2,02-170 - SGP SALUD PUBLICA"/>
    <s v="INV"/>
    <s v="NO"/>
    <s v="CONTROL Y VIGILANCIA DE ALIMENTOS EN EL DISTRITO DE   CARTAGENA DE INDIAS"/>
    <x v="78"/>
    <s v="06"/>
    <s v="00"/>
    <n v="355680000"/>
    <n v="0"/>
    <n v="355680000"/>
    <n v="350900520"/>
    <n v="4779480"/>
    <n v="350900520"/>
    <n v="98.66"/>
    <n v="309020520"/>
    <n v="86.88"/>
    <n v="4779480"/>
    <n v="309020520"/>
  </r>
  <r>
    <n v="2022"/>
    <n v="100"/>
    <x v="4"/>
    <s v="DESPACHO DEL ALCALDE"/>
    <x v="4"/>
    <n v="2020130010160"/>
    <x v="1"/>
    <x v="10"/>
    <x v="38"/>
    <s v="2,3,2499,0600,2020130010160"/>
    <s v="865"/>
    <s v="1,3,3,4,16-93-100 RB OTRAS TASAS Y DERECHOS ADMINISTRATIVOS APROVECHAMIENTO ESPACIO PUBLICO"/>
    <s v="INV"/>
    <s v="NO"/>
    <s v="DISE?O DE PLAN INTEGRAL PARA MEJORAR LA MOVILIDAD EN  CARTAGENA DE INDIAS"/>
    <x v="79"/>
    <s v="06"/>
    <s v="00"/>
    <n v="0"/>
    <n v="36574407.549999997"/>
    <n v="36574407.549999997"/>
    <n v="36574400"/>
    <n v="7.55"/>
    <n v="36574400"/>
    <n v="100"/>
    <n v="0"/>
    <n v="0"/>
    <n v="7.55"/>
    <n v="0"/>
  </r>
  <r>
    <n v="2022"/>
    <n v="100"/>
    <x v="4"/>
    <s v="DESPACHO DEL ALCALDE"/>
    <x v="4"/>
    <n v="2020130010160"/>
    <x v="1"/>
    <x v="10"/>
    <x v="38"/>
    <s v="2,3,2499,0600,2020130010160"/>
    <s v="871"/>
    <s v="1,3,3,4,16-95-100 RB OTRAS TASAS Y DERECHOS ADMINISTRATIVOS APROVECHAMIENTO ESPACIO PUBLICO"/>
    <s v="INV"/>
    <s v="NO"/>
    <s v="DISE?O DE PLAN INTEGRAL PARA MEJORAR LA MOVILIDAD EN  CARTAGENA DE INDIAS"/>
    <x v="79"/>
    <s v="06"/>
    <s v="00"/>
    <n v="0"/>
    <n v="17626955.23"/>
    <n v="17626955.23"/>
    <n v="10528290"/>
    <n v="7098665.2300000004"/>
    <n v="10528290"/>
    <n v="59.73"/>
    <n v="0"/>
    <n v="0"/>
    <n v="7098665.2300000004"/>
    <n v="0"/>
  </r>
  <r>
    <n v="2022"/>
    <n v="100"/>
    <x v="4"/>
    <s v="DESPACHO DEL ALCALDE"/>
    <x v="4"/>
    <n v="2020130010160"/>
    <x v="1"/>
    <x v="10"/>
    <x v="38"/>
    <s v="2,3,2499,0600,2020130010160"/>
    <s v="100"/>
    <s v="1,2,3,2,05-100 - OTRAS TASAS Y DERECHOS ADMINISTRATIVOS APROVECHAMIENTO ESPACIO PUBLICO"/>
    <s v="INV"/>
    <s v="NO"/>
    <s v="DISE?O DE PLAN INTEGRAL PARA MEJORAR LA MOVILIDAD EN  CARTAGENA DE INDIAS"/>
    <x v="79"/>
    <s v="06"/>
    <s v="00"/>
    <n v="83493950"/>
    <n v="0"/>
    <n v="83493950"/>
    <n v="83493950"/>
    <n v="0"/>
    <n v="83493950"/>
    <n v="100"/>
    <n v="0"/>
    <n v="0"/>
    <n v="0"/>
    <n v="0"/>
  </r>
  <r>
    <n v="2022"/>
    <n v="100"/>
    <x v="4"/>
    <s v="DESPACHO DEL ALCALDE"/>
    <x v="4"/>
    <n v="2020130010160"/>
    <x v="1"/>
    <x v="10"/>
    <x v="38"/>
    <s v="2,3,2499,0600,2020130010160"/>
    <s v="001"/>
    <s v="1,2,1,0,00-001 - ICLD"/>
    <s v="INV"/>
    <s v="NO"/>
    <s v="DISE?O DE PLAN INTEGRAL PARA MEJORAR LA MOVILIDAD EN  CARTAGENA DE INDIAS"/>
    <x v="79"/>
    <s v="06"/>
    <s v="00"/>
    <n v="415400587"/>
    <n v="595002782"/>
    <n v="1010403369"/>
    <n v="1010403360"/>
    <n v="9"/>
    <n v="1010403360"/>
    <n v="100"/>
    <n v="88000000"/>
    <n v="8.7100000000000009"/>
    <n v="9"/>
    <n v="66000000"/>
  </r>
  <r>
    <n v="2022"/>
    <n v="100"/>
    <x v="7"/>
    <s v="SECRETARIA DE EDUCACION"/>
    <x v="7"/>
    <n v="2020130010162"/>
    <x v="2"/>
    <x v="6"/>
    <x v="39"/>
    <s v="2,3,2201,0700,2020130010162"/>
    <s v="901"/>
    <s v="1,3,3,6,03-95-171 - R,B, SGP - EDUCACION - CALIDAD  POR MATRICULA OFICIAL"/>
    <s v="INV"/>
    <s v="NO"/>
    <s v="MEJORAMIENTO DEL PROCESO FORMATIVO DE LA EDUCACION MEDIA TECNICA OFICIAL EN LAS IEO  DESARROLLO DE POTENCIALIDADES PRODUCTIVAS DE   CARTAGENA DE INDIAS"/>
    <x v="80"/>
    <s v="06"/>
    <s v="00"/>
    <n v="0"/>
    <n v="646298651"/>
    <n v="646298651"/>
    <n v="150030650"/>
    <n v="496268001"/>
    <n v="150030650"/>
    <n v="23.21"/>
    <n v="150030650"/>
    <n v="23.21"/>
    <n v="496268001"/>
    <n v="99849958"/>
  </r>
  <r>
    <n v="2022"/>
    <n v="100"/>
    <x v="7"/>
    <s v="SECRETARIA DE EDUCACION"/>
    <x v="7"/>
    <n v="2020130010162"/>
    <x v="2"/>
    <x v="6"/>
    <x v="39"/>
    <s v="2,3,2201,0700,2020130010162"/>
    <s v="001"/>
    <s v="1,2,1,0,00-001 - ICLD"/>
    <s v="INV"/>
    <s v="NO"/>
    <s v="MEJORAMIENTO DEL PROCESO FORMATIVO DE LA EDUCACION MEDIA TECNICA OFICIAL EN LAS IEO  DESARROLLO DE POTENCIALIDADES PRODUCTIVAS DE   CARTAGENA DE INDIAS"/>
    <x v="80"/>
    <s v="06"/>
    <s v="00"/>
    <n v="432000000"/>
    <n v="44000000"/>
    <n v="476000000"/>
    <n v="476000000"/>
    <n v="0"/>
    <n v="350185833"/>
    <n v="73.569999999999993"/>
    <n v="347652500"/>
    <n v="73.040000000000006"/>
    <n v="125814167"/>
    <n v="266100000"/>
  </r>
  <r>
    <n v="2022"/>
    <n v="100"/>
    <x v="6"/>
    <s v="INSTITUTO DE PATRIMONIO Y CULTURA DE CARTAGENA DE INDIAS"/>
    <x v="6"/>
    <n v="2020130010163"/>
    <x v="2"/>
    <x v="5"/>
    <x v="40"/>
    <s v="2,3,3399,1603,2020130010163"/>
    <s v="001"/>
    <s v="1,2,1,0,00-001 - ICLD"/>
    <s v="INV"/>
    <s v="NO"/>
    <s v="PROTECCION Y GARANTIA DE LOS DERECHOS CULTURALES EN EL DISTRITO DE  CARTAGENA DE INDIAS"/>
    <x v="81"/>
    <s v="06"/>
    <s v="00"/>
    <n v="80457249"/>
    <n v="0"/>
    <n v="80457249"/>
    <n v="80457249"/>
    <n v="0"/>
    <n v="80457249"/>
    <n v="100"/>
    <n v="80457249"/>
    <n v="100"/>
    <n v="0"/>
    <n v="33220798"/>
  </r>
  <r>
    <n v="2022"/>
    <n v="100"/>
    <x v="6"/>
    <s v="INSTITUTO DE PATRIMONIO Y CULTURA DE CARTAGENA DE INDIAS"/>
    <x v="6"/>
    <n v="2020130010163"/>
    <x v="2"/>
    <x v="5"/>
    <x v="40"/>
    <s v="2,3,3399,1603,2020130010163"/>
    <s v="057"/>
    <s v="1,2,4,3,02-057 - SGP CULTURA"/>
    <s v="INV"/>
    <s v="NO"/>
    <s v="PROTECCION Y GARANTIA DE LOS DERECHOS CULTURALES EN EL DISTRITO DE  CARTAGENA DE INDIAS"/>
    <x v="81"/>
    <s v="06"/>
    <s v="00"/>
    <n v="117233509"/>
    <n v="0"/>
    <n v="117233509"/>
    <n v="52759626.159999996"/>
    <n v="64473882.840000004"/>
    <n v="52759626.159999996"/>
    <n v="45"/>
    <n v="33220708"/>
    <n v="28.34"/>
    <n v="64473882.840000004"/>
    <n v="0"/>
  </r>
  <r>
    <n v="2022"/>
    <n v="100"/>
    <x v="6"/>
    <s v="INSTITUTO DE PATRIMONIO Y CULTURA DE CARTAGENA DE INDIAS"/>
    <x v="6"/>
    <n v="2020130010163"/>
    <x v="2"/>
    <x v="5"/>
    <x v="40"/>
    <s v="2,3,3399,1603,2020130010163"/>
    <s v="082"/>
    <s v="1,2,3,1,19-082 - ESTAMPILLAS PROCULTURA"/>
    <s v="INV"/>
    <s v="NO"/>
    <s v="PROTECCION Y GARANTIA DE LOS DERECHOS CULTURALES EN EL DISTRITO DE  CARTAGENA DE INDIAS"/>
    <x v="81"/>
    <s v="06"/>
    <s v="00"/>
    <n v="645653440"/>
    <n v="0"/>
    <n v="645653440"/>
    <n v="0"/>
    <n v="645653440"/>
    <n v="0"/>
    <n v="0"/>
    <n v="0"/>
    <n v="0"/>
    <n v="645653440"/>
    <n v="0"/>
  </r>
  <r>
    <n v="2022"/>
    <n v="100"/>
    <x v="8"/>
    <s v="DEPARTAMENTO ADMINISTRATIVO DE SALUD"/>
    <x v="8"/>
    <n v="2020130010164"/>
    <x v="2"/>
    <x v="7"/>
    <x v="14"/>
    <s v="2,3,1905,0300,2020130010164"/>
    <s v="016"/>
    <s v="1,2,3,3,07-016 - RECURSOS DEL SISTEMA DE SEGURIDAD SOCIAL INTEGRAL - SALUD"/>
    <s v="INV"/>
    <s v="NO"/>
    <s v="PREVENCION, PROMOCION , VIGILANCIA Y CONTROL DE ENFERMEDADES DE TRANSMISION VECTORIAL EN EL DISTRITO DE CARTAGENA DE INDIAS"/>
    <x v="82"/>
    <s v="06"/>
    <s v="00"/>
    <n v="629512436"/>
    <n v="-15224809"/>
    <n v="614287627"/>
    <n v="614287627"/>
    <n v="0"/>
    <n v="614287627"/>
    <n v="100"/>
    <n v="614287627"/>
    <n v="100"/>
    <n v="0"/>
    <n v="501706185"/>
  </r>
  <r>
    <n v="2022"/>
    <n v="100"/>
    <x v="8"/>
    <s v="DEPARTAMENTO ADMINISTRATIVO DE SALUD"/>
    <x v="8"/>
    <n v="2020130010164"/>
    <x v="2"/>
    <x v="7"/>
    <x v="14"/>
    <s v="2,3,1905,0300,2020130010164"/>
    <s v="170"/>
    <s v="1,2,4,2,02-170 - SGP SALUD PUBLICA"/>
    <s v="INV"/>
    <s v="NO"/>
    <s v="PREVENCION, PROMOCION , VIGILANCIA Y CONTROL DE ENFERMEDADES DE TRANSMISION VECTORIAL EN EL DISTRITO DE CARTAGENA DE INDIAS"/>
    <x v="82"/>
    <s v="06"/>
    <s v="00"/>
    <n v="808197817"/>
    <n v="0"/>
    <n v="808197817"/>
    <n v="803597817"/>
    <n v="4600000"/>
    <n v="529361712"/>
    <n v="65.5"/>
    <n v="355361712"/>
    <n v="43.97"/>
    <n v="278836105"/>
    <n v="350361712"/>
  </r>
  <r>
    <n v="2022"/>
    <n v="100"/>
    <x v="8"/>
    <s v="DEPARTAMENTO ADMINISTRATIVO DE SALUD"/>
    <x v="8"/>
    <n v="2020130010164"/>
    <x v="2"/>
    <x v="7"/>
    <x v="14"/>
    <s v="2,3,1905,0300,2020130010164"/>
    <s v="890"/>
    <s v="1,3,3,5,07-93-016 R,B, RECURSOS DEL SISTEMA DE SEGURIDAD SOCIAL INTEGRAL - SALUD MINISTERIO DE PROTECCION SOCIAL"/>
    <s v="INV"/>
    <s v="NO"/>
    <s v="PREVENCION, PROMOCION, VIGILANCIA Y CONTROL DE ENFERMEDADES DE TRANSMISION VECTORIAL EN EL DISTRITO DE CARTAGENA DE INDIAS"/>
    <x v="83"/>
    <s v="06"/>
    <s v="00"/>
    <n v="0"/>
    <n v="139465828"/>
    <n v="139465828"/>
    <n v="1476840"/>
    <n v="137988988"/>
    <n v="1476840"/>
    <n v="1.06"/>
    <n v="1476840"/>
    <n v="1.06"/>
    <n v="137988988"/>
    <n v="0"/>
  </r>
  <r>
    <n v="2022"/>
    <n v="100"/>
    <x v="8"/>
    <s v="DEPARTAMENTO ADMINISTRATIVO DE SALUD"/>
    <x v="8"/>
    <n v="2020130010164"/>
    <x v="2"/>
    <x v="7"/>
    <x v="14"/>
    <s v="2,3,1905,0300,2020130010164"/>
    <s v="891"/>
    <s v="1,3,3,5,07-93-017 R,B, RECURSOS DEL SISTEMA DE SEGURIDAD SOCIAL INTEGRAL - SALUD Rendimientos  Financieros FLS"/>
    <s v="INV"/>
    <s v="NO"/>
    <s v="PREVENCION, PROMOCION, VIGILANCIA Y CONTROL DE ENFERMEDADES DE TRANSMISION VECTORIAL EN EL DISTRITO DE CARTAGENA DE INDIAS"/>
    <x v="83"/>
    <s v="06"/>
    <s v="00"/>
    <n v="0"/>
    <n v="52992643"/>
    <n v="52992643"/>
    <n v="0"/>
    <n v="52992643"/>
    <n v="0"/>
    <n v="0"/>
    <n v="0"/>
    <n v="0"/>
    <n v="52992643"/>
    <n v="0"/>
  </r>
  <r>
    <n v="2022"/>
    <n v="100"/>
    <x v="8"/>
    <s v="DEPARTAMENTO ADMINISTRATIVO DE SALUD"/>
    <x v="8"/>
    <n v="2020130010164"/>
    <x v="2"/>
    <x v="7"/>
    <x v="14"/>
    <s v="2,3,1905,0300,2020130010164"/>
    <s v="894"/>
    <s v="1,3,3,5,07-95-016 R,B, RECURSOS DEL SISTEMA DE SEGURIDAD SOCIAL INTEGRAL - SALUD MINISTERIO DE PROTECCION SOCIAL"/>
    <s v="INV"/>
    <s v="NO"/>
    <s v="PREVENCION, PROMOCION, VIGILANCIA Y CONTROL DE ENFERMEDADES DE TRANSMISION VECTORIAL EN EL DISTRITO DE CARTAGENA DE INDIAS"/>
    <x v="83"/>
    <s v="06"/>
    <s v="00"/>
    <n v="0"/>
    <n v="48240299"/>
    <n v="48240299"/>
    <n v="48240299"/>
    <n v="0"/>
    <n v="48240299"/>
    <n v="100"/>
    <n v="48240299"/>
    <n v="100"/>
    <n v="0"/>
    <n v="48240299"/>
  </r>
  <r>
    <n v="2022"/>
    <n v="100"/>
    <x v="8"/>
    <s v="DEPARTAMENTO ADMINISTRATIVO DE SALUD"/>
    <x v="8"/>
    <n v="2020130010164"/>
    <x v="2"/>
    <x v="7"/>
    <x v="14"/>
    <s v="2,3,1905,0300,2020130010164"/>
    <s v="916"/>
    <s v="1,3,3,7,02-95-170 R,B, SGP-SALUD-SALUD PUBLICA"/>
    <s v="INV"/>
    <s v="NO"/>
    <s v="PREVENCION, PROMOCION, VIGILANCIA Y CONTROL DE ENFERMEDADES DE TRANSMISION VECTORIAL EN EL DISTRITO DE CARTAGENA DE INDIAS"/>
    <x v="83"/>
    <s v="06"/>
    <s v="00"/>
    <n v="0"/>
    <n v="765414745"/>
    <n v="765414745"/>
    <n v="758281412"/>
    <n v="7133333"/>
    <n v="671962744"/>
    <n v="87.79"/>
    <n v="379581332"/>
    <n v="49.59"/>
    <n v="93452001"/>
    <n v="175600000"/>
  </r>
  <r>
    <n v="2022"/>
    <n v="100"/>
    <x v="7"/>
    <s v="SECRETARIA DE EDUCACION"/>
    <x v="7"/>
    <n v="2020130010165"/>
    <x v="2"/>
    <x v="6"/>
    <x v="33"/>
    <s v="2,3,2299,0700,2020130010165"/>
    <s v="001"/>
    <s v="1,2,1,0,00-001 - ICLD"/>
    <s v="INV"/>
    <s v="NO"/>
    <s v="MEJORAMIENTO DEL BIENESTAR Y PROTECCION DE LOS FUNCIONARIOS DE LA SECRETARIA DE EDUCACION DISTRITAL  PARA CONTRIBUIR A UNA MEJOR CALIDAD DE VIDA EN EL DISTRITO DE  CARTAGENA DE INDIAS"/>
    <x v="84"/>
    <s v="06"/>
    <s v="00"/>
    <n v="828000000"/>
    <n v="490000000"/>
    <n v="1318000000"/>
    <n v="1314536921.9000001"/>
    <n v="3463078.1"/>
    <n v="905464687.20000005"/>
    <n v="68.7"/>
    <n v="492437081.35000002"/>
    <n v="37.36"/>
    <n v="412535312.80000001"/>
    <n v="382437082.89999998"/>
  </r>
  <r>
    <n v="2022"/>
    <n v="100"/>
    <x v="8"/>
    <s v="DEPARTAMENTO ADMINISTRATIVO DE SALUD"/>
    <x v="8"/>
    <n v="2020130010166"/>
    <x v="2"/>
    <x v="7"/>
    <x v="41"/>
    <s v="2,3,1905,0300,2020130010166"/>
    <s v="170"/>
    <s v="1,2,4,2,02-170 - SGP SALUD PUBLICA"/>
    <s v="INV"/>
    <s v="NO"/>
    <s v="PREVENCION EN SALUD MENTAL EN EL DISTRITO DE  CARTAGENA DE INDIAS"/>
    <x v="85"/>
    <s v="06"/>
    <s v="00"/>
    <n v="624000000"/>
    <n v="0"/>
    <n v="624000000"/>
    <n v="616300000"/>
    <n v="7700000"/>
    <n v="616300000"/>
    <n v="98.77"/>
    <n v="261800000"/>
    <n v="41.96"/>
    <n v="7700000"/>
    <n v="261800000"/>
  </r>
  <r>
    <n v="2022"/>
    <n v="100"/>
    <x v="8"/>
    <s v="DEPARTAMENTO ADMINISTRATIVO DE SALUD"/>
    <x v="8"/>
    <n v="2020130010166"/>
    <x v="2"/>
    <x v="7"/>
    <x v="41"/>
    <s v="2,3,1905,0300,2020130010166"/>
    <s v="894"/>
    <s v="1,3,3,5,07-95-016 R,B, RECURSOS DEL SISTEMA DE SEGURIDAD SOCIAL INTEGRAL - SALUD MINISTERIO DE PROTECCION SOCIAL"/>
    <s v="INV"/>
    <s v="NO"/>
    <s v="PREVENCION EN SALUD MENTAL EN EL DISTRITO DE  CARTAGENA DE INDIAS"/>
    <x v="85"/>
    <s v="06"/>
    <s v="00"/>
    <n v="0"/>
    <n v="15020000"/>
    <n v="15020000"/>
    <n v="0"/>
    <n v="15020000"/>
    <n v="0"/>
    <n v="0"/>
    <n v="0"/>
    <n v="0"/>
    <n v="15020000"/>
    <n v="0"/>
  </r>
  <r>
    <n v="2022"/>
    <n v="100"/>
    <x v="9"/>
    <s v="SECRETARIA DE PARTICIPACION Y DESARROLLO SOCIAL"/>
    <x v="9"/>
    <n v="2020130010168"/>
    <x v="4"/>
    <x v="15"/>
    <x v="42"/>
    <s v="2,3,4199,1500,2020130010168"/>
    <s v="001"/>
    <s v="1,2,1,0,00-001 - ICLD"/>
    <s v="INV"/>
    <s v="NO"/>
    <s v="FORMULACION E IMPLEMENTACION DE LA POLITICA PUBLICA DE JUVENTUD EN  CARTAGENA DE INDIAS"/>
    <x v="86"/>
    <s v="06"/>
    <s v="00"/>
    <n v="70000000"/>
    <n v="0"/>
    <n v="70000000"/>
    <n v="69999557"/>
    <n v="443"/>
    <n v="69999440"/>
    <n v="100"/>
    <n v="0"/>
    <n v="0"/>
    <n v="560"/>
    <n v="0"/>
  </r>
  <r>
    <n v="2022"/>
    <n v="100"/>
    <x v="8"/>
    <s v="DEPARTAMENTO ADMINISTRATIVO DE SALUD"/>
    <x v="8"/>
    <n v="2020130010169"/>
    <x v="2"/>
    <x v="7"/>
    <x v="34"/>
    <s v="2,3,1905,0300,2020130010169"/>
    <s v="170"/>
    <s v="1,2,4,2,02-170 - SGP SALUD PUBLICA"/>
    <s v="INV"/>
    <s v="NO"/>
    <s v="CONTROL Y VIGILANCIA DE LA CALIDAD DEL AGUA PARA CONSUMO HUMANO Y DE DIVERSION EN EL DISTRITO DE  CARTAGENA DE INDIAS"/>
    <x v="87"/>
    <s v="06"/>
    <s v="00"/>
    <n v="225689093"/>
    <n v="0"/>
    <n v="225689093"/>
    <n v="225689093"/>
    <n v="0"/>
    <n v="225689093"/>
    <n v="100"/>
    <n v="175400000"/>
    <n v="77.72"/>
    <n v="0"/>
    <n v="171600000"/>
  </r>
  <r>
    <n v="2022"/>
    <n v="100"/>
    <x v="9"/>
    <s v="SECRETARIA DE PARTICIPACION Y DESARROLLO SOCIAL"/>
    <x v="9"/>
    <n v="2020130010170"/>
    <x v="4"/>
    <x v="15"/>
    <x v="43"/>
    <s v="2,3,4102,1500,2020130010170"/>
    <s v="001"/>
    <s v="1,2,1,0,00-001 - ICLD"/>
    <s v="INV"/>
    <s v="NO"/>
    <s v="FORTALECIMIENTO AL PROGRAMA JOVENES PARTICIPANDO Y SALVANDO A  CARTAGENA DE INDIAS"/>
    <x v="88"/>
    <s v="06"/>
    <s v="00"/>
    <n v="200000000"/>
    <n v="0"/>
    <n v="200000000"/>
    <n v="199416175"/>
    <n v="583825"/>
    <n v="170174188.66999999"/>
    <n v="85.09"/>
    <n v="106510133.67"/>
    <n v="53.26"/>
    <n v="29825811.329999998"/>
    <n v="73766666.670000002"/>
  </r>
  <r>
    <n v="2022"/>
    <n v="100"/>
    <x v="8"/>
    <s v="DEPARTAMENTO ADMINISTRATIVO DE SALUD"/>
    <x v="8"/>
    <n v="2020130010173"/>
    <x v="2"/>
    <x v="7"/>
    <x v="14"/>
    <s v="2,3,1905,0300,2020130010173"/>
    <s v="170"/>
    <s v="1,2,4,2,02-170 - SGP SALUD PUBLICA"/>
    <s v="INV"/>
    <s v="NO"/>
    <s v="PREVENCION , MANEJO Y CONTROL DE LA INFECCION RESPIRATORIA AGUDA EN NI?OS Y NI?AS MENORES DE CINCO A?OS EN  CARTAGENA DE INDIAS"/>
    <x v="89"/>
    <s v="06"/>
    <s v="00"/>
    <n v="292240000"/>
    <n v="0"/>
    <n v="292240000"/>
    <n v="292240000"/>
    <n v="0"/>
    <n v="292240000"/>
    <n v="100"/>
    <n v="185200000"/>
    <n v="63.37"/>
    <n v="0"/>
    <n v="185200000"/>
  </r>
  <r>
    <n v="2022"/>
    <n v="100"/>
    <x v="8"/>
    <s v="DEPARTAMENTO ADMINISTRATIVO DE SALUD"/>
    <x v="8"/>
    <n v="2020130010173"/>
    <x v="2"/>
    <x v="7"/>
    <x v="14"/>
    <s v="2,3,1905,0300,2020130010173"/>
    <s v="916"/>
    <s v="1,3,3,7,02-95-170 R,B, SGP-SALUD-SALUD PUBLICA"/>
    <s v="INV"/>
    <s v="NO"/>
    <s v="PREVENCION, MANEJO Y CONTROL DE LA INFECCION RESPIRATORIA AGUDA EN NI?OS Y NI?AS MENORES DE CINCO A?OS EN  CARTAGENA DE INDIAS"/>
    <x v="90"/>
    <s v="06"/>
    <s v="00"/>
    <n v="0"/>
    <n v="185435106"/>
    <n v="185435106"/>
    <n v="185435106"/>
    <n v="0"/>
    <n v="184041772"/>
    <n v="99.25"/>
    <n v="59406666"/>
    <n v="32.04"/>
    <n v="1393334"/>
    <n v="41800000"/>
  </r>
  <r>
    <n v="2022"/>
    <n v="100"/>
    <x v="8"/>
    <s v="DEPARTAMENTO ADMINISTRATIVO DE SALUD"/>
    <x v="8"/>
    <n v="2020130010175"/>
    <x v="2"/>
    <x v="7"/>
    <x v="34"/>
    <s v="2,3,1905,0300,2020130010175"/>
    <s v="170"/>
    <s v="1,2,4,2,02-170 - SGP SALUD PUBLICA"/>
    <s v="INV"/>
    <s v="NO"/>
    <s v="SANEAMIENTO EN SEGURIDAD SANITARIA DEL AMBIENTE  CARTAGENA DE INDIAS"/>
    <x v="91"/>
    <s v="06"/>
    <s v="00"/>
    <n v="236458187"/>
    <n v="0"/>
    <n v="236458187"/>
    <n v="235400000"/>
    <n v="1058187"/>
    <n v="233120000"/>
    <n v="98.59"/>
    <n v="149520000"/>
    <n v="63.23"/>
    <n v="3338187"/>
    <n v="136600000"/>
  </r>
  <r>
    <n v="2022"/>
    <n v="100"/>
    <x v="8"/>
    <s v="DEPARTAMENTO ADMINISTRATIVO DE SALUD"/>
    <x v="8"/>
    <n v="2020130010177"/>
    <x v="2"/>
    <x v="7"/>
    <x v="44"/>
    <s v="2,3,1905,0300,2020130010177"/>
    <s v="170"/>
    <s v="1,2,4,2,02-170 - SGP SALUD PUBLICA"/>
    <s v="INV"/>
    <s v="NO"/>
    <s v="PREVENCION Y PROMOCION DE LA SALUD INFANTIL EN EL DISTRITO DE CARTAGENA DE INDIAS"/>
    <x v="92"/>
    <s v="06"/>
    <s v="00"/>
    <n v="315952000"/>
    <n v="0"/>
    <n v="315952000"/>
    <n v="315952000"/>
    <n v="0"/>
    <n v="315952000"/>
    <n v="100"/>
    <n v="220800000"/>
    <n v="69.88"/>
    <n v="0"/>
    <n v="218400000"/>
  </r>
  <r>
    <n v="2022"/>
    <n v="100"/>
    <x v="11"/>
    <s v="ESTABLECIMIENTO PUBLICO AMBIENTAL-EPA"/>
    <x v="11"/>
    <n v="2020130010179"/>
    <x v="1"/>
    <x v="16"/>
    <x v="45"/>
    <s v="2,3,3201,0900,2020130010179"/>
    <s v="001"/>
    <s v="1,2,1,0,00-001 - ICLD"/>
    <s v="INV"/>
    <s v="NO"/>
    <s v="GENERACION DE NEGOCIOS VERDES, ECONOMIA CIRCULAR, PRODUCCION Y CONSUMO SOSTENIBLE, NEGOCIOS VERDES INCLUSIVOS EN LA CIUDAD DE   CARTAGENA DE INDIAS"/>
    <x v="93"/>
    <s v="06"/>
    <s v="00"/>
    <n v="150000000"/>
    <n v="0"/>
    <n v="150000000"/>
    <n v="150000000"/>
    <n v="0"/>
    <n v="150000000"/>
    <n v="100"/>
    <n v="150000000"/>
    <n v="100"/>
    <n v="0"/>
    <n v="150000000"/>
  </r>
  <r>
    <n v="2022"/>
    <n v="100"/>
    <x v="11"/>
    <s v="ESTABLECIMIENTO PUBLICO AMBIENTAL-EPA"/>
    <x v="11"/>
    <n v="2020130010183"/>
    <x v="1"/>
    <x v="16"/>
    <x v="46"/>
    <s v="2,3,3299,0900,2020130010183"/>
    <s v="935"/>
    <s v="1,3,3,4,02-93-031- R,B, CONTRIBUCION DEL SECTOR ELECTRICO"/>
    <s v="INV"/>
    <s v="NO"/>
    <s v="IMPLEMENTACION DEL SISTEMA DE MONITOREO INTELIGENTE AMBIENTAL CARTAGENA DE INDIAS"/>
    <x v="94"/>
    <s v="06"/>
    <s v="00"/>
    <n v="0"/>
    <n v="455945541"/>
    <n v="455945541"/>
    <n v="0"/>
    <n v="455945541"/>
    <n v="0"/>
    <n v="0"/>
    <n v="0"/>
    <n v="0"/>
    <n v="455945541"/>
    <n v="0"/>
  </r>
  <r>
    <n v="2022"/>
    <n v="100"/>
    <x v="11"/>
    <s v="ESTABLECIMIENTO PUBLICO AMBIENTAL-EPA"/>
    <x v="11"/>
    <n v="2020130010183"/>
    <x v="1"/>
    <x v="16"/>
    <x v="46"/>
    <s v="2,3,3299,0900,2020130010183"/>
    <s v="937"/>
    <s v="1,3,3,4,04-93-014 - R,B, TASAS RETRIBUTIVAS"/>
    <s v="INV"/>
    <s v="NO"/>
    <s v="IMPLEMENTACION DEL SISTEMA DE MONITOREO INTELIGENTE AMBIENTAL CARTAGENA DE INDIAS"/>
    <x v="94"/>
    <s v="06"/>
    <s v="00"/>
    <n v="0"/>
    <n v="144054458.88999999"/>
    <n v="144054458.88999999"/>
    <n v="0"/>
    <n v="144054458.88999999"/>
    <n v="0"/>
    <n v="0"/>
    <n v="0"/>
    <n v="0"/>
    <n v="144054458.88999999"/>
    <n v="0"/>
  </r>
  <r>
    <n v="2022"/>
    <n v="100"/>
    <x v="11"/>
    <s v="ESTABLECIMIENTO PUBLICO AMBIENTAL-EPA"/>
    <x v="11"/>
    <n v="2020130010183"/>
    <x v="1"/>
    <x v="16"/>
    <x v="46"/>
    <s v="2,3,3299,0900,2020130010183"/>
    <s v="001"/>
    <s v="1,2,1,0,00-001 - ICLD"/>
    <s v="INV"/>
    <s v="NO"/>
    <s v="IMPLEMENTACION DEL SISTEMA DE MONITOREO INTELIGENTE AMBIENTAL   CARTAGENA DE INDIAS"/>
    <x v="95"/>
    <s v="06"/>
    <s v="00"/>
    <n v="300000000"/>
    <n v="0"/>
    <n v="300000000"/>
    <n v="300000000"/>
    <n v="0"/>
    <n v="300000000"/>
    <n v="100"/>
    <n v="300000000"/>
    <n v="100"/>
    <n v="0"/>
    <n v="150000000"/>
  </r>
  <r>
    <n v="2022"/>
    <n v="100"/>
    <x v="11"/>
    <s v="ESTABLECIMIENTO PUBLICO AMBIENTAL-EPA"/>
    <x v="11"/>
    <n v="2020130010183"/>
    <x v="1"/>
    <x v="16"/>
    <x v="46"/>
    <s v="2,3,3299,0900,2020130010183"/>
    <s v="031"/>
    <s v="1,2,3,2,12-031 - CONTRIBUCCION DEL SECTOR ELECTRICO - GENERAL "/>
    <s v="INV"/>
    <s v="NO"/>
    <s v="IMPLEMENTACION DEL SISTEMA DE MONITOREO INTELIGENTE AMBIENTAL   CARTAGENA DE INDIAS"/>
    <x v="95"/>
    <s v="06"/>
    <s v="00"/>
    <n v="900000000"/>
    <n v="0"/>
    <n v="900000000"/>
    <n v="0"/>
    <n v="900000000"/>
    <n v="0"/>
    <n v="0"/>
    <n v="0"/>
    <n v="0"/>
    <n v="900000000"/>
    <n v="0"/>
  </r>
  <r>
    <n v="2022"/>
    <n v="100"/>
    <x v="7"/>
    <s v="SECRETARIA DE EDUCACION"/>
    <x v="7"/>
    <n v="2020130010185"/>
    <x v="2"/>
    <x v="6"/>
    <x v="47"/>
    <s v="2,3,2201,0700,2020130010185"/>
    <s v="171"/>
    <s v="1,2,4,1,03-171 - SGP CALIDAD MATRICULA"/>
    <s v="INV"/>
    <s v="NO"/>
    <s v="FORTALECIMIENTO DE LA GESTION ESCOLAR PARA EL MEJORAMIENTO DE LA CALIDAD EDUCATIVA   CARTAGENA DE INDIAS"/>
    <x v="96"/>
    <s v="06"/>
    <s v="00"/>
    <n v="662785746"/>
    <n v="-161686032"/>
    <n v="501099714"/>
    <n v="501097702"/>
    <n v="2012"/>
    <n v="296912000"/>
    <n v="59.25"/>
    <n v="296912000"/>
    <n v="59.25"/>
    <n v="204187714"/>
    <n v="256424000"/>
  </r>
  <r>
    <n v="2022"/>
    <n v="100"/>
    <x v="7"/>
    <s v="SECRETARIA DE EDUCACION"/>
    <x v="7"/>
    <n v="2020130010185"/>
    <x v="2"/>
    <x v="6"/>
    <x v="47"/>
    <s v="2,3,2201,0700,2020130010185"/>
    <s v="001"/>
    <s v="1,2,1,0,00-001 - ICLD"/>
    <s v="INV"/>
    <s v="NO"/>
    <s v="FORTALECIMIENTO DE LA GESTION ESCOLAR PARA EL MEJORAMIENTO DE LA CALIDAD EDUCATIVA   CARTAGENA DE INDIAS"/>
    <x v="96"/>
    <s v="06"/>
    <s v="00"/>
    <n v="88000000"/>
    <n v="0"/>
    <n v="88000000"/>
    <n v="88000000"/>
    <n v="0"/>
    <n v="88000000"/>
    <n v="100"/>
    <n v="88000000"/>
    <n v="100"/>
    <n v="0"/>
    <n v="84000000"/>
  </r>
  <r>
    <n v="2022"/>
    <n v="100"/>
    <x v="7"/>
    <s v="SECRETARIA DE EDUCACION"/>
    <x v="7"/>
    <n v="2020130010186"/>
    <x v="2"/>
    <x v="6"/>
    <x v="48"/>
    <s v="2,3,2201,0700,2020130010186"/>
    <s v="171"/>
    <s v="1,2,4,1,03-171 - SGP CALIDAD MATRICULA"/>
    <s v="INV"/>
    <s v="NO"/>
    <s v="MEJORAMIENTO DE LA CALIDAD EDUCATIVA DE LAS INSTITUCIONES EDUCATIVAS DEL DISTRITO: FORMANDO CON AMOR  CARTAGENA DE INDIAS"/>
    <x v="97"/>
    <s v="06"/>
    <s v="00"/>
    <n v="601450000"/>
    <n v="-501450000"/>
    <n v="100000000"/>
    <n v="99029020"/>
    <n v="970980"/>
    <n v="52280400"/>
    <n v="52.28"/>
    <n v="52280400"/>
    <n v="52.28"/>
    <n v="47719600"/>
    <n v="20000000"/>
  </r>
  <r>
    <n v="2022"/>
    <n v="100"/>
    <x v="7"/>
    <s v="SECRETARIA DE EDUCACION"/>
    <x v="7"/>
    <n v="2020130010186"/>
    <x v="2"/>
    <x v="6"/>
    <x v="48"/>
    <s v="2,3,2201,0700,2020130010186"/>
    <s v="901"/>
    <s v="1,3,3,6,03-95-171 - R,B, SGP - EDUCACION - CALIDAD  POR MATRICULA OFICIAL"/>
    <s v="INV"/>
    <s v="NO"/>
    <s v="MEJORAMIENTO DE LA CALIDAD EDUCATIVA DE LAS INSTITUCIONES EDUCATIVAS DEL DISTRITO: FORMANDO CON AMOR  CARTAGENA DE INDIAS"/>
    <x v="97"/>
    <s v="06"/>
    <s v="00"/>
    <n v="0"/>
    <n v="55000.12"/>
    <n v="55000.12"/>
    <n v="55000"/>
    <n v="0.12"/>
    <n v="55000"/>
    <n v="100"/>
    <n v="55000"/>
    <n v="100"/>
    <n v="0.12"/>
    <n v="0"/>
  </r>
  <r>
    <n v="2022"/>
    <n v="100"/>
    <x v="7"/>
    <s v="SECRETARIA DE EDUCACION"/>
    <x v="7"/>
    <n v="2020130010186"/>
    <x v="2"/>
    <x v="6"/>
    <x v="48"/>
    <s v="2,3,2201,0700,2020130010186"/>
    <s v="001"/>
    <s v="1,2,1,0,00-001 - ICLD"/>
    <s v="INV"/>
    <s v="NO"/>
    <s v="MEJORAMIENTO DE LA CALIDAD EDUCATIVA DE LAS INSTITUCIONES EDUCATIVAS DEL DISTRITO: FORMANDO CON AMOR  CARTAGENA DE INDIAS"/>
    <x v="97"/>
    <s v="06"/>
    <s v="00"/>
    <n v="729426000"/>
    <n v="100000000"/>
    <n v="829426000"/>
    <n v="829077800"/>
    <n v="348200"/>
    <n v="773727292"/>
    <n v="93.28"/>
    <n v="773727292"/>
    <n v="93.28"/>
    <n v="55698708"/>
    <n v="766062692"/>
  </r>
  <r>
    <n v="2022"/>
    <n v="100"/>
    <x v="3"/>
    <s v="SECRETARIA DEL INTERIOR Y CONVIVENCIA CIUDADANAL"/>
    <x v="3"/>
    <n v="2020130010187"/>
    <x v="0"/>
    <x v="8"/>
    <x v="49"/>
    <s v="2,3,4103,1500,2020130010187"/>
    <s v="001"/>
    <s v="1,2,1,0,00-001 - ICLD"/>
    <s v="INV"/>
    <s v="NO"/>
    <s v="CONSTRUCCION DE PAZ TERRITORIAL EN EL DISTRITO DE   CARTAGENA DE INDIAS"/>
    <x v="98"/>
    <s v="06"/>
    <s v="00"/>
    <n v="95718309"/>
    <n v="0"/>
    <n v="95718309"/>
    <n v="95718304"/>
    <n v="5"/>
    <n v="91300000"/>
    <n v="95.38"/>
    <n v="91300000"/>
    <n v="95.38"/>
    <n v="4418309"/>
    <n v="77800000"/>
  </r>
  <r>
    <n v="2022"/>
    <n v="100"/>
    <x v="3"/>
    <s v="SECRETARIA DEL INTERIOR Y CONVIVENCIA CIUDADANAL"/>
    <x v="3"/>
    <n v="2020130010187"/>
    <x v="0"/>
    <x v="8"/>
    <x v="49"/>
    <s v="2,3,4103,1500,2020130010187"/>
    <s v="869"/>
    <s v="1,3,3,4,16-95-053 RB  OTRAS TASAS Y DERECHOS ADMINISTRATIVOS CONTRAPRESTACION PORTUARIA"/>
    <s v="INV"/>
    <s v="NO"/>
    <s v="CONSTRUCCION DE PAZ TERRITORIAL EN EL DISTRITO DE   CARTAGENA DE INDIAS"/>
    <x v="98"/>
    <s v="06"/>
    <s v="00"/>
    <n v="0"/>
    <n v="76726666.670000002"/>
    <n v="76726666.670000002"/>
    <n v="70943040"/>
    <n v="5783626.6699999999"/>
    <n v="70542000"/>
    <n v="91.94"/>
    <n v="0"/>
    <n v="0"/>
    <n v="6184666.6699999999"/>
    <n v="0"/>
  </r>
  <r>
    <n v="2022"/>
    <n v="100"/>
    <x v="5"/>
    <s v="INSTITUTO DE DEPORTE Y RECREACION"/>
    <x v="5"/>
    <n v="2020130010194"/>
    <x v="2"/>
    <x v="4"/>
    <x v="12"/>
    <s v="2,3,4301,1604,2020130010194"/>
    <s v="841"/>
    <s v="1,3,3,2,00-95-097 R,B, ICDE IDER 3% ICA"/>
    <s v="INV"/>
    <s v="NO"/>
    <s v="FORTALECIMIENTO DEL DEPORTE ESTUDIANTIL MEDIANTE LA IMPLEMENTACION DE LOS JUEGOS INTERCOLEGIADOS Y UNIVERSITARIOS EN EL DISTRITO DE   CARTAGENA DE INDIAS"/>
    <x v="99"/>
    <s v="06"/>
    <s v="00"/>
    <n v="0"/>
    <n v="300000000"/>
    <n v="300000000"/>
    <n v="227730449"/>
    <n v="72269551"/>
    <n v="227730449"/>
    <n v="75.91"/>
    <n v="227730449"/>
    <n v="75.91"/>
    <n v="72269551"/>
    <n v="0"/>
  </r>
  <r>
    <n v="2022"/>
    <n v="100"/>
    <x v="5"/>
    <s v="INSTITUTO DE DEPORTE Y RECREACION"/>
    <x v="5"/>
    <n v="2020130010194"/>
    <x v="2"/>
    <x v="4"/>
    <x v="12"/>
    <s v="2,3,4301,1604,2020130010194"/>
    <s v="918"/>
    <s v="1,3,3,8,01-95-059 - R,B, SGP DEPORTE"/>
    <s v="INV"/>
    <s v="NO"/>
    <s v="FORTALECIMIENTO DEL DEPORTE ESTUDIANTIL MEDIANTE LA IMPLEMENTACION DE LOS JUEGOS INTERCOLEGIADOS Y UNIVERSITARIOS EN EL DISTRITO DE   CARTAGENA DE INDIAS"/>
    <x v="99"/>
    <s v="06"/>
    <s v="00"/>
    <n v="0"/>
    <n v="69674607.700000003"/>
    <n v="69674607.700000003"/>
    <n v="45154615"/>
    <n v="24519992.699999999"/>
    <n v="45154615"/>
    <n v="64.81"/>
    <n v="45154615"/>
    <n v="64.81"/>
    <n v="24519992.699999999"/>
    <n v="0"/>
  </r>
  <r>
    <n v="2022"/>
    <n v="100"/>
    <x v="5"/>
    <s v="INSTITUTO DE DEPORTE Y RECREACION"/>
    <x v="5"/>
    <n v="2020130010194"/>
    <x v="2"/>
    <x v="4"/>
    <x v="12"/>
    <s v="2,3,4301,1604,2020130010194"/>
    <s v="097"/>
    <s v="1,2,2,0,00-097 - ICDE IDER 3% ICA"/>
    <s v="INV"/>
    <s v="NO"/>
    <s v="FORTALECIMIENTO DEL DEPORTE ESTUDIANTIL MEDIANTE LA IMPLEMENTACION DE LOS JUEGOS INTERCOLEGIADOS Y UNIVERSITARIOS EN EL DISTRITO DE   CARTAGENA DE INDIAS"/>
    <x v="99"/>
    <s v="06"/>
    <s v="00"/>
    <n v="361316776"/>
    <n v="0"/>
    <n v="361316776"/>
    <n v="320891611.41000003"/>
    <n v="40425164.590000004"/>
    <n v="320891611.41000003"/>
    <n v="88.81"/>
    <n v="320891611.41000003"/>
    <n v="88.81"/>
    <n v="40425164.590000004"/>
    <n v="300891611.41000003"/>
  </r>
  <r>
    <n v="2022"/>
    <n v="100"/>
    <x v="7"/>
    <s v="SECRETARIA DE EDUCACION"/>
    <x v="7"/>
    <n v="2020130010195"/>
    <x v="2"/>
    <x v="6"/>
    <x v="11"/>
    <s v="2,3,2201,0700,2020130010195"/>
    <s v="901"/>
    <s v="1,3,3,6,03-95-171 - R,B, SGP - EDUCACION - CALIDAD  POR MATRICULA OFICIAL"/>
    <s v="INV"/>
    <s v="NO"/>
    <s v="IMPLEMENTACION DE LA ESTRATEGIA PERMANECER: ME ALIMENTO Y APRENDO ALIMENTACION ESCOLAR EN  CARTAGENA DE INDIAS "/>
    <x v="100"/>
    <s v="06"/>
    <s v="00"/>
    <n v="0"/>
    <n v="1367648896"/>
    <n v="1367648896"/>
    <n v="1367648896"/>
    <n v="0"/>
    <n v="1367648896"/>
    <n v="100"/>
    <n v="1238582315.95"/>
    <n v="90.56"/>
    <n v="0"/>
    <n v="1238582315.95"/>
  </r>
  <r>
    <n v="2022"/>
    <n v="100"/>
    <x v="7"/>
    <s v="SECRETARIA DE EDUCACION"/>
    <x v="7"/>
    <n v="2020130010195"/>
    <x v="2"/>
    <x v="6"/>
    <x v="11"/>
    <s v="2,3,2201,0700,2020130010195"/>
    <s v="902"/>
    <s v="1,3,3,5,03-95-028 - R,B, APORTES NACION - ALIMENTACION ESCOLAR"/>
    <s v="INV"/>
    <s v="NO"/>
    <s v="IMPLEMENTACION DE LA ESTRATEGIA PERMANECER: ME ALIMENTO Y APRENDO ALIMENTACION ESCOLAR EN  CARTAGENA DE INDIAS "/>
    <x v="100"/>
    <s v="06"/>
    <s v="00"/>
    <n v="0"/>
    <n v="9281454300"/>
    <n v="9281454300"/>
    <n v="9281454300"/>
    <n v="0"/>
    <n v="9281454300"/>
    <n v="100"/>
    <n v="0"/>
    <n v="0"/>
    <n v="0"/>
    <n v="0"/>
  </r>
  <r>
    <n v="2022"/>
    <n v="100"/>
    <x v="7"/>
    <s v="SECRETARIA DE EDUCACION"/>
    <x v="7"/>
    <n v="2020130010195"/>
    <x v="2"/>
    <x v="6"/>
    <x v="11"/>
    <s v="2,3,2201,0700,2020130010195"/>
    <s v="903"/>
    <s v="1,3,3,5,03-93-028 - R,B, APORTES NACION - ALIMENTACION ESCOLAR"/>
    <s v="INV"/>
    <s v="NO"/>
    <s v="IMPLEMENTACION DE LA ESTRATEGIA PERMANECER: ME ALIMENTO Y APRENDO ALIMENTACION ESCOLAR EN  CARTAGENA DE INDIAS "/>
    <x v="100"/>
    <s v="06"/>
    <s v="00"/>
    <n v="0"/>
    <n v="2209964700.7199998"/>
    <n v="2209964700.7199998"/>
    <n v="2209964700.7199998"/>
    <n v="0"/>
    <n v="2209964700.7199998"/>
    <n v="100"/>
    <n v="2205277351.54"/>
    <n v="99.79"/>
    <n v="0"/>
    <n v="2205277351.54"/>
  </r>
  <r>
    <n v="2022"/>
    <n v="100"/>
    <x v="7"/>
    <s v="SECRETARIA DE EDUCACION"/>
    <x v="7"/>
    <n v="2020130010195"/>
    <x v="2"/>
    <x v="6"/>
    <x v="11"/>
    <s v="2,3,2201,0700,2020130010195"/>
    <s v="904"/>
    <s v="1,3,3,9,01-95-072 - R,B, SGP - ASIGNACION ESPECIAL - PROGRAMAS DE ALIMENTACION ESCOLAR"/>
    <s v="INV"/>
    <s v="NO"/>
    <s v="IMPLEMENTACION DE LA ESTRATEGIA PERMANECER: ME ALIMENTO Y APRENDO ALIMENTACION ESCOLAR EN  CARTAGENA DE INDIAS "/>
    <x v="100"/>
    <s v="06"/>
    <s v="00"/>
    <n v="0"/>
    <n v="3835626933"/>
    <n v="3835626933"/>
    <n v="3835626933"/>
    <n v="0"/>
    <n v="3835626933"/>
    <n v="100"/>
    <n v="3835626933"/>
    <n v="100"/>
    <n v="0"/>
    <n v="3835626933"/>
  </r>
  <r>
    <n v="2022"/>
    <n v="100"/>
    <x v="7"/>
    <s v="SECRETARIA DE EDUCACION"/>
    <x v="7"/>
    <n v="2020130010195"/>
    <x v="2"/>
    <x v="6"/>
    <x v="11"/>
    <s v="2,3,2201,0700,2020130010195"/>
    <s v="905"/>
    <s v="1,3,3,9,01-95-078 - R,B, SGP- ASIGNACION ESPECIAL-PROGRAMAS DE ALIMENTACION ESCOLAR"/>
    <s v="INV"/>
    <s v="NO"/>
    <s v="IMPLEMENTACION DE LA ESTRATEGIA PERMANECER: ME ALIMENTO Y APRENDO ALIMENTACION ESCOLAR EN  CARTAGENA DE INDIAS "/>
    <x v="100"/>
    <s v="06"/>
    <s v="00"/>
    <n v="0"/>
    <n v="509100587.85000002"/>
    <n v="509100587.85000002"/>
    <n v="509100587.85000002"/>
    <n v="0"/>
    <n v="509100587.85000002"/>
    <n v="100"/>
    <n v="509100587.85000002"/>
    <n v="100"/>
    <n v="0"/>
    <n v="509100587.85000002"/>
  </r>
  <r>
    <n v="2022"/>
    <n v="100"/>
    <x v="7"/>
    <s v="SECRETARIA DE EDUCACION"/>
    <x v="7"/>
    <n v="2020130010195"/>
    <x v="2"/>
    <x v="6"/>
    <x v="11"/>
    <s v="2,3,2201,0700,2020130010195"/>
    <s v="906"/>
    <s v="1,3,3,9,01-93-078 - R,B, SGP- ASIGNACION ESPECIAL-PROGRAMAS DE ALIMENTACION ESCOLAR"/>
    <s v="INV"/>
    <s v="NO"/>
    <s v="IMPLEMENTACION DE LA ESTRATEGIA PERMANECER: ME ALIMENTO Y APRENDO ALIMENTACION ESCOLAR EN  CARTAGENA DE INDIAS "/>
    <x v="100"/>
    <s v="06"/>
    <s v="00"/>
    <n v="0"/>
    <n v="12379073.27"/>
    <n v="12379073.27"/>
    <n v="12379073.27"/>
    <n v="0"/>
    <n v="12371248.380000001"/>
    <n v="99.94"/>
    <n v="0"/>
    <n v="0"/>
    <n v="7824.89"/>
    <n v="0"/>
  </r>
  <r>
    <n v="2022"/>
    <n v="100"/>
    <x v="7"/>
    <s v="SECRETARIA DE EDUCACION"/>
    <x v="7"/>
    <n v="2020130010195"/>
    <x v="2"/>
    <x v="6"/>
    <x v="11"/>
    <s v="2,3,2201,0700,2020130010195"/>
    <s v="028"/>
    <s v="1,2,4,4,01-028 -ASIGNACION ESPECIAL MEN"/>
    <s v="INV"/>
    <s v="NO"/>
    <s v="IMPLEMENTACION DE LA ESTRATEGIA PERMANECER: ME ALIMENTO Y APRENDO ALIMENTACION ESCOLAR EN  CARTAGENA DE INDIAS"/>
    <x v="101"/>
    <s v="06"/>
    <s v="00"/>
    <n v="2715358336"/>
    <n v="0"/>
    <n v="2715358336"/>
    <n v="2715358336"/>
    <n v="0"/>
    <n v="2715358336"/>
    <n v="100"/>
    <n v="794894908.33000004"/>
    <n v="29.27"/>
    <n v="0"/>
    <n v="794894908.33000004"/>
  </r>
  <r>
    <n v="2022"/>
    <n v="100"/>
    <x v="7"/>
    <s v="SECRETARIA DE EDUCACION"/>
    <x v="7"/>
    <n v="2020130010195"/>
    <x v="2"/>
    <x v="6"/>
    <x v="11"/>
    <s v="2,3,2201,0700,2020130010195"/>
    <s v="072"/>
    <s v="1,2,4,4,01-072 - SGP ALIMENTACION ESCOLAR"/>
    <s v="INV"/>
    <s v="NO"/>
    <s v="IMPLEMENTACION DE LA ESTRATEGIA PERMANECER: ME ALIMENTO Y APRENDO ALIMENTACION ESCOLAR EN  CARTAGENA DE INDIAS"/>
    <x v="101"/>
    <s v="06"/>
    <s v="00"/>
    <n v="3368443956"/>
    <n v="458874622"/>
    <n v="3827318578"/>
    <n v="3368443956"/>
    <n v="458874622"/>
    <n v="3368443956"/>
    <n v="88.01"/>
    <n v="3368443956"/>
    <n v="88.01"/>
    <n v="458874622"/>
    <n v="3368443956"/>
  </r>
  <r>
    <n v="2022"/>
    <n v="100"/>
    <x v="7"/>
    <s v="SECRETARIA DE EDUCACION"/>
    <x v="7"/>
    <n v="2020130010195"/>
    <x v="2"/>
    <x v="6"/>
    <x v="11"/>
    <s v="2,3,2201,0700,2020130010195"/>
    <s v="078"/>
    <s v="1,3,2,2,09-078 - RF SGP ALIMENTACION ESCOLAR"/>
    <s v="INV"/>
    <s v="NO"/>
    <s v="IMPLEMENTACION DE LA ESTRATEGIA PERMANECER: ME ALIMENTO Y APRENDO ALIMENTACION ESCOLAR EN  CARTAGENA DE INDIAS"/>
    <x v="101"/>
    <s v="06"/>
    <s v="00"/>
    <n v="268896063"/>
    <n v="0"/>
    <n v="268896063"/>
    <n v="28555080"/>
    <n v="240340983"/>
    <n v="28555080"/>
    <n v="10.62"/>
    <n v="0"/>
    <n v="0"/>
    <n v="240340983"/>
    <n v="0"/>
  </r>
  <r>
    <n v="2022"/>
    <n v="100"/>
    <x v="7"/>
    <s v="SECRETARIA DE EDUCACION"/>
    <x v="7"/>
    <n v="2020130010195"/>
    <x v="2"/>
    <x v="6"/>
    <x v="11"/>
    <s v="2,3,2201,0700,2020130010195"/>
    <s v="001"/>
    <s v="1,2,1,0,00-001 - ICLD"/>
    <s v="INV"/>
    <s v="NO"/>
    <s v="IMPLEMENTACION DE LA ESTRATEGIA PERMANECER: ME ALIMENTO Y APRENDO ALIMENTACION ESCOLAR EN  CARTAGENA DE INDIAS"/>
    <x v="101"/>
    <s v="06"/>
    <s v="00"/>
    <n v="13275462587"/>
    <n v="-341935538"/>
    <n v="12933527049"/>
    <n v="12932924957.540001"/>
    <n v="602091.46"/>
    <n v="12903087320.200001"/>
    <n v="99.76"/>
    <n v="8033758323.0200005"/>
    <n v="62.12"/>
    <n v="30439728.800000001"/>
    <n v="6594698685.7399998"/>
  </r>
  <r>
    <n v="2022"/>
    <n v="100"/>
    <x v="11"/>
    <s v="ESTABLECIMIENTO PUBLICO AMBIENTAL-EPA"/>
    <x v="11"/>
    <n v="2020130010201"/>
    <x v="1"/>
    <x v="16"/>
    <x v="50"/>
    <s v="2,3,3208,0900,2020130010201"/>
    <s v="063"/>
    <s v="1,3,2,3,05-063 - OTROS RENDIMIENTOS FINANCIEROS EPA"/>
    <s v="INV"/>
    <s v="NO"/>
    <s v="FORTALECIMIENTO DE LA EDUCACION Y CULTURA AMBIENTAL EN EL DISTRITO DE  CARTAGENA DE INDIAS"/>
    <x v="102"/>
    <s v="06"/>
    <s v="00"/>
    <n v="78799999"/>
    <n v="0"/>
    <n v="78799999"/>
    <n v="0"/>
    <n v="78799999"/>
    <n v="0"/>
    <n v="0"/>
    <n v="0"/>
    <n v="0"/>
    <n v="78799999"/>
    <n v="0"/>
  </r>
  <r>
    <n v="2022"/>
    <n v="100"/>
    <x v="11"/>
    <s v="ESTABLECIMIENTO PUBLICO AMBIENTAL-EPA"/>
    <x v="11"/>
    <n v="2020130010201"/>
    <x v="1"/>
    <x v="16"/>
    <x v="50"/>
    <s v="2,3,3208,0900,2020130010201"/>
    <s v="934"/>
    <s v="1,3,1,1,02-05 -EXCEDENTES FINANCIEROS EPA"/>
    <s v="INV"/>
    <s v="NO"/>
    <s v=" FORTALECIMIENTO DE LA EDUCACION Y CULTURA AMBIENTAL EN EL DISTRITO DE CARTAGENA DE INDIAS"/>
    <x v="103"/>
    <s v="06"/>
    <s v="00"/>
    <n v="0"/>
    <n v="40719600.549999997"/>
    <n v="40719600.549999997"/>
    <n v="0"/>
    <n v="40719600.549999997"/>
    <n v="0"/>
    <n v="0"/>
    <n v="0"/>
    <n v="0"/>
    <n v="40719600.549999997"/>
    <n v="0"/>
  </r>
  <r>
    <n v="2022"/>
    <n v="100"/>
    <x v="11"/>
    <s v="ESTABLECIMIENTO PUBLICO AMBIENTAL-EPA"/>
    <x v="11"/>
    <n v="2020130010201"/>
    <x v="1"/>
    <x v="16"/>
    <x v="50"/>
    <s v="2,3,3208,0900,2020130010201"/>
    <s v="935"/>
    <s v="1,3,3,4,02-93-031- R,B, CONTRIBUCION DEL SECTOR ELECTRICO"/>
    <s v="INV"/>
    <s v="NO"/>
    <s v="FORTALECIMIENTO DE LA EDUCACION Y CULTURA AMBIENTAL EN EL DISTRITO DE CARTAGENA DE INDIAS"/>
    <x v="104"/>
    <s v="06"/>
    <s v="00"/>
    <n v="0"/>
    <n v="48000000"/>
    <n v="48000000"/>
    <n v="0"/>
    <n v="48000000"/>
    <n v="0"/>
    <n v="0"/>
    <n v="0"/>
    <n v="0"/>
    <n v="48000000"/>
    <n v="0"/>
  </r>
  <r>
    <n v="2022"/>
    <n v="100"/>
    <x v="11"/>
    <s v="ESTABLECIMIENTO PUBLICO AMBIENTAL-EPA"/>
    <x v="11"/>
    <n v="2020130010203"/>
    <x v="1"/>
    <x v="17"/>
    <x v="51"/>
    <s v="2,3,3299,0900,2020130010203"/>
    <s v="938"/>
    <s v="1,3,3,4,12-93-094- R,B, SOBRETASA AMBIENTAL - PEAJES"/>
    <s v="INV"/>
    <s v="NO"/>
    <s v="IMPLEMENTACION DEL SISTEMA DE GESTION HIDRICA DE LA CIENAGA DE LA VIRGEN Y RECUPERACION DEL MANGLAR DE CARTAGENA DE INDIAS MONITOREO INTELIGENTE AMBIENTAL CARTAGENA DE INDIAS"/>
    <x v="105"/>
    <s v="06"/>
    <s v="00"/>
    <n v="0"/>
    <n v="1571678653.78"/>
    <n v="1571678653.78"/>
    <n v="0"/>
    <n v="1571678653.78"/>
    <n v="0"/>
    <n v="0"/>
    <n v="0"/>
    <n v="0"/>
    <n v="1571678653.78"/>
    <n v="0"/>
  </r>
  <r>
    <n v="2022"/>
    <n v="100"/>
    <x v="11"/>
    <s v="ESTABLECIMIENTO PUBLICO AMBIENTAL-EPA"/>
    <x v="11"/>
    <n v="2020130010203"/>
    <x v="1"/>
    <x v="17"/>
    <x v="51"/>
    <s v="2,3,3299,0900,2020130010203"/>
    <s v="094"/>
    <s v="1,2,3,2,05-094 - OTRAS TASAS Y DERECHOS ADMINISTRATIVOS SOBRETASA PEAJE"/>
    <s v="INV"/>
    <s v="NO"/>
    <s v="IMPLEMENTACION SISTEMA DE GESTION HIDRICA DE LA CIENAGA DE LA VIRGEN Y RECUPERACION DEL MANGLAR DE CARTAGENA DE INDIAS"/>
    <x v="106"/>
    <s v="06"/>
    <s v="00"/>
    <n v="1300000000"/>
    <n v="0"/>
    <n v="1300000000"/>
    <n v="0"/>
    <n v="1300000000"/>
    <n v="0"/>
    <n v="0"/>
    <n v="0"/>
    <n v="0"/>
    <n v="1300000000"/>
    <n v="0"/>
  </r>
  <r>
    <n v="2022"/>
    <n v="100"/>
    <x v="3"/>
    <s v="SECRETARIA DEL INTERIOR Y CONVIVENCIA CIUDADANAL"/>
    <x v="3"/>
    <n v="2020130010210"/>
    <x v="0"/>
    <x v="1"/>
    <x v="52"/>
    <s v="2,3,4501,1000,2020130010210"/>
    <s v="001"/>
    <s v="1,2,1,0,00-001 - ICLD"/>
    <s v="INV"/>
    <s v="NO"/>
    <s v="FORTALECIMIENTO DE LA CAPACIDAD OPERATIVA  DE LA SECRETARIA DEL INTERIOR Y CONVIVENCIA CIUDADANA  CARTAGENA DE INDIAS"/>
    <x v="107"/>
    <s v="06"/>
    <s v="00"/>
    <n v="167507042"/>
    <n v="0"/>
    <n v="167507042"/>
    <n v="167507042"/>
    <n v="0"/>
    <n v="162990224.00999999"/>
    <n v="97.3"/>
    <n v="150042498.66999999"/>
    <n v="89.57"/>
    <n v="4516817.99"/>
    <n v="148395832.66999999"/>
  </r>
  <r>
    <n v="2022"/>
    <n v="100"/>
    <x v="4"/>
    <s v="DESPACHO DEL ALCALDE"/>
    <x v="4"/>
    <n v="2020130010211"/>
    <x v="1"/>
    <x v="10"/>
    <x v="53"/>
    <s v="2,3,3299,0900,2020130010211"/>
    <s v="080"/>
    <s v="1,2,3,2,05-080 - OTRAS TASAS Y DERECHOS ADMINISTRATIVOS OCUPACION DE VIAS"/>
    <s v="INV"/>
    <s v="NO"/>
    <s v="CONSERVACION INTEGRAL DEL ESPACIO PUBLICO  CARTAGENA DE INDIAS"/>
    <x v="108"/>
    <s v="06"/>
    <s v="00"/>
    <n v="69663233"/>
    <n v="0"/>
    <n v="69663233"/>
    <n v="0"/>
    <n v="69663233"/>
    <n v="0"/>
    <n v="0"/>
    <n v="0"/>
    <n v="0"/>
    <n v="69663233"/>
    <n v="0"/>
  </r>
  <r>
    <n v="2022"/>
    <n v="100"/>
    <x v="4"/>
    <s v="DESPACHO DEL ALCALDE"/>
    <x v="4"/>
    <n v="2020130010211"/>
    <x v="1"/>
    <x v="10"/>
    <x v="53"/>
    <s v="2,3,3299,0900,2020130010211"/>
    <s v="001"/>
    <s v="1,2,1,0,00-001 - ICLD"/>
    <s v="INV"/>
    <s v="NO"/>
    <s v="CONSERVACION INTEGRAL DEL ESPACIO PUBLICO  CARTAGENA DE INDIAS"/>
    <x v="108"/>
    <s v="06"/>
    <s v="00"/>
    <n v="400000000"/>
    <n v="-18000000"/>
    <n v="382000000"/>
    <n v="382000000"/>
    <n v="0"/>
    <n v="353050000"/>
    <n v="92.42"/>
    <n v="353050000"/>
    <n v="92.42"/>
    <n v="28950000"/>
    <n v="328450000"/>
  </r>
  <r>
    <n v="2022"/>
    <n v="100"/>
    <x v="6"/>
    <s v="INSTITUTO DE PATRIMONIO Y CULTURA DE CARTAGENA DE INDIAS"/>
    <x v="6"/>
    <n v="2020130010213"/>
    <x v="2"/>
    <x v="5"/>
    <x v="54"/>
    <s v="2,3,3302,1603,2020130010213"/>
    <s v="057"/>
    <s v="1,2,4,3,02-057 - SGP CULTURA"/>
    <s v="INV"/>
    <s v="NO"/>
    <s v="FORTALECIMIENTO A LA APROPIACION SOCIAL Y DIVULGACION DEL PATRIMONIO MATERIAL EN EL DISTRITO DE  CARTAGENA DE INDIAS"/>
    <x v="109"/>
    <s v="06"/>
    <s v="00"/>
    <n v="104951903"/>
    <n v="0"/>
    <n v="104951903"/>
    <n v="104950912.64"/>
    <n v="990.36"/>
    <n v="104950912.64"/>
    <n v="100"/>
    <n v="104950912.64"/>
    <n v="100"/>
    <n v="990.36"/>
    <n v="96205911.640000001"/>
  </r>
  <r>
    <n v="2022"/>
    <n v="100"/>
    <x v="6"/>
    <s v="INSTITUTO DE PATRIMONIO Y CULTURA DE CARTAGENA DE INDIAS"/>
    <x v="6"/>
    <n v="2020130010213"/>
    <x v="2"/>
    <x v="5"/>
    <x v="54"/>
    <s v="2,3,3302,1603,2020130010213"/>
    <s v="082"/>
    <s v="1,2,3,1,19-082 - ESTAMPILLAS PROCULTURA"/>
    <s v="INV"/>
    <s v="NO"/>
    <s v="FORTALECIMIENTO A LA APROPIACION SOCIAL Y DIVULGACION DEL PATRIMONIO MATERIAL EN EL DISTRITO DE  CARTAGENA DE INDIAS"/>
    <x v="109"/>
    <s v="06"/>
    <s v="00"/>
    <n v="131600000"/>
    <n v="0"/>
    <n v="131600000"/>
    <n v="0"/>
    <n v="131600000"/>
    <n v="0"/>
    <n v="0"/>
    <n v="0"/>
    <n v="0"/>
    <n v="131600000"/>
    <n v="0"/>
  </r>
  <r>
    <n v="2022"/>
    <n v="100"/>
    <x v="6"/>
    <s v="INSTITUTO DE PATRIMONIO Y CULTURA DE CARTAGENA DE INDIAS"/>
    <x v="6"/>
    <n v="2020130010213"/>
    <x v="2"/>
    <x v="5"/>
    <x v="54"/>
    <s v="2,3,3302,1603,2020130010213"/>
    <s v="001"/>
    <s v="1,2,1,0,00-001 - ICLD"/>
    <s v="INV"/>
    <s v="NO"/>
    <s v="FORTALECIMIENTO A LA APROPIACION SOCIAL Y DIVULGACION DEL PATRIMONIO MATERIAL EN EL DISTRITO DE  CARTAGENA DE INDIAS"/>
    <x v="109"/>
    <s v="06"/>
    <s v="00"/>
    <n v="150000000"/>
    <n v="0"/>
    <n v="150000000"/>
    <n v="150000000"/>
    <n v="0"/>
    <n v="150000000"/>
    <n v="100"/>
    <n v="100710000"/>
    <n v="67.14"/>
    <n v="0"/>
    <n v="88065000"/>
  </r>
  <r>
    <n v="2022"/>
    <n v="100"/>
    <x v="11"/>
    <s v="ESTABLECIMIENTO PUBLICO AMBIENTAL-EPA"/>
    <x v="11"/>
    <n v="2020130010216"/>
    <x v="1"/>
    <x v="16"/>
    <x v="55"/>
    <s v="2,3,3202,0900,2020130010216"/>
    <s v="001"/>
    <s v="1,2,1,0,00-001 - ICLD"/>
    <s v="INV"/>
    <s v="NO"/>
    <s v="DOTACION Y ADECUACION DEL CENTRO DE ATENCION VALORACION Y REHABILITACION DE FAUNA SILVESTRE (CAVR BOCANA) DEL EPA CARTAGENA DE INDIAS"/>
    <x v="110"/>
    <s v="06"/>
    <s v="00"/>
    <n v="260000000"/>
    <n v="0"/>
    <n v="260000000"/>
    <n v="260000000"/>
    <n v="0"/>
    <n v="260000000"/>
    <n v="100"/>
    <n v="260000000"/>
    <n v="100"/>
    <n v="0"/>
    <n v="260000000"/>
  </r>
  <r>
    <n v="2022"/>
    <n v="100"/>
    <x v="6"/>
    <s v="INSTITUTO DE PATRIMONIO Y CULTURA DE CARTAGENA DE INDIAS"/>
    <x v="6"/>
    <n v="2020130010218"/>
    <x v="2"/>
    <x v="5"/>
    <x v="56"/>
    <s v="2,3,3301,1603,2020130010218"/>
    <s v="833"/>
    <s v="1,3,3,2,00-93-085 R,B,  ICDE IPCC 20% DELINEACION URBANA"/>
    <s v="INV"/>
    <s v="NO"/>
    <s v="MANTENIMIENTO DE LA INFRAESTRUCTURA CULTURAL PARA LA INCLUSION EN EL DISTRITO DE  CARTAGENA DE INDIAS"/>
    <x v="111"/>
    <s v="06"/>
    <s v="00"/>
    <n v="0"/>
    <n v="567491245"/>
    <n v="567491245"/>
    <n v="567491245"/>
    <n v="0"/>
    <n v="567491245"/>
    <n v="100"/>
    <n v="567491245"/>
    <n v="100"/>
    <n v="0"/>
    <n v="567491245"/>
  </r>
  <r>
    <n v="2022"/>
    <n v="100"/>
    <x v="6"/>
    <s v="INSTITUTO DE PATRIMONIO Y CULTURA DE CARTAGENA DE INDIAS"/>
    <x v="6"/>
    <n v="2020130010218"/>
    <x v="2"/>
    <x v="5"/>
    <x v="56"/>
    <s v="2,3,3301,1603,2020130010218"/>
    <s v="057"/>
    <s v="1,2,4,3,02-057 - SGP CULTURA"/>
    <s v="INV"/>
    <s v="NO"/>
    <s v="MANTENIMIENTO DE LA INFRAESTRUCTURA CULTURAL PARA LA INCLUSION EN EL DISTRITO DE  CARTAGENA DE INDIAS"/>
    <x v="111"/>
    <s v="06"/>
    <s v="00"/>
    <n v="539417050"/>
    <n v="0"/>
    <n v="539417050"/>
    <n v="539417049.32000005"/>
    <n v="0.68"/>
    <n v="539417049.32000005"/>
    <n v="100"/>
    <n v="539417049.32000005"/>
    <n v="100"/>
    <n v="0.68"/>
    <n v="539417049.32000005"/>
  </r>
  <r>
    <n v="2022"/>
    <n v="100"/>
    <x v="6"/>
    <s v="INSTITUTO DE PATRIMONIO Y CULTURA DE CARTAGENA DE INDIAS"/>
    <x v="6"/>
    <n v="2020130010218"/>
    <x v="2"/>
    <x v="5"/>
    <x v="56"/>
    <s v="2,3,3301,1603,2020130010218"/>
    <s v="082"/>
    <s v="1,2,3,1,19-082 - ESTAMPILLAS PROCULTURA"/>
    <s v="INV"/>
    <s v="NO"/>
    <s v="MANTENIMIENTO DE LA INFRAESTRUCTURA CULTURAL PARA LA INCLUSION EN EL DISTRITO DE  CARTAGENA DE INDIAS"/>
    <x v="111"/>
    <s v="06"/>
    <s v="00"/>
    <n v="220480160"/>
    <n v="0"/>
    <n v="220480160"/>
    <n v="0"/>
    <n v="220480160"/>
    <n v="0"/>
    <n v="0"/>
    <n v="0"/>
    <n v="0"/>
    <n v="220480160"/>
    <n v="0"/>
  </r>
  <r>
    <n v="2022"/>
    <n v="100"/>
    <x v="6"/>
    <s v="INSTITUTO DE PATRIMONIO Y CULTURA DE CARTAGENA DE INDIAS"/>
    <x v="6"/>
    <n v="2020130010218"/>
    <x v="2"/>
    <x v="5"/>
    <x v="56"/>
    <s v="2,3,3301,1603,2020130010218"/>
    <s v="123"/>
    <s v="1,3,2,2,08-123 - RF SGP CULTURA"/>
    <s v="INV"/>
    <s v="NO"/>
    <s v="MANTENIMIENTO DE LA INFRAESTRUCTURA CULTURAL PARA LA INCLUSION EN EL DISTRITO DE  CARTAGENA DE INDIAS"/>
    <x v="111"/>
    <s v="06"/>
    <s v="00"/>
    <n v="26179596"/>
    <n v="0"/>
    <n v="26179596"/>
    <n v="26179596"/>
    <n v="0"/>
    <n v="26179596"/>
    <n v="100"/>
    <n v="26179596"/>
    <n v="100"/>
    <n v="0"/>
    <n v="13000000"/>
  </r>
  <r>
    <n v="2022"/>
    <n v="100"/>
    <x v="6"/>
    <s v="INSTITUTO DE PATRIMONIO Y CULTURA DE CARTAGENA DE INDIAS"/>
    <x v="6"/>
    <n v="2020130010218"/>
    <x v="2"/>
    <x v="5"/>
    <x v="56"/>
    <s v="2,3,3301,1603,2020130010218"/>
    <s v="134"/>
    <s v="1,2,3,1,12-134 - IMPUESTO DE ESPECTACULOS PUBLICOS NACIONAL IPCC"/>
    <s v="INV"/>
    <s v="NO"/>
    <s v="MANTENIMIENTO DE LA INFRAESTRUCTURA CULTURAL PARA LA INCLUSION EN EL DISTRITO DE  CARTAGENA DE INDIAS"/>
    <x v="111"/>
    <s v="06"/>
    <s v="00"/>
    <n v="213800000"/>
    <n v="0"/>
    <n v="213800000"/>
    <n v="213800000"/>
    <n v="0"/>
    <n v="213800000"/>
    <n v="100"/>
    <n v="213800000"/>
    <n v="100"/>
    <n v="0"/>
    <n v="0"/>
  </r>
  <r>
    <n v="2022"/>
    <n v="100"/>
    <x v="6"/>
    <s v="INSTITUTO DE PATRIMONIO Y CULTURA DE CARTAGENA DE INDIAS"/>
    <x v="6"/>
    <n v="2020130010218"/>
    <x v="2"/>
    <x v="5"/>
    <x v="56"/>
    <s v="2,3,3301,1603,2020130010218"/>
    <s v="032"/>
    <s v="1,2,3,2,09-032- VENTA DE BIENES Y SERVICIOS TEATRO ADOLFO MEJIA"/>
    <s v="INV"/>
    <s v="NO"/>
    <s v="MANTENIMIENTO DE LA INFRAESTRUCTURA CULTURAL PARA LA INCLUSION EN EL DISTRITO DE  CARTAGENA DE INDIAS"/>
    <x v="111"/>
    <s v="06"/>
    <s v="00"/>
    <n v="250000000"/>
    <n v="0"/>
    <n v="250000000"/>
    <n v="0"/>
    <n v="250000000"/>
    <n v="0"/>
    <n v="0"/>
    <n v="0"/>
    <n v="0"/>
    <n v="250000000"/>
    <n v="0"/>
  </r>
  <r>
    <n v="2022"/>
    <n v="100"/>
    <x v="6"/>
    <s v="INSTITUTO DE PATRIMONIO Y CULTURA DE CARTAGENA DE INDIAS"/>
    <x v="6"/>
    <n v="2020130010218"/>
    <x v="2"/>
    <x v="5"/>
    <x v="56"/>
    <s v="2,3,3301,1603,2020130010218"/>
    <s v="848"/>
    <s v="1,3,3,3,12-95-134 R,B, IMPUESTO DE ESPECTACULOS PUBLICOS"/>
    <s v="INV"/>
    <s v="NO"/>
    <s v="MANTENIMIENTO DE LA INFRAESTRUCTURA CULTURAL PARA LA INCLUSION EN EL DISTRITO DE CARTAGENA DE INDIAS"/>
    <x v="112"/>
    <s v="06"/>
    <s v="00"/>
    <n v="0"/>
    <n v="54641497.520000003"/>
    <n v="54641497.520000003"/>
    <n v="54041407"/>
    <n v="600090.52"/>
    <n v="54041407"/>
    <n v="98.9"/>
    <n v="54041407"/>
    <n v="98.9"/>
    <n v="600090.52"/>
    <n v="0"/>
  </r>
  <r>
    <n v="2022"/>
    <n v="100"/>
    <x v="6"/>
    <s v="INSTITUTO DE PATRIMONIO Y CULTURA DE CARTAGENA DE INDIAS"/>
    <x v="6"/>
    <n v="2020130010218"/>
    <x v="2"/>
    <x v="5"/>
    <x v="56"/>
    <s v="2,3,3301,1603,2020130010218"/>
    <s v="001"/>
    <s v="1,2,1,0,00-001 - ICLD"/>
    <s v="INV"/>
    <s v="NO"/>
    <s v="MANTENIMIENTO DE LA INFRAESTRUCTURA CULTURAL PARA LA INCLUSION EN EL DISTRITO DE  CARTAGENA DE INDIAS"/>
    <x v="111"/>
    <s v="06"/>
    <s v="00"/>
    <n v="800000000"/>
    <n v="0"/>
    <n v="800000000"/>
    <n v="800000000"/>
    <n v="0"/>
    <n v="800000000"/>
    <n v="100"/>
    <n v="800000000"/>
    <n v="100"/>
    <n v="0"/>
    <n v="800000000"/>
  </r>
  <r>
    <n v="2022"/>
    <n v="100"/>
    <x v="12"/>
    <s v="DEPARTAMENTO ADMINISTRATIVO DE VALORIZACION"/>
    <x v="12"/>
    <n v="2020130010239"/>
    <x v="1"/>
    <x v="18"/>
    <x v="57"/>
    <s v="2,3,3205,0900,2020130010239"/>
    <s v="858"/>
    <s v="1,3,3,4,03-93-043 R,B, OTRAS CONTRIBUCIONES - CONTRIBUCION VALORIZACION"/>
    <s v="INV"/>
    <s v="NO"/>
    <s v="CONSTRUCCION SISTEMA HIDRICO Y PLAN MAESTRO DE DRENAJES PLUVIALES EN LA CIUDAD DE CARTAGENA PARA SALVAR EL HABITAT CARTAGENA DE INDIAS"/>
    <x v="113"/>
    <s v="06"/>
    <s v="00"/>
    <n v="0"/>
    <n v="0.47"/>
    <n v="0.47"/>
    <n v="0"/>
    <n v="0.47"/>
    <n v="0"/>
    <n v="0"/>
    <n v="0"/>
    <n v="0"/>
    <n v="0.47"/>
    <n v="0"/>
  </r>
  <r>
    <n v="2022"/>
    <n v="100"/>
    <x v="12"/>
    <s v="DEPARTAMENTO ADMINISTRATIVO DE VALORIZACION"/>
    <x v="12"/>
    <n v="2020130010239"/>
    <x v="1"/>
    <x v="18"/>
    <x v="57"/>
    <s v="2,3,3205,0900,2020130010239"/>
    <s v="881"/>
    <s v="1,3,3,4,21-93-003 R,B, VENTA DE BIENES Y SERVICIOS CERTIFICADOS PAZ Y SALVO VALORIZACION"/>
    <s v="INV"/>
    <s v="NO"/>
    <s v="CONSTRUCCION SISTEMA HIDRICO Y PLAN MAESTRO DE DRENAJES PLUVIALES EN LA CIUDAD DE CARTAGENA PARA SALVAR EL HABITAT CARTAGENA DE INDIAS"/>
    <x v="113"/>
    <s v="06"/>
    <s v="00"/>
    <n v="0"/>
    <n v="0.12"/>
    <n v="0.12"/>
    <n v="0"/>
    <n v="0.12"/>
    <n v="0"/>
    <n v="0"/>
    <n v="0"/>
    <n v="0"/>
    <n v="0.12"/>
    <n v="0"/>
  </r>
  <r>
    <n v="2022"/>
    <n v="100"/>
    <x v="12"/>
    <s v="DEPARTAMENTO ADMINISTRATIVO DE VALORIZACION"/>
    <x v="12"/>
    <n v="2020130010239"/>
    <x v="1"/>
    <x v="18"/>
    <x v="57"/>
    <s v="2,3,3205,0900,2020130010239"/>
    <s v="885"/>
    <s v="1,3,3,4,21-95-003 R,B, VENTA DE BIENES Y SERVICIOS CERTIFICADOS PAZ Y SALVO VALORIZACION"/>
    <s v="INV"/>
    <s v="NO"/>
    <s v="CONSTRUCCION SISTEMA HIDRICO Y PLAN MAESTRO DE DRENAJES PLUVIALES EN LA CIUDAD DE CARTAGENA PARA SALVAR EL HABITAT CARTAGENA DE INDIAS"/>
    <x v="113"/>
    <s v="06"/>
    <s v="00"/>
    <n v="0"/>
    <n v="0"/>
    <n v="0"/>
    <n v="0"/>
    <n v="0"/>
    <n v="0"/>
    <n v="0"/>
    <n v="0"/>
    <n v="0"/>
    <n v="0"/>
    <n v="0"/>
  </r>
  <r>
    <n v="2022"/>
    <n v="100"/>
    <x v="12"/>
    <s v="DEPARTAMENTO ADMINISTRATIVO DE VALORIZACION"/>
    <x v="12"/>
    <n v="2020130010239"/>
    <x v="1"/>
    <x v="18"/>
    <x v="57"/>
    <s v="2,3,3205,0900,2020130010239"/>
    <s v="001"/>
    <s v="1,2,1,0,00-001 - ICLD"/>
    <s v="INV"/>
    <s v="NO"/>
    <s v="CONSTRUCCION SISTEMA HIDRICO Y PLAN MAESTRO DE DRENAJES PLUVIALES EN LA CIUDAD DE CARTAGENA PARA SALVAR EL HABITAT  CARTAGENA DE INDIAS"/>
    <x v="114"/>
    <s v="06"/>
    <s v="00"/>
    <n v="2088612467"/>
    <n v="-85483428"/>
    <n v="2003129039"/>
    <n v="1850219171"/>
    <n v="152909868"/>
    <n v="691043335"/>
    <n v="34.5"/>
    <n v="548043335"/>
    <n v="27.36"/>
    <n v="1312085704"/>
    <n v="532170000"/>
  </r>
  <r>
    <n v="2022"/>
    <n v="100"/>
    <x v="12"/>
    <s v="DEPARTAMENTO ADMINISTRATIVO DE VALORIZACION"/>
    <x v="12"/>
    <n v="2020130010239"/>
    <x v="1"/>
    <x v="18"/>
    <x v="57"/>
    <s v="2,3,3205,0900,2020130010239"/>
    <s v="023"/>
    <s v="1,3,2,3,05-023 - OTROS RENDIMIENTOS FINANCIEROS VALORIZACION"/>
    <s v="INV"/>
    <s v="NO"/>
    <s v="CONSTRUCCION SISTEMA HIDRICO Y PLAN MAESTRO DE DRENAJES PLUVIALES EN LA CIUDAD DE CARTAGENA PARA SALVAR EL HABITAT  CARTAGENA DE INDIAS"/>
    <x v="114"/>
    <s v="06"/>
    <s v="00"/>
    <n v="11058604"/>
    <n v="-11058604"/>
    <n v="0"/>
    <n v="0"/>
    <n v="0"/>
    <n v="0"/>
    <n v="0"/>
    <n v="0"/>
    <n v="0"/>
    <n v="0"/>
    <n v="0"/>
  </r>
  <r>
    <n v="2022"/>
    <n v="100"/>
    <x v="12"/>
    <s v="DEPARTAMENTO ADMINISTRATIVO DE VALORIZACION"/>
    <x v="12"/>
    <n v="2020130010239"/>
    <x v="1"/>
    <x v="18"/>
    <x v="57"/>
    <s v="2,3,3205,0900,2020130010239"/>
    <s v="043"/>
    <s v="1,2,3,2,02-043 - OTRAS CONTRIBUCIONES - CONTRIBUCION VALORIZACION"/>
    <s v="INV"/>
    <s v="NO"/>
    <s v="CONSTRUCCION SISTEMA HIDRICO Y PLAN MAESTRO DE DRENAJES PLUVIALES EN LA CIUDAD DE CARTAGENA PARA SALVAR EL HABITAT  CARTAGENA DE INDIAS"/>
    <x v="114"/>
    <s v="06"/>
    <s v="00"/>
    <n v="57670853"/>
    <n v="-57670853"/>
    <n v="0"/>
    <n v="0"/>
    <n v="0"/>
    <n v="0"/>
    <n v="0"/>
    <n v="0"/>
    <n v="0"/>
    <n v="0"/>
    <n v="0"/>
  </r>
  <r>
    <n v="2022"/>
    <n v="100"/>
    <x v="7"/>
    <s v="SECRETARIA DE EDUCACION"/>
    <x v="7"/>
    <n v="2020130010240"/>
    <x v="2"/>
    <x v="6"/>
    <x v="58"/>
    <s v="2,3,2201,0700,2020130010240"/>
    <s v="001"/>
    <s v="1,2,1,0,00-001 - ICLD"/>
    <s v="INV"/>
    <s v="NO"/>
    <s v="FORMACION DE LOS DERECHOS HUMANOS DE LAS MUJERES DIRIGIDO A NI?AS NI?OS Y JOVENES DE LAS INSTITUCIONES EDUCATIVAS OFICIALES DEL DISTRITO: PARTICIPACION DEMOCRACIA Y AUTONOMIA  CARTAGENA DE INDIAS"/>
    <x v="115"/>
    <s v="06"/>
    <s v="00"/>
    <n v="240000000"/>
    <n v="0"/>
    <n v="240000000"/>
    <n v="235261110"/>
    <n v="4738890"/>
    <n v="230661110"/>
    <n v="96.11"/>
    <n v="108511110"/>
    <n v="45.21"/>
    <n v="9338890"/>
    <n v="108511110"/>
  </r>
  <r>
    <n v="2022"/>
    <n v="100"/>
    <x v="12"/>
    <s v="DEPARTAMENTO ADMINISTRATIVO DE VALORIZACION"/>
    <x v="12"/>
    <n v="2020130010241"/>
    <x v="1"/>
    <x v="18"/>
    <x v="59"/>
    <s v="2,3,3207,0900,2020130010241"/>
    <s v="858"/>
    <s v="1,3,3,4,03-93-043 R,B, OTRAS CONTRIBUCIONES - CONTRIBUCION VALORIZACION"/>
    <s v="INV"/>
    <s v="NO"/>
    <s v="CONSTRUCCION PROTECCION COSTERA DE CARTAGENA CIUDAD DE BORDES Y ORILLAS RESILIENTE  CARTAGENA DE INDIAS"/>
    <x v="116"/>
    <s v="06"/>
    <s v="00"/>
    <n v="0"/>
    <n v="756242326"/>
    <n v="756242326"/>
    <n v="756242326"/>
    <n v="0"/>
    <n v="0"/>
    <n v="0"/>
    <n v="0"/>
    <n v="0"/>
    <n v="756242326"/>
    <n v="0"/>
  </r>
  <r>
    <n v="2022"/>
    <n v="100"/>
    <x v="12"/>
    <s v="DEPARTAMENTO ADMINISTRATIVO DE VALORIZACION"/>
    <x v="12"/>
    <n v="2020130010241"/>
    <x v="1"/>
    <x v="18"/>
    <x v="59"/>
    <s v="2,3,3207,0900,2020130010241"/>
    <s v="881"/>
    <s v="1,3,3,4,21-93-003 R,B, VENTA DE BIENES Y SERVICIOS CERTIFICADOS PAZ Y SALVO VALORIZACION"/>
    <s v="INV"/>
    <s v="NO"/>
    <s v="CONSTRUCCION PROTECCION COSTERA DE CARTAGENA CIUDAD DE BORDES Y ORILLAS RESILIENTE  CARTAGENA DE INDIAS"/>
    <x v="116"/>
    <s v="06"/>
    <s v="00"/>
    <n v="0"/>
    <n v="732347830"/>
    <n v="732347830"/>
    <n v="732347830"/>
    <n v="0"/>
    <n v="337228593"/>
    <n v="46.05"/>
    <n v="0"/>
    <n v="0"/>
    <n v="395119237"/>
    <n v="0"/>
  </r>
  <r>
    <n v="2022"/>
    <n v="100"/>
    <x v="12"/>
    <s v="DEPARTAMENTO ADMINISTRATIVO DE VALORIZACION"/>
    <x v="12"/>
    <n v="2020130010241"/>
    <x v="1"/>
    <x v="18"/>
    <x v="59"/>
    <s v="2,3,3207,0900,2020130010241"/>
    <s v="885"/>
    <s v="1,3,3,4,21-95-003 R,B, VENTA DE BIENES Y SERVICIOS CERTIFICADOS PAZ Y SALVO VALORIZACION"/>
    <s v="INV"/>
    <s v="NO"/>
    <s v="CONSTRUCCION PROTECCION COSTERA DE CARTAGENA CIUDAD DE BORDES Y ORILLAS RESILIENTE  CARTAGENA DE INDIAS"/>
    <x v="116"/>
    <s v="06"/>
    <s v="00"/>
    <n v="0"/>
    <n v="3520000"/>
    <n v="3520000"/>
    <n v="3520000"/>
    <n v="0"/>
    <n v="3520000"/>
    <n v="100"/>
    <n v="0"/>
    <n v="0"/>
    <n v="0"/>
    <n v="0"/>
  </r>
  <r>
    <n v="2022"/>
    <n v="100"/>
    <x v="12"/>
    <s v="DEPARTAMENTO ADMINISTRATIVO DE VALORIZACION"/>
    <x v="12"/>
    <n v="2020130010241"/>
    <x v="1"/>
    <x v="18"/>
    <x v="59"/>
    <s v="2,3,3207,0900,2020130010241"/>
    <s v="023"/>
    <s v="1,3,2,3,05-023 - OTROS RENDIMIENTOS FINANCIEROS VALORIZACION"/>
    <s v="INV"/>
    <s v="NO"/>
    <s v="CONSTRUCCION PROTECCION COSTERA DE CARTAGENA CIUDAD DE BORDES Y ORILLAS RESILIENTE  CARTAGENA DE INDIAS"/>
    <x v="116"/>
    <s v="06"/>
    <s v="00"/>
    <n v="0"/>
    <n v="11058604"/>
    <n v="11058604"/>
    <n v="11058604"/>
    <n v="0"/>
    <n v="11058604"/>
    <n v="100"/>
    <n v="0"/>
    <n v="0"/>
    <n v="0"/>
    <n v="0"/>
  </r>
  <r>
    <n v="2022"/>
    <n v="100"/>
    <x v="12"/>
    <s v="DEPARTAMENTO ADMINISTRATIVO DE VALORIZACION"/>
    <x v="12"/>
    <n v="2020130010241"/>
    <x v="1"/>
    <x v="18"/>
    <x v="59"/>
    <s v="2,3,3207,0900,2020130010241"/>
    <s v="043"/>
    <s v="1,2,3,2,02-043 - OTRAS CONTRIBUCIONES - CONTRIBUCION VALORIZACION"/>
    <s v="INV"/>
    <s v="NO"/>
    <s v="CONSTRUCCION PROTECCION COSTERA DE CARTAGENA CIUDAD DE BORDES Y ORILLAS RESILIENTE  CARTAGENA DE INDIAS"/>
    <x v="116"/>
    <s v="06"/>
    <s v="00"/>
    <n v="0"/>
    <n v="57670853"/>
    <n v="57670853"/>
    <n v="57670853"/>
    <n v="0"/>
    <n v="57670853"/>
    <n v="100"/>
    <n v="0"/>
    <n v="0"/>
    <n v="0"/>
    <n v="0"/>
  </r>
  <r>
    <n v="2022"/>
    <n v="100"/>
    <x v="12"/>
    <s v="DEPARTAMENTO ADMINISTRATIVO DE VALORIZACION"/>
    <x v="12"/>
    <n v="2020130010241"/>
    <x v="1"/>
    <x v="18"/>
    <x v="59"/>
    <s v="2,3,3207,0900,2020130010241"/>
    <s v="001"/>
    <s v="1,2,1,0,00-001 - ICLD"/>
    <s v="INV"/>
    <s v="NO"/>
    <s v="CONSTRUCCION PROTECCION COSTERA DE CARTAGENA CIUDAD DE BORDES Y ORILLAS RESILIENTE  CARTAGENA DE INDIAS"/>
    <x v="116"/>
    <s v="06"/>
    <s v="00"/>
    <n v="43311592"/>
    <n v="85483428"/>
    <n v="128795020"/>
    <n v="128795020"/>
    <n v="0"/>
    <n v="128795020"/>
    <n v="100"/>
    <n v="38107000"/>
    <n v="29.59"/>
    <n v="0"/>
    <n v="38107000"/>
  </r>
  <r>
    <n v="2022"/>
    <n v="100"/>
    <x v="3"/>
    <s v="SECRETARIA DEL INTERIOR Y CONVIVENCIA CIUDADANAL"/>
    <x v="3"/>
    <n v="2020130010254"/>
    <x v="0"/>
    <x v="1"/>
    <x v="60"/>
    <s v="2,3,4501,1000,2020130010254"/>
    <s v="856"/>
    <s v="1,3,3,4,01-95-040  RB CONTRIBUCION SOBRE CONTRATOS DE OBRA PUBLICA"/>
    <s v="INV"/>
    <s v="NO"/>
    <s v="FORTALECIMIENTO EN PARQUE AUTOMOTOR Y TECNOLOGIA PARA LA POLICIA METROPOLITANA DE   CARTAGENA DE INDIAS"/>
    <x v="117"/>
    <s v="06"/>
    <s v="00"/>
    <n v="0"/>
    <n v="210506121.09999999"/>
    <n v="210506121.09999999"/>
    <n v="200978295.69999999"/>
    <n v="9527825.4000000004"/>
    <n v="176331629.03"/>
    <n v="83.77"/>
    <n v="145881629.03"/>
    <n v="69.3"/>
    <n v="34174492.07"/>
    <n v="52153333.329999998"/>
  </r>
  <r>
    <n v="2022"/>
    <n v="100"/>
    <x v="3"/>
    <s v="SECRETARIA DEL INTERIOR Y CONVIVENCIA CIUDADANAL"/>
    <x v="3"/>
    <n v="2020130010254"/>
    <x v="0"/>
    <x v="1"/>
    <x v="60"/>
    <s v="2,3,4501,1000,2020130010254"/>
    <s v="040"/>
    <s v="1,2,3,2,01-040 - CONTRIBUCION SOBRE CONTRATOS DE OBRA PUBLICA"/>
    <s v="INV"/>
    <s v="NO"/>
    <s v="FORTALECIMIENTO EN PARQUE AUTOMOTOR Y TECNOLOGIA PARA LA POLICIA METROPOLITANA DE   CARTAGENA DE INDIAS"/>
    <x v="117"/>
    <s v="06"/>
    <s v="00"/>
    <n v="1786572895"/>
    <n v="0"/>
    <n v="1786572895"/>
    <n v="1767144976"/>
    <n v="19427919"/>
    <n v="1455832808.05"/>
    <n v="81.489999999999995"/>
    <n v="1455832808.05"/>
    <n v="81.489999999999995"/>
    <n v="330740086.94999999"/>
    <n v="85800000"/>
  </r>
  <r>
    <n v="2022"/>
    <n v="100"/>
    <x v="7"/>
    <s v="SECRETARIA DE EDUCACION"/>
    <x v="7"/>
    <n v="2020130010256"/>
    <x v="2"/>
    <x v="6"/>
    <x v="61"/>
    <s v="2,3,2201,0700,2020130010256"/>
    <s v="001"/>
    <s v="1,2,1,0,00-001 - ICLD"/>
    <s v="INV"/>
    <s v="NO"/>
    <s v="IMPLEMENTACION DE LA ESTRATEGIA SENDERO DE LA CREATIVIDAD: TRANSITO ARMONICO DE EDUCACION INICIAL A PREESCOLAR EN EL MARCO DEL PROGRAMA SABIDURIA DE LA PRIMERA INFANCIA  EN  CARTAGENA DE INDIAS"/>
    <x v="118"/>
    <s v="06"/>
    <s v="00"/>
    <n v="176686273.12"/>
    <n v="-10912650"/>
    <n v="165773623.12"/>
    <n v="163672541"/>
    <n v="2101082.12"/>
    <n v="163672541"/>
    <n v="98.73"/>
    <n v="162130800"/>
    <n v="97.8"/>
    <n v="2101082.12"/>
    <n v="162130800"/>
  </r>
  <r>
    <n v="2022"/>
    <n v="100"/>
    <x v="7"/>
    <s v="SECRETARIA DE EDUCACION"/>
    <x v="7"/>
    <n v="2020130010257"/>
    <x v="2"/>
    <x v="6"/>
    <x v="48"/>
    <s v="2,3,2201,0700,2020130010257"/>
    <s v="001"/>
    <s v="1,2,1,0,00-001 - ICLD"/>
    <s v="INV"/>
    <s v="NO"/>
    <s v="FORTALECIMIENTO DE LAS PRACTICAS ETNOEDUCATIVAS EN INSTITUCIONES EDUCATIVAS OFICIALES  DEL DISTRITO   CARTAGENA DE INDIAS"/>
    <x v="119"/>
    <s v="06"/>
    <s v="00"/>
    <n v="82500000"/>
    <n v="0"/>
    <n v="82500000"/>
    <n v="81800000"/>
    <n v="700000"/>
    <n v="81800000"/>
    <n v="99.15"/>
    <n v="78000000"/>
    <n v="94.55"/>
    <n v="700000"/>
    <n v="78000000"/>
  </r>
  <r>
    <n v="2022"/>
    <n v="100"/>
    <x v="7"/>
    <s v="SECRETARIA DE EDUCACION"/>
    <x v="7"/>
    <n v="2020130010268"/>
    <x v="2"/>
    <x v="6"/>
    <x v="39"/>
    <s v="2,3,2202,0700,2020130010268"/>
    <s v="831"/>
    <s v="1,3,3,2,00-93-056 RECURSOS DEL BALANCE DE DESTINACION ESPECIFICA POR ACTO ADMINISTRATIVO FONDO BICENTENARIO"/>
    <s v="INV"/>
    <s v="NO"/>
    <s v="CONSOLIDACION DE BECAS UNIVERSITARIAS PARA EGRESADOS DE LAS INSTITUCIONES EDUCATIVAS OFICIALES DE  CARTAGENA DE INDIAS"/>
    <x v="120"/>
    <s v="06"/>
    <s v="00"/>
    <n v="0"/>
    <n v="4155811781.6300001"/>
    <n v="4155811781.6300001"/>
    <n v="4155811781"/>
    <n v="0.63"/>
    <n v="4155811781"/>
    <n v="100"/>
    <n v="0"/>
    <n v="0"/>
    <n v="0.63"/>
    <n v="0"/>
  </r>
  <r>
    <n v="2022"/>
    <n v="100"/>
    <x v="7"/>
    <s v="SECRETARIA DE EDUCACION"/>
    <x v="7"/>
    <n v="2020130010268"/>
    <x v="2"/>
    <x v="6"/>
    <x v="39"/>
    <s v="2,3,2202,0700,2020130010268"/>
    <s v="839"/>
    <s v="1,3,3,2,00-95-056 RECURSOS DEL BALANCE DE DESTINACION ESPECIFICA POR ACTO ADMINISTRATIVO FONDO BICENTENARIO"/>
    <s v="INV"/>
    <s v="NO"/>
    <s v="CONSOLIDACION DE BECAS UNIVERSITARIAS PARA EGRESADOS DE LAS INSTITUCIONES EDUCATIVAS OFICIALES DE CARTAGENA DE INDIAS"/>
    <x v="121"/>
    <s v="06"/>
    <s v="00"/>
    <n v="0"/>
    <n v="712273642"/>
    <n v="712273642"/>
    <n v="712273642"/>
    <n v="0"/>
    <n v="712273642"/>
    <n v="100"/>
    <n v="0"/>
    <n v="0"/>
    <n v="0"/>
    <n v="0"/>
  </r>
  <r>
    <n v="2022"/>
    <n v="100"/>
    <x v="7"/>
    <s v="SECRETARIA DE EDUCACION"/>
    <x v="7"/>
    <n v="2020130010268"/>
    <x v="2"/>
    <x v="6"/>
    <x v="39"/>
    <s v="2,3,2202,0700,2020130010268"/>
    <s v="056"/>
    <s v="1,2,2,0,00-056 - ICDE FONDO BICENTENARIO 3% ICA"/>
    <s v="INV"/>
    <s v="NO"/>
    <s v="CONSOLIDACION DE BECAS UNIVERSITARIAS PARA EGRESADOS DE LAS INSTITUCIONES EDUCATIVAS  OFICIALES  DE  CARTAGENA DE INDIAS"/>
    <x v="122"/>
    <s v="06"/>
    <s v="00"/>
    <n v="9369087428"/>
    <n v="2961691538"/>
    <n v="12330778966"/>
    <n v="12330778965.629999"/>
    <n v="0.37"/>
    <n v="12330778965.629999"/>
    <n v="100"/>
    <n v="4700146854"/>
    <n v="38.119999999999997"/>
    <n v="0.37"/>
    <n v="4700146854"/>
  </r>
  <r>
    <n v="2022"/>
    <n v="100"/>
    <x v="7"/>
    <s v="SECRETARIA DE EDUCACION"/>
    <x v="7"/>
    <n v="2020130010268"/>
    <x v="2"/>
    <x v="6"/>
    <x v="39"/>
    <s v="2,3,2202,0700,2020130010268"/>
    <s v="001"/>
    <s v="1,2,1,0,00-001 - ICLD"/>
    <s v="INV"/>
    <s v="NO"/>
    <s v="CONSOLIDACION DE BECAS UNIVERSITARIAS PARA EGRESADOS DE LAS INSTITUCIONES EDUCATIVAS  OFICIALES  DE  CARTAGENA DE INDIAS"/>
    <x v="122"/>
    <s v="06"/>
    <s v="00"/>
    <n v="44000000"/>
    <n v="-44000000"/>
    <n v="0"/>
    <n v="0"/>
    <n v="0"/>
    <n v="0"/>
    <n v="0"/>
    <n v="0"/>
    <n v="0"/>
    <n v="0"/>
    <n v="0"/>
  </r>
  <r>
    <n v="2022"/>
    <n v="100"/>
    <x v="7"/>
    <s v="SECRETARIA DE EDUCACION"/>
    <x v="7"/>
    <n v="2020130010270"/>
    <x v="2"/>
    <x v="6"/>
    <x v="61"/>
    <s v="2,3,2201,0700,2020130010270"/>
    <s v="001"/>
    <s v="1,2,1,0,00-001 - ICLD"/>
    <s v="INV"/>
    <s v="NO"/>
    <s v="IMPLEMENTACION DE LA ESTRATEGIA DESCUBRIENDO EL MUNDO: UNA ESCUELA QUE ACOGE LA PRIMERA INFANCIA EN EL MARCO DEL PROGRAMA SABIDURIA DE LA PRIMERA INFANCIA EN  CARTAGENA DE INDIAS"/>
    <x v="123"/>
    <s v="06"/>
    <s v="00"/>
    <n v="315511202"/>
    <n v="0"/>
    <n v="315511202"/>
    <n v="315511202"/>
    <n v="0"/>
    <n v="312817644.83999997"/>
    <n v="99.15"/>
    <n v="171511775"/>
    <n v="54.36"/>
    <n v="2693557.16"/>
    <n v="171511775"/>
  </r>
  <r>
    <n v="2022"/>
    <n v="100"/>
    <x v="3"/>
    <s v="SECRETARIA DEL INTERIOR Y CONVIVENCIA CIUDADANAL"/>
    <x v="3"/>
    <n v="2020130010272"/>
    <x v="0"/>
    <x v="1"/>
    <x v="60"/>
    <s v="2,3,4501,1000,2020130010272"/>
    <s v="856"/>
    <s v="1,3,3,4,01-95-040  RB CONTRIBUCION SOBRE CONTRATOS DE OBRA PUBLICA"/>
    <s v="INV"/>
    <s v="NO"/>
    <s v="FORTALECIMIENTO DE LAS CAPACIDADES OPERATIVAS DE LA ARMADA NACIONAL PARA LA OPORTUNA ASISTENCIA MILITAR E INCREMENTO DE LA PROTECCION Y SEGURIDAD CIUDADANA EN EL DISTRITO DE   CARTAGENA DE INDIAS"/>
    <x v="124"/>
    <s v="06"/>
    <s v="00"/>
    <n v="0"/>
    <n v="2122307508.77"/>
    <n v="2122307508.77"/>
    <n v="986033717.19000006"/>
    <n v="1136273791.5799999"/>
    <n v="886401996"/>
    <n v="41.77"/>
    <n v="644801996"/>
    <n v="30.38"/>
    <n v="1235905512.77"/>
    <n v="0"/>
  </r>
  <r>
    <n v="2022"/>
    <n v="100"/>
    <x v="3"/>
    <s v="SECRETARIA DEL INTERIOR Y CONVIVENCIA CIUDADANAL"/>
    <x v="3"/>
    <n v="2020130010272"/>
    <x v="0"/>
    <x v="1"/>
    <x v="60"/>
    <s v="2,3,4501,1000,2020130010272"/>
    <s v="174"/>
    <s v="1,3,2,1,02-174 - RF CONTRIBUCION DE OBRAS PUBLICAS"/>
    <s v="INV"/>
    <s v="NO"/>
    <s v="FORTALECIMIENTO DE LAS CAPACIDADES OPERATIVAS DE LA ARMADA NACIONAL PARA LA OPORTUNA ASISTENCIA MILITAR E INCREMENTO DE LA PROTECCION Y SEGURIDAD CIUDADANA EN EL DISTRITO DE   CARTAGENA DE INDIAS"/>
    <x v="124"/>
    <s v="06"/>
    <s v="00"/>
    <n v="1"/>
    <n v="0"/>
    <n v="1"/>
    <n v="0"/>
    <n v="1"/>
    <n v="0"/>
    <n v="0"/>
    <n v="0"/>
    <n v="0"/>
    <n v="1"/>
    <n v="0"/>
  </r>
  <r>
    <n v="2022"/>
    <n v="100"/>
    <x v="3"/>
    <s v="SECRETARIA DEL INTERIOR Y CONVIVENCIA CIUDADANAL"/>
    <x v="3"/>
    <n v="2020130010272"/>
    <x v="0"/>
    <x v="1"/>
    <x v="60"/>
    <s v="2,3,4501,1000,2020130010272"/>
    <s v="040"/>
    <s v="1,2,3,2,01-040 - CONTRIBUCION SOBRE CONTRATOS DE OBRA PUBLICA"/>
    <s v="INV"/>
    <s v="NO"/>
    <s v="FORTALECIMIENTO DE LAS CAPACIDADES OPERATIVAS DE LA ARMADA NACIONAL PARA LA OPORTUNA ASISTENCIA MILITAR E INCREMENTO DE LA PROTECCION Y SEGURIDAD CIUDADANA EN EL DISTRITO DE   CARTAGENA DE INDIAS"/>
    <x v="124"/>
    <s v="06"/>
    <s v="00"/>
    <n v="1463476709"/>
    <n v="0"/>
    <n v="1463476709"/>
    <n v="1162809547.24"/>
    <n v="300667161.75999999"/>
    <n v="1073258767.6"/>
    <n v="73.34"/>
    <n v="955441161"/>
    <n v="65.290000000000006"/>
    <n v="390217941.39999998"/>
    <n v="282999998"/>
  </r>
  <r>
    <n v="2022"/>
    <n v="100"/>
    <x v="13"/>
    <s v="SECRETARIA GENERAL"/>
    <x v="13"/>
    <n v="2020130010277"/>
    <x v="0"/>
    <x v="19"/>
    <x v="62"/>
    <s v="2,3,4599,1000,2020130010277"/>
    <s v="001"/>
    <s v="1,2,1,0,00-001 - ICLD"/>
    <s v="INV"/>
    <s v="NO"/>
    <s v="INTEGRACION DEL SISTEMA DE GESTION DE LA CALIDAD Y EL SERVICIO AL CIUDADANO PARA LA IMPLEMENTACION DEL MODELO INTEGRADO DE PLANEACION Y GESTION EN LA SECRETARIA GENERAL -TG+ CARTAGENA DE INDIAS"/>
    <x v="125"/>
    <s v="06"/>
    <s v="00"/>
    <n v="400000000"/>
    <n v="-158382653.59999999"/>
    <n v="241617346.40000001"/>
    <n v="241617346.40000001"/>
    <n v="0"/>
    <n v="198516666"/>
    <n v="82.16"/>
    <n v="198516666"/>
    <n v="82.16"/>
    <n v="43100680.399999999"/>
    <n v="193150000"/>
  </r>
  <r>
    <n v="2022"/>
    <n v="100"/>
    <x v="13"/>
    <s v="SECRETARIA GENERAL"/>
    <x v="13"/>
    <n v="2020130010292"/>
    <x v="1"/>
    <x v="20"/>
    <x v="63"/>
    <s v="2,3,3202,0900,2020130010292"/>
    <s v="001"/>
    <s v="1,2,1,0,00-001 - ICLD"/>
    <s v="INV"/>
    <s v="NO"/>
    <s v="ACTUALIZACION  PLAN DE SANEAMIENTO Y MANEJO DE VERTIMIENTOS PSMV ETV+  CARTAGENA DE INDIAS"/>
    <x v="126"/>
    <s v="06"/>
    <s v="00"/>
    <n v="1"/>
    <n v="0"/>
    <n v="1"/>
    <n v="0"/>
    <n v="1"/>
    <n v="0"/>
    <n v="0"/>
    <n v="0"/>
    <n v="0"/>
    <n v="1"/>
    <n v="0"/>
  </r>
  <r>
    <n v="2022"/>
    <n v="100"/>
    <x v="14"/>
    <s v="SECRETARIA DE HACIENDA PUBLICA"/>
    <x v="14"/>
    <n v="2020130010296"/>
    <x v="3"/>
    <x v="11"/>
    <x v="64"/>
    <s v="2,3,3602,1300,2020130010296"/>
    <s v="813"/>
    <s v="1,3,3,11,03-93-138 R,B, DIVIDENDOS SOCIEDAD PORTUARIA"/>
    <s v="INV"/>
    <s v="NO"/>
    <s v="IMPLEMENTACION DEL CENTRO DE FOMENTO AL EMPRENDIMIENTO Y A LA EMPLEABILIDAD PARA UNA CARTAGENA DE INDIAS INCLUSIVA Y MAS COMPETITIVA EN  CARTAGENA DE INDIAS"/>
    <x v="127"/>
    <s v="06"/>
    <s v="00"/>
    <n v="0"/>
    <n v="500000000"/>
    <n v="500000000"/>
    <n v="500000000"/>
    <n v="0"/>
    <n v="6024000"/>
    <n v="1.2"/>
    <n v="5964000"/>
    <n v="1.19"/>
    <n v="493976000"/>
    <n v="5964000"/>
  </r>
  <r>
    <n v="2022"/>
    <n v="100"/>
    <x v="14"/>
    <s v="SECRETARIA DE HACIENDA PUBLICA"/>
    <x v="14"/>
    <n v="2020130010296"/>
    <x v="3"/>
    <x v="11"/>
    <x v="64"/>
    <s v="2,3,3602,1300,2020130010296"/>
    <s v="001"/>
    <s v="1,2,1,0,00-001 - ICLD"/>
    <s v="INV"/>
    <s v="NO"/>
    <s v="IMPLEMENTACION DEL CENTRO DE FOMENTO AL EMPRENDIMIENTO Y A LA EMPLEABILIDAD PARA UNA CARTAGENA DE INDIAS INCLUSIVA Y MAS COMPETITIVA EN  CARTAGENA DE INDIAS"/>
    <x v="127"/>
    <s v="06"/>
    <s v="00"/>
    <n v="4902189566"/>
    <n v="-4700000000"/>
    <n v="202189566"/>
    <n v="202184000"/>
    <n v="5566"/>
    <n v="41184000"/>
    <n v="20.37"/>
    <n v="41184000"/>
    <n v="20.37"/>
    <n v="161005566"/>
    <n v="41184000"/>
  </r>
  <r>
    <n v="2022"/>
    <n v="100"/>
    <x v="14"/>
    <s v="SECRETARIA DE HACIENDA PUBLICA"/>
    <x v="14"/>
    <n v="2020130010297"/>
    <x v="3"/>
    <x v="21"/>
    <x v="65"/>
    <s v="2,3,3602,1300,2020130010297"/>
    <s v="813"/>
    <s v="1,3,3,11,03-93-138 R,B, DIVIDENDOS SOCIEDAD PORTUARIA"/>
    <s v="INV"/>
    <s v="NO"/>
    <s v="IMPLEMENTACION DE ESTRATEGIAS DE ARTICULACION ENTRE ACTORES E INICIATIVAS PARA EL IMPULSO DE UNA CULTURA DE LA INNOVACION EN CARTAGENA DE INDIAS"/>
    <x v="128"/>
    <s v="06"/>
    <s v="00"/>
    <n v="0"/>
    <n v="1000000000"/>
    <n v="1000000000"/>
    <n v="6206667"/>
    <n v="993793333"/>
    <n v="0"/>
    <n v="0"/>
    <n v="0"/>
    <n v="0"/>
    <n v="1000000000"/>
    <n v="0"/>
  </r>
  <r>
    <n v="2022"/>
    <n v="100"/>
    <x v="14"/>
    <s v="SECRETARIA DE HACIENDA PUBLICA"/>
    <x v="14"/>
    <n v="2020130010297"/>
    <x v="3"/>
    <x v="21"/>
    <x v="65"/>
    <s v="2,3,3602,1300,2020130010297"/>
    <s v="001"/>
    <s v="1,2,1,0,00-001 - ICLD"/>
    <s v="INV"/>
    <s v="NO"/>
    <s v="IMPLEMENTACION DE ESTRATEGIAS DE ARTICULACION ENTRE ACTORES E INICIATIVAS PARA EL IMPULSO DE UNA CULTURA DE LA INNOVACION EN  CARTAGENA DE INDIAS"/>
    <x v="129"/>
    <s v="06"/>
    <s v="00"/>
    <n v="451094783"/>
    <n v="-200000000"/>
    <n v="251094783"/>
    <n v="246194783"/>
    <n v="4900000"/>
    <n v="244994783"/>
    <n v="97.57"/>
    <n v="244994783"/>
    <n v="97.57"/>
    <n v="6100000"/>
    <n v="106958435"/>
  </r>
  <r>
    <n v="2022"/>
    <n v="100"/>
    <x v="15"/>
    <s v="SECRETARIA DE PLANEACION"/>
    <x v="15"/>
    <n v="2020130010300"/>
    <x v="1"/>
    <x v="17"/>
    <x v="66"/>
    <s v="2,3,0401,1003,2020130010300"/>
    <s v="001"/>
    <s v="1,2,1,0,00-001 - ICLD"/>
    <s v="INV"/>
    <s v="NO"/>
    <s v="IMPLEMENTACION OBSERVATORIO DE DINAMICAS URBANAS Y SOCIALES DE CARTAGENA DE INDIAS TG+  CARTAGENA DE INDIAS"/>
    <x v="130"/>
    <s v="06"/>
    <s v="00"/>
    <n v="556000000"/>
    <n v="-248000000"/>
    <n v="308000000"/>
    <n v="259600000"/>
    <n v="48400000"/>
    <n v="259600000"/>
    <n v="84.29"/>
    <n v="253600000"/>
    <n v="82.34"/>
    <n v="48400000"/>
    <n v="253600000"/>
  </r>
  <r>
    <n v="2022"/>
    <n v="100"/>
    <x v="3"/>
    <s v="SECRETARIA DEL INTERIOR Y CONVIVENCIA CIUDADANAL"/>
    <x v="3"/>
    <n v="2020130010304"/>
    <x v="0"/>
    <x v="1"/>
    <x v="60"/>
    <s v="2,3,4501,1000,2020130010304"/>
    <s v="856"/>
    <s v="1,3,3,4,01-95-040  RB CONTRIBUCION SOBRE CONTRATOS DE OBRA PUBLICA"/>
    <s v="INV"/>
    <s v="NO"/>
    <s v="MEJORAMIENTO DE LA SEDE DE LA FISCALIA GENERAL DE LA NACION UBICADA EN EL BARRIO CRESPO CALLE 66 4 -86 EDIFICIO HOCOL PISOS 1 Y 2 DEL DISTRITO DE CARTAGENA DE INDIAS"/>
    <x v="131"/>
    <s v="06"/>
    <s v="00"/>
    <n v="0"/>
    <n v="1912307508.77"/>
    <n v="1912307508.77"/>
    <n v="1855036590.3299999"/>
    <n v="57270918.439999998"/>
    <n v="0"/>
    <n v="0"/>
    <n v="0"/>
    <n v="0"/>
    <n v="1912307508.77"/>
    <n v="0"/>
  </r>
  <r>
    <n v="2022"/>
    <n v="100"/>
    <x v="3"/>
    <s v="SECRETARIA DEL INTERIOR Y CONVIVENCIA CIUDADANAL"/>
    <x v="3"/>
    <n v="2020130010304"/>
    <x v="0"/>
    <x v="1"/>
    <x v="60"/>
    <s v="2,3,4501,1000,2020130010304"/>
    <s v="040"/>
    <s v="1,2,3,2,01-040 - CONTRIBUCION SOBRE CONTRATOS DE OBRA PUBLICA"/>
    <s v="INV"/>
    <s v="NO"/>
    <s v="MEJORAMIENTO DE LA SEDE DE LA FISCALIA GENERAL DE LA NACION UBICADA EN EL BARRIO CRESPO CALLE 66 4 -86 EDIFICIO HOCOL PISOS 1 Y 2 DEL DISTRITO DE CARTAGENA DE INDIAS"/>
    <x v="131"/>
    <s v="06"/>
    <s v="00"/>
    <n v="1500000000"/>
    <n v="0"/>
    <n v="1500000000"/>
    <n v="0"/>
    <n v="1500000000"/>
    <n v="0"/>
    <n v="0"/>
    <n v="0"/>
    <n v="0"/>
    <n v="1500000000"/>
    <n v="0"/>
  </r>
  <r>
    <n v="2022"/>
    <n v="100"/>
    <x v="10"/>
    <s v="FONDO DE VIVIENDA DE INTERES SOCIAL Y REFORMA URBANA"/>
    <x v="10"/>
    <n v="2020130010306"/>
    <x v="1"/>
    <x v="14"/>
    <x v="67"/>
    <s v="2,3,4002,1400,2020130010306"/>
    <s v="039"/>
    <s v="1,2,2,0,00-039 - ICDE-CORVIVIENDA 15% IPU"/>
    <s v="INV"/>
    <s v="NO"/>
    <s v="ELABORACION DE ESTUDIOS SECTORIALES Y SEGUIMIENTO A LA LINEA ESTRATEGICA DE VIVIENDA A TRAVES DE UN OBSERVATORIO DE VIVIENDA DE INTERES SOCIAL DEL PROGRAMA MI CASA MI ENTORNO MI HABITAT DE LA CIUDAD DE CARTAGENA DE INDIAS"/>
    <x v="132"/>
    <s v="06"/>
    <s v="00"/>
    <n v="190861993"/>
    <n v="0"/>
    <n v="190861993"/>
    <n v="152718000"/>
    <n v="38143993"/>
    <n v="152718000"/>
    <n v="80.010000000000005"/>
    <n v="152718000"/>
    <n v="80.010000000000005"/>
    <n v="38143993"/>
    <n v="152718000"/>
  </r>
  <r>
    <n v="2022"/>
    <n v="100"/>
    <x v="10"/>
    <s v="FONDO DE VIVIENDA DE INTERES SOCIAL Y REFORMA URBANA"/>
    <x v="10"/>
    <n v="2020130010307"/>
    <x v="1"/>
    <x v="14"/>
    <x v="67"/>
    <s v="2,3,4002,1400,2020130010307"/>
    <s v="039"/>
    <s v="1,2,2,0,00-039 - ICDE-CORVIVIENDA 15% IPU"/>
    <s v="INV"/>
    <s v="NO"/>
    <s v="ELABORACION DE ESTUDIOS PARA LA FORMULACION YO PARTICIPACION EN PLANES PARCIALES DEL PROGRAMA MI CASA MI ENTORNO MI HABITAT DE LA CIUDAD DE CARTAGENA DE INDIAS"/>
    <x v="133"/>
    <s v="06"/>
    <s v="00"/>
    <n v="81775793"/>
    <n v="0"/>
    <n v="81775793"/>
    <n v="72000000"/>
    <n v="9775793"/>
    <n v="72000000"/>
    <n v="88.05"/>
    <n v="72000000"/>
    <n v="88.05"/>
    <n v="9775793"/>
    <n v="72000000"/>
  </r>
  <r>
    <n v="2022"/>
    <n v="100"/>
    <x v="10"/>
    <s v="FONDO DE VIVIENDA DE INTERES SOCIAL Y REFORMA URBANA"/>
    <x v="10"/>
    <n v="2020130010308"/>
    <x v="1"/>
    <x v="14"/>
    <x v="67"/>
    <s v="2,3,4002,1400,2020130010308"/>
    <s v="039"/>
    <s v="1,2,2,0,00-039 - ICDE-CORVIVIENDA 15% IPU"/>
    <s v="INV"/>
    <s v="NO"/>
    <s v="ELABORACION DE ESTUDIOS Y TRAMITES DE LEGALIZACION URBANISTICA DE BARRIOS DEL PROGRAMA MI CASA MI ENTORNO MI HABITAT DE LA CIUDAD DE CARTAGENA DE INDIAS"/>
    <x v="134"/>
    <s v="06"/>
    <s v="00"/>
    <n v="208000000"/>
    <n v="0"/>
    <n v="208000000"/>
    <n v="208000000"/>
    <n v="0"/>
    <n v="208000000"/>
    <n v="100"/>
    <n v="208000000"/>
    <n v="100"/>
    <n v="0"/>
    <n v="208000000"/>
  </r>
  <r>
    <n v="2022"/>
    <n v="100"/>
    <x v="10"/>
    <s v="FONDO DE VIVIENDA DE INTERES SOCIAL Y REFORMA URBANA"/>
    <x v="10"/>
    <n v="2020130010308"/>
    <x v="1"/>
    <x v="14"/>
    <x v="67"/>
    <s v="2,3,4002,1400,2020130010308"/>
    <s v="837"/>
    <s v="1,3,3,2,00-95-039 R,B, ICDE-CORVIVIENDA 15% IPU"/>
    <s v="INV"/>
    <s v="NO"/>
    <s v="ELABORACION DE ESTUDIOS Y TRAMITES DE LEGALIZACION URBANISTICA DE BARRIOS DEL PROGRAMA MI CASA MI ENTORNO MI HABITAT DE LA CIUDAD DE CARTAGENA DE INDIAS"/>
    <x v="134"/>
    <s v="06"/>
    <s v="00"/>
    <n v="0"/>
    <n v="842000000"/>
    <n v="842000000"/>
    <n v="842000000"/>
    <n v="0"/>
    <n v="842000000"/>
    <n v="100"/>
    <n v="842000000"/>
    <n v="100"/>
    <n v="0"/>
    <n v="842000000"/>
  </r>
  <r>
    <n v="2022"/>
    <n v="100"/>
    <x v="7"/>
    <s v="SECRETARIA DE EDUCACION"/>
    <x v="7"/>
    <n v="2020130010309"/>
    <x v="2"/>
    <x v="6"/>
    <x v="39"/>
    <s v="2,3,2202,0700,2020130010309"/>
    <s v="001"/>
    <s v="1,2,1,0,00-001 - ICLD"/>
    <s v="INV"/>
    <s v="NO"/>
    <s v="APOYO AL MEJORAMIENTO DE LAS COMPETENCIAS LABORALES DE LOS EGRESADOS DE LAS INSTITUCIONES EDUCATIVAS OFICIALES DE   CARTAGENA DE INDIAS"/>
    <x v="135"/>
    <s v="06"/>
    <s v="00"/>
    <n v="200000000"/>
    <n v="-200000000"/>
    <n v="0"/>
    <n v="0"/>
    <n v="0"/>
    <n v="0"/>
    <n v="0"/>
    <n v="0"/>
    <n v="0"/>
    <n v="0"/>
    <n v="0"/>
  </r>
  <r>
    <n v="2022"/>
    <n v="100"/>
    <x v="9"/>
    <s v="SECRETARIA DE PARTICIPACION Y DESARROLLO SOCIAL"/>
    <x v="9"/>
    <n v="2020130010319"/>
    <x v="4"/>
    <x v="13"/>
    <x v="32"/>
    <s v="2,3,4104,1500,2020130010319"/>
    <s v="088"/>
    <s v="1,2,3,1,19-088 - ESTAMPILLAS ADULTO MAYOR"/>
    <s v="INV"/>
    <s v="NO"/>
    <s v="APOYO PARA LA ATENCION INTEGRAL AL ADULTO MAYOR EN ESTADO DE ABANDONO MALTRATO Y SITUACION DE CALLE EN EL DISTRITO DE   CARTAGENA DE INDIAS"/>
    <x v="136"/>
    <s v="06"/>
    <s v="00"/>
    <n v="1747600000"/>
    <n v="0"/>
    <n v="1747600000"/>
    <n v="1747363723"/>
    <n v="236277"/>
    <n v="1522039444"/>
    <n v="87.09"/>
    <n v="1215065973.3699999"/>
    <n v="69.53"/>
    <n v="225560556"/>
    <n v="1186814973.3699999"/>
  </r>
  <r>
    <n v="2022"/>
    <n v="100"/>
    <x v="15"/>
    <s v="SECRETARIA DE PLANEACION"/>
    <x v="15"/>
    <n v="2020130010320"/>
    <x v="3"/>
    <x v="22"/>
    <x v="68"/>
    <s v="2,3,4002,1400,2020130010320"/>
    <s v="813"/>
    <s v="1,3,3,11,03-93-138 R,B, DIVIDENDOS SOCIEDAD PORTUARIA"/>
    <s v="INV"/>
    <s v="NO"/>
    <s v="IMPLEMENTACION REGLAMENTACION URBANISTICA PARA LA HABILITACION DE SUELO PARA DESARROLLO ECONOMICO Y URBANO EN EL DISTRITO TG+  CARTAGENA DE INDIAS"/>
    <x v="137"/>
    <s v="06"/>
    <s v="00"/>
    <n v="0"/>
    <n v="67500000"/>
    <n v="67500000"/>
    <n v="10533333"/>
    <n v="56966667"/>
    <n v="10533333"/>
    <n v="15.6"/>
    <n v="8000000"/>
    <n v="11.85"/>
    <n v="56966667"/>
    <n v="8000000"/>
  </r>
  <r>
    <n v="2022"/>
    <n v="100"/>
    <x v="15"/>
    <s v="SECRETARIA DE PLANEACION"/>
    <x v="15"/>
    <n v="2020130010320"/>
    <x v="3"/>
    <x v="22"/>
    <x v="68"/>
    <s v="2,3,4002,1400,2020130010320"/>
    <s v="001"/>
    <s v="1,2,1,0,00-001 - ICLD"/>
    <s v="INV"/>
    <s v="NO"/>
    <s v="IMPLEMENTACION REGLAMENTACION URBANISTICA PARA LA HABILITACION DE SUELO PARA DESARROLLO ECONOMICO Y URBANO EN EL DISTRITO TG+  CARTAGENA DE INDIAS"/>
    <x v="137"/>
    <s v="06"/>
    <s v="00"/>
    <n v="277200000.06999999"/>
    <n v="0"/>
    <n v="277200000.06999999"/>
    <n v="272606666"/>
    <n v="4593334.07"/>
    <n v="272606666"/>
    <n v="98.34"/>
    <n v="272606666"/>
    <n v="98.34"/>
    <n v="4593334.07"/>
    <n v="269006666"/>
  </r>
  <r>
    <n v="2022"/>
    <n v="100"/>
    <x v="9"/>
    <s v="SECRETARIA DE PARTICIPACION Y DESARROLLO SOCIAL"/>
    <x v="9"/>
    <n v="2020130010321"/>
    <x v="4"/>
    <x v="23"/>
    <x v="69"/>
    <s v="2,3,4103,1500,2020130010321"/>
    <s v="001"/>
    <s v="1,2,1,0,00-001 - ICLD"/>
    <s v="INV"/>
    <s v="NO"/>
    <s v="APOYO A LA FORMACION PARA EL TRABAJO GENERACION DE INGRESOS Y RESPONSABILIDAD SOCIAL EMPRESARIAL A PERSONAS HABITANTES DE CALLE EN  CARTAGENA DE INDIAS"/>
    <x v="138"/>
    <s v="06"/>
    <s v="00"/>
    <n v="50000000"/>
    <n v="0"/>
    <n v="50000000"/>
    <n v="49999996"/>
    <n v="4"/>
    <n v="49999996"/>
    <n v="100"/>
    <n v="0"/>
    <n v="0"/>
    <n v="4"/>
    <n v="0"/>
  </r>
  <r>
    <n v="2022"/>
    <n v="100"/>
    <x v="14"/>
    <s v="SECRETARIA DE HACIENDA PUBLICA"/>
    <x v="14"/>
    <n v="2020130010324"/>
    <x v="3"/>
    <x v="11"/>
    <x v="70"/>
    <s v="2,3,3502,0200,2020130010324"/>
    <s v="001"/>
    <s v="1,2,1,0,00-001 - ICLD"/>
    <s v="INV"/>
    <s v="NO"/>
    <s v="DESARROLLO DE ESTRATEGIAS PARA EL FORTALECIMIENTO DE LOS ENCADENAMIENTOS PRODUCTIVOS Y REDES DE PROVEEDURIA EN EL DISTRITO DE CARTAGENA DE INDIAS"/>
    <x v="139"/>
    <s v="06"/>
    <s v="00"/>
    <n v="476577126"/>
    <n v="-200000000"/>
    <n v="276577126"/>
    <n v="46320000"/>
    <n v="230257126"/>
    <n v="34320000"/>
    <n v="12.41"/>
    <n v="34320000"/>
    <n v="12.41"/>
    <n v="242257126"/>
    <n v="34320000"/>
  </r>
  <r>
    <n v="2022"/>
    <n v="100"/>
    <x v="14"/>
    <s v="SECRETARIA DE HACIENDA PUBLICA"/>
    <x v="14"/>
    <n v="2020130010325"/>
    <x v="3"/>
    <x v="11"/>
    <x v="71"/>
    <s v="2,3,3502,0200,2020130010325"/>
    <s v="813"/>
    <s v="1,3,3,11,03-93-138 R,B, DIVIDENDOS SOCIEDAD PORTUARIA"/>
    <s v="INV"/>
    <s v="NO"/>
    <s v="CONSOLIDACION DEL CIERRE DE BRECHAS PARA LA EMPLEABILIDAD Y EMPLEOS INCLUSIVOS A LOS GRUPOS POBLACIONALES VULNERABLES EN EL DISTRITO DE   CARTAGENA DE INDIAS"/>
    <x v="140"/>
    <s v="06"/>
    <s v="00"/>
    <n v="0"/>
    <n v="67499284.840000004"/>
    <n v="67499284.840000004"/>
    <n v="50000000"/>
    <n v="17499284.84"/>
    <n v="49525420"/>
    <n v="73.37"/>
    <n v="0"/>
    <n v="0"/>
    <n v="17973864.84"/>
    <n v="0"/>
  </r>
  <r>
    <n v="2022"/>
    <n v="100"/>
    <x v="14"/>
    <s v="SECRETARIA DE HACIENDA PUBLICA"/>
    <x v="14"/>
    <n v="2020130010325"/>
    <x v="3"/>
    <x v="11"/>
    <x v="71"/>
    <s v="2,3,3502,0200,2020130010325"/>
    <s v="816"/>
    <s v="1,3,3,11,03-95-138 R,B, DIVIDENDOS SOCIEDAD PORTUARIA"/>
    <s v="INV"/>
    <s v="NO"/>
    <s v="CONSOLIDACION DEL CIERRE DE BRECHAS PARA LA EMPLEABILIDAD Y EMPLEOS INCLUSIVOS A LOS GRUPOS POBLACIONALES VULNERABLES EN EL DISTRITO DE   CARTAGENA DE INDIAS"/>
    <x v="140"/>
    <s v="06"/>
    <s v="00"/>
    <n v="0"/>
    <n v="32500715.16"/>
    <n v="32500715.16"/>
    <n v="0"/>
    <n v="32500715.16"/>
    <n v="0"/>
    <n v="0"/>
    <n v="0"/>
    <n v="0"/>
    <n v="32500715.16"/>
    <n v="0"/>
  </r>
  <r>
    <n v="2022"/>
    <n v="100"/>
    <x v="14"/>
    <s v="SECRETARIA DE HACIENDA PUBLICA"/>
    <x v="14"/>
    <n v="2020130010325"/>
    <x v="3"/>
    <x v="11"/>
    <x v="71"/>
    <s v="2,3,3502,0200,2020130010325"/>
    <s v="001"/>
    <s v="1,2,1,0,00-001 - ICLD"/>
    <s v="INV"/>
    <s v="NO"/>
    <s v="CONSOLIDACION DEL CIERRE DE BRECHAS PARA LA EMPLEABILIDAD Y EMPLEOS INCLUSIVOS A LOS GRUPOS POBLACIONALES VULNERABLES EN EL DISTRITO DE   CARTAGENA DE INDIAS"/>
    <x v="140"/>
    <s v="06"/>
    <s v="00"/>
    <n v="902189567"/>
    <n v="-300000000"/>
    <n v="602189567"/>
    <n v="142846400"/>
    <n v="459343167"/>
    <n v="92732400"/>
    <n v="15.4"/>
    <n v="92732400"/>
    <n v="15.4"/>
    <n v="509457167"/>
    <n v="92732400"/>
  </r>
  <r>
    <n v="2022"/>
    <n v="100"/>
    <x v="14"/>
    <s v="SECRETARIA DE HACIENDA PUBLICA"/>
    <x v="14"/>
    <n v="2020130010326"/>
    <x v="3"/>
    <x v="21"/>
    <x v="72"/>
    <s v="2,3,3502,0200,2020130010326"/>
    <s v="001"/>
    <s v="1,2,1,0,00-001 - ICLD"/>
    <s v="INV"/>
    <s v="NO"/>
    <s v="IMPLEMENTACION DE UNA ESTRATEGIA DE PROMOCION Y POSICIONAMIENTO PARA LA ATRACCION DE LOS DIVERSOS TIPOS DE INVERSION EN CARTAGENA DE INDIAS"/>
    <x v="141"/>
    <s v="06"/>
    <s v="00"/>
    <n v="501976358"/>
    <n v="-200000000"/>
    <n v="301976358"/>
    <n v="301900000"/>
    <n v="76358"/>
    <n v="301900000"/>
    <n v="99.97"/>
    <n v="252720000"/>
    <n v="83.69"/>
    <n v="76358"/>
    <n v="252720000"/>
  </r>
  <r>
    <n v="2022"/>
    <n v="100"/>
    <x v="14"/>
    <s v="SECRETARIA DE HACIENDA PUBLICA"/>
    <x v="14"/>
    <n v="2020130010327"/>
    <x v="3"/>
    <x v="11"/>
    <x v="73"/>
    <s v="2,3,3502,0200,2020130010327"/>
    <s v="816"/>
    <s v="1,3,3,11,03-95-138 R,B, DIVIDENDOS SOCIEDAD PORTUARIA"/>
    <s v="INV"/>
    <s v="NO"/>
    <s v="DESARROLLO DE ESTRATEGIAS PARA EL APROVECHAMIENTO DE LAS ECONOMIAS DE AGLOMERACION EN EL DISTRITO DE CARTAGENA DE INDIAS"/>
    <x v="142"/>
    <s v="06"/>
    <s v="00"/>
    <n v="0"/>
    <n v="200000000"/>
    <n v="200000000"/>
    <n v="200000000"/>
    <n v="0"/>
    <n v="0"/>
    <n v="0"/>
    <n v="0"/>
    <n v="0"/>
    <n v="200000000"/>
    <n v="0"/>
  </r>
  <r>
    <n v="2022"/>
    <n v="100"/>
    <x v="14"/>
    <s v="SECRETARIA DE HACIENDA PUBLICA"/>
    <x v="14"/>
    <n v="2020130010327"/>
    <x v="3"/>
    <x v="11"/>
    <x v="73"/>
    <s v="2,3,3502,0200,2020130010327"/>
    <s v="001"/>
    <s v="1,2,1,0,00-001 - ICLD"/>
    <s v="INV"/>
    <s v="NO"/>
    <s v="DESARROLLO DE ESTRATEGIAS PARA EL APROVECHAMIENTO DE LAS ECONOMIAS DE AGLOMERACION EN EL DISTRITO DE CARTAGENA DE INDIAS"/>
    <x v="142"/>
    <s v="06"/>
    <s v="00"/>
    <n v="402189566"/>
    <n v="-200000000"/>
    <n v="202189566"/>
    <n v="41808000"/>
    <n v="160381566"/>
    <n v="41808000"/>
    <n v="20.68"/>
    <n v="41808000"/>
    <n v="20.68"/>
    <n v="160381566"/>
    <n v="41808000"/>
  </r>
  <r>
    <n v="2022"/>
    <n v="100"/>
    <x v="16"/>
    <s v="DEPARTAMENTO ADMINISTRATIVO DE TRANSITO Y TRANSPORTE"/>
    <x v="16"/>
    <n v="2020130010329"/>
    <x v="1"/>
    <x v="10"/>
    <x v="74"/>
    <s v="2,3,2409,0600,2020130010329"/>
    <s v="844"/>
    <s v="1,3,3,3,03-93-022 R,B, IMPUESTO SOBRE VEHICULOS AUTOMOTORES"/>
    <s v="INV"/>
    <s v="NO"/>
    <s v="SUSTITUCION DE VEHICULOS DE TRACCION ANIMAL DEDICADOS AL TRANSPORTE DE CARGA LIVIANA EXISTENTES EN EL DISTRITO DE   CARTAGENA DE INDIAS"/>
    <x v="143"/>
    <s v="06"/>
    <s v="00"/>
    <n v="0"/>
    <n v="1802416866.3399999"/>
    <n v="1802416866.3399999"/>
    <n v="1802416866.3399999"/>
    <n v="0"/>
    <n v="1802416866.3399999"/>
    <n v="100"/>
    <n v="0"/>
    <n v="0"/>
    <n v="0"/>
    <n v="0"/>
  </r>
  <r>
    <n v="2022"/>
    <n v="100"/>
    <x v="16"/>
    <s v="DEPARTAMENTO ADMINISTRATIVO DE TRANSITO Y TRANSPORTE"/>
    <x v="16"/>
    <n v="2020130010329"/>
    <x v="1"/>
    <x v="10"/>
    <x v="74"/>
    <s v="2,3,2409,0600,2020130010329"/>
    <s v="846"/>
    <s v="1,3,3,3,03-95-022 R,B, IMPUESTO SOBRE VEHICULOS AUTOMOTORES"/>
    <s v="INV"/>
    <s v="NO"/>
    <s v="SUSTITUCION DE VEHICULOS DE TRACCION ANIMAL DEDICADOS AL TRANSPORTE DE CARGA LIVIANA EXISTENTES EN EL DISTRITO DE   CARTAGENA DE INDIAS"/>
    <x v="143"/>
    <s v="06"/>
    <s v="00"/>
    <n v="0"/>
    <n v="560475785"/>
    <n v="560475785"/>
    <n v="560475785"/>
    <n v="0"/>
    <n v="560475785"/>
    <n v="100"/>
    <n v="0"/>
    <n v="0"/>
    <n v="0"/>
    <n v="0"/>
  </r>
  <r>
    <n v="2022"/>
    <n v="100"/>
    <x v="16"/>
    <s v="DEPARTAMENTO ADMINISTRATIVO DE TRANSITO Y TRANSPORTE"/>
    <x v="16"/>
    <n v="2020130010329"/>
    <x v="1"/>
    <x v="10"/>
    <x v="74"/>
    <s v="2,3,2409,0600,2020130010329"/>
    <s v="847"/>
    <s v="1,3,3,3,03-95-079 R,B, IMPUESTO SOBRE VEHICULOS AUTOMOTORES RENDIMIENTOS DATT"/>
    <s v="INV"/>
    <s v="NO"/>
    <s v="SUSTITUCION DE VEHICULOS DE TRACCION ANIMAL DEDICADOS AL TRANSPORTE DE CARGA LIVIANA EXISTENTES EN EL DISTRITO DE   CARTAGENA DE INDIAS"/>
    <x v="143"/>
    <s v="06"/>
    <s v="00"/>
    <n v="0"/>
    <n v="14259286"/>
    <n v="14259286"/>
    <n v="14259286"/>
    <n v="0"/>
    <n v="14259286"/>
    <n v="100"/>
    <n v="0"/>
    <n v="0"/>
    <n v="0"/>
    <n v="0"/>
  </r>
  <r>
    <n v="2022"/>
    <n v="100"/>
    <x v="16"/>
    <s v="DEPARTAMENTO ADMINISTRATIVO DE TRANSITO Y TRANSPORTE"/>
    <x v="16"/>
    <n v="2020130010329"/>
    <x v="1"/>
    <x v="10"/>
    <x v="74"/>
    <s v="2,3,2409,0600,2020130010329"/>
    <s v="862"/>
    <s v="1,3,3,4,15-95-021 R,B, SERVICIOS DE TRANSITO Y TRANSPORTE"/>
    <s v="INV"/>
    <s v="NO"/>
    <s v="SUSTITUCION DE VEHICULOS DE TRACCION ANIMAL DEDICADOS AL TRANSPORTE DE CARGA LIVIANA EXISTENTES EN EL DISTRITO DE   CARTAGENA DE INDIAS"/>
    <x v="143"/>
    <s v="06"/>
    <s v="00"/>
    <n v="0"/>
    <n v="1715653062"/>
    <n v="1715653062"/>
    <n v="1715653062"/>
    <n v="0"/>
    <n v="1715653062"/>
    <n v="100"/>
    <n v="0"/>
    <n v="0"/>
    <n v="0"/>
    <n v="0"/>
  </r>
  <r>
    <n v="2022"/>
    <n v="100"/>
    <x v="16"/>
    <s v="DEPARTAMENTO ADMINISTRATIVO DE TRANSITO Y TRANSPORTE"/>
    <x v="16"/>
    <n v="2020130010329"/>
    <x v="1"/>
    <x v="10"/>
    <x v="74"/>
    <s v="2,3,2409,0600,2020130010329"/>
    <s v="168"/>
    <s v="1,2,3,2,07-168 - OTRAS MULTAS, SANCIONES E INTERESES DE MORA (MULTAS TRANSITO Y TRANSPORTE)"/>
    <s v="INV"/>
    <s v="NO"/>
    <s v="SUSTITUCION DE VEHICULOS DE TRACCION ANIMAL DEDICADOS AL TRANSPORTE DE CARGA LIVIANA EXISTENTES EN EL DISTRITO DE   CARTAGENA DE INDIAS"/>
    <x v="143"/>
    <s v="06"/>
    <s v="00"/>
    <n v="577290058.50999999"/>
    <n v="0"/>
    <n v="577290058.50999999"/>
    <n v="577290058.50999999"/>
    <n v="0"/>
    <n v="577290058.50999999"/>
    <n v="100"/>
    <n v="0"/>
    <n v="0"/>
    <n v="0"/>
    <n v="0"/>
  </r>
  <r>
    <n v="2022"/>
    <n v="100"/>
    <x v="16"/>
    <s v="DEPARTAMENTO ADMINISTRATIVO DE TRANSITO Y TRANSPORTE"/>
    <x v="16"/>
    <n v="2020130010329"/>
    <x v="1"/>
    <x v="10"/>
    <x v="74"/>
    <s v="2,3,2409,0600,2020130010329"/>
    <s v="845"/>
    <s v="1,3,3,3,03-93-079 R,B, IMPUESTO SOBRE VEHICULOS AUTOMOTORES RENDIMIENTOS DATT"/>
    <s v="INV"/>
    <s v="NO"/>
    <s v="SUSTITUCION DE VEHICULOS DE TRACCION ANIMAL DEDICADOS AL TRANSPORTE DE CARGA LIVIANA EXISTENTES EN EL DISTRITO DE   CARTAGENA DE INDIAS"/>
    <x v="143"/>
    <s v="06"/>
    <s v="00"/>
    <n v="0"/>
    <n v="2760056.36"/>
    <n v="2760056.36"/>
    <n v="1904942.15"/>
    <n v="855114.21"/>
    <n v="1904942.15"/>
    <n v="69.02"/>
    <n v="0"/>
    <n v="0"/>
    <n v="855114.21"/>
    <n v="0"/>
  </r>
  <r>
    <n v="2022"/>
    <n v="100"/>
    <x v="14"/>
    <s v="SECRETARIA DE HACIENDA PUBLICA"/>
    <x v="14"/>
    <n v="2020130010331"/>
    <x v="3"/>
    <x v="11"/>
    <x v="75"/>
    <s v="2,3,3502,0200,2020130010331"/>
    <s v="813"/>
    <s v="1,3,3,11,03-93-138 R,B, DIVIDENDOS SOCIEDAD PORTUARIA"/>
    <s v="INV"/>
    <s v="NO"/>
    <s v="HABILITACION DE LAS ACCIONES PARA IDENTIFICAR Y CERRAR LAS BRECHAS DE CAPITAL HUMANO DE FORMA PERTINENTE SUFICIENTE Y DE CALIDAD EN EL DISTRITO DE   CARTAGENA DE INDIAS"/>
    <x v="144"/>
    <s v="06"/>
    <s v="00"/>
    <n v="0"/>
    <n v="200000000"/>
    <n v="200000000"/>
    <n v="156860000"/>
    <n v="43140000"/>
    <n v="0"/>
    <n v="0"/>
    <n v="0"/>
    <n v="0"/>
    <n v="200000000"/>
    <n v="0"/>
  </r>
  <r>
    <n v="2022"/>
    <n v="100"/>
    <x v="14"/>
    <s v="SECRETARIA DE HACIENDA PUBLICA"/>
    <x v="14"/>
    <n v="2020130010331"/>
    <x v="3"/>
    <x v="11"/>
    <x v="75"/>
    <s v="2,3,3502,0200,2020130010331"/>
    <s v="001"/>
    <s v="1,2,1,0,00-001 - ICLD"/>
    <s v="INV"/>
    <s v="NO"/>
    <s v="HABILITACION DE LAS ACCIONES PARA IDENTIFICAR Y CERRAR LAS BRECHAS DE CAPITAL HUMANO DE FORMA PERTINENTE SUFICIENTE Y DE CALIDAD EN EL DISTRITO DE   CARTAGENA DE INDIAS"/>
    <x v="144"/>
    <s v="06"/>
    <s v="00"/>
    <n v="902189567"/>
    <n v="-700000000"/>
    <n v="202189567"/>
    <n v="151725867"/>
    <n v="50463700"/>
    <n v="112925866"/>
    <n v="55.85"/>
    <n v="112925866"/>
    <n v="55.85"/>
    <n v="89263701"/>
    <n v="56225866"/>
  </r>
  <r>
    <n v="2022"/>
    <n v="100"/>
    <x v="15"/>
    <s v="SECRETARIA DE PLANEACION"/>
    <x v="15"/>
    <n v="2020130010332"/>
    <x v="0"/>
    <x v="0"/>
    <x v="0"/>
    <s v="2,3,4502,1000,2020130010332"/>
    <s v="813"/>
    <s v="1,3,3,11,03-93-138 R,B, DIVIDENDOS SOCIEDAD PORTUARIA"/>
    <s v="INV"/>
    <s v="NO"/>
    <s v="FORTALECIMIENTO DEL CONSEJO TERRITORIAL DE PLANEACION DEL DISTRITO DE CARTAGANEA DE INDIAS - TG+   CARTAGENA DE INDIAS"/>
    <x v="145"/>
    <s v="06"/>
    <s v="00"/>
    <n v="0"/>
    <n v="200000000"/>
    <n v="200000000"/>
    <n v="31779333"/>
    <n v="168220667"/>
    <n v="21318000"/>
    <n v="10.66"/>
    <n v="0"/>
    <n v="0"/>
    <n v="178682000"/>
    <n v="0"/>
  </r>
  <r>
    <n v="2022"/>
    <n v="100"/>
    <x v="15"/>
    <s v="SECRETARIA DE PLANEACION"/>
    <x v="15"/>
    <n v="2020130010332"/>
    <x v="0"/>
    <x v="0"/>
    <x v="0"/>
    <s v="2,3,4502,1000,2020130010332"/>
    <s v="001"/>
    <s v="1,2,1,0,00-001 - ICLD"/>
    <s v="INV"/>
    <s v="NO"/>
    <s v="FORTALECIMIENTO DEL CONSEJO TERRITORIAL DE PLANEACION DEL DISTRITO DE CARTAGANEA DE INDIAS - TG+   CARTAGENA DE INDIAS"/>
    <x v="145"/>
    <s v="06"/>
    <s v="00"/>
    <n v="104000000"/>
    <n v="0"/>
    <n v="104000000"/>
    <n v="92000000"/>
    <n v="12000000"/>
    <n v="82146000"/>
    <n v="78.989999999999995"/>
    <n v="32000000"/>
    <n v="30.77"/>
    <n v="21854000"/>
    <n v="32000000"/>
  </r>
  <r>
    <n v="2022"/>
    <n v="100"/>
    <x v="15"/>
    <s v="SECRETARIA DE PLANEACION"/>
    <x v="15"/>
    <n v="2021130010001"/>
    <x v="0"/>
    <x v="0"/>
    <x v="0"/>
    <s v="2,3,4599,1000,2021130010001"/>
    <s v="922"/>
    <s v="1,3,3,8,03-95-070 R,B, SGP-PROPOSITO GENERAL-PROPOSITO GENERAL LIBRE INVERSION"/>
    <s v="INV"/>
    <s v="NO"/>
    <s v="ASISTENCIA TECNICA PARA MEJORAMIENTO DEL BANCO DE PROGRAMAS Y PROYECTOS CENTRAL Y DE LOS BANCOS DE PROGRAMAS Y PROYECTOS LOCALES DEL DISTRITO DE CARTAGENA DE INDIAS  TG +  CARTAGENA DE INDIAS"/>
    <x v="146"/>
    <s v="06"/>
    <s v="00"/>
    <n v="0"/>
    <n v="0.33"/>
    <n v="0.33"/>
    <n v="0"/>
    <n v="0.33"/>
    <n v="0"/>
    <n v="0"/>
    <n v="0"/>
    <n v="0"/>
    <n v="0.33"/>
    <n v="0"/>
  </r>
  <r>
    <n v="2022"/>
    <n v="100"/>
    <x v="15"/>
    <s v="SECRETARIA DE PLANEACION"/>
    <x v="15"/>
    <n v="2021130010001"/>
    <x v="0"/>
    <x v="0"/>
    <x v="0"/>
    <s v="2,3,4599,1000,2021130010001"/>
    <s v="070"/>
    <s v="1,2,4,3,03-070 - SGP LIBRE INVERSION"/>
    <s v="INV"/>
    <s v="NO"/>
    <s v="ASISTENCIA TECNICA PARA MEJORAMIENTO DEL BANCO DE PROGRAMAS Y PROYECTOS CENTRAL Y DE LOS BANCOS DE PROGRAMAS Y PROYECTOS LOCALES DEL DISTRITO DE CARTAGENA DE INDIAS  TG +  CARTAGENA DE INDIAS"/>
    <x v="146"/>
    <s v="06"/>
    <s v="00"/>
    <n v="420000000"/>
    <n v="-687165"/>
    <n v="419312835"/>
    <n v="419312835"/>
    <n v="0"/>
    <n v="419267883"/>
    <n v="99.99"/>
    <n v="379267883"/>
    <n v="90.45"/>
    <n v="44952"/>
    <n v="374867883"/>
  </r>
  <r>
    <n v="2022"/>
    <n v="100"/>
    <x v="15"/>
    <s v="SECRETARIA DE PLANEACION"/>
    <x v="15"/>
    <n v="2021130010001"/>
    <x v="0"/>
    <x v="0"/>
    <x v="0"/>
    <s v="2,3,4599,1000,2021130010001"/>
    <s v="001"/>
    <s v="1,2,1,0,00-001 - ICLD"/>
    <s v="INV"/>
    <s v="NO"/>
    <s v="ASISTENCIA TECNICA PARA MEJORAMIENTO DEL BANCO DE PROGRAMAS Y PROYECTOS CENTRAL Y DE LOS BANCOS DE PROGRAMAS Y PROYECTOS LOCALES DEL DISTRITO DE CARTAGENA DE INDIAS  TG +  CARTAGENA DE INDIAS"/>
    <x v="146"/>
    <s v="06"/>
    <s v="00"/>
    <n v="245300000"/>
    <n v="0"/>
    <n v="245300000"/>
    <n v="193136667"/>
    <n v="52163333"/>
    <n v="193136667"/>
    <n v="78.73"/>
    <n v="179936667"/>
    <n v="73.349999999999994"/>
    <n v="52163333"/>
    <n v="179936667"/>
  </r>
  <r>
    <n v="2022"/>
    <n v="100"/>
    <x v="15"/>
    <s v="SECRETARIA DE PLANEACION"/>
    <x v="15"/>
    <n v="2021130010003"/>
    <x v="2"/>
    <x v="24"/>
    <x v="76"/>
    <s v="2,3,0406,1003,2021130010003"/>
    <s v="001"/>
    <s v="1,2,1,0,00-001 - ICLD"/>
    <s v="INV"/>
    <s v="NO"/>
    <s v="ASISTENCIA TECNICA Y DESARROLLO DE ACCIONES PARA LA IMPLEMENTACION DEL CATASTRO MULTIPROPOSITO EN EL DISTRITO DE CARTAGENA DE INDIAS - TG+  CARTAGENA DE INDIAS"/>
    <x v="147"/>
    <s v="06"/>
    <s v="00"/>
    <n v="169400000"/>
    <n v="0"/>
    <n v="169400000"/>
    <n v="169400000"/>
    <n v="0"/>
    <n v="169400000"/>
    <n v="100"/>
    <n v="169400000"/>
    <n v="100"/>
    <n v="0"/>
    <n v="169400000"/>
  </r>
  <r>
    <n v="2022"/>
    <n v="100"/>
    <x v="6"/>
    <s v="INSTITUTO DE PATRIMONIO Y CULTURA DE CARTAGENA DE INDIAS"/>
    <x v="6"/>
    <n v="2021130010005"/>
    <x v="2"/>
    <x v="5"/>
    <x v="40"/>
    <s v="2,3,3301,1603,2021130010005"/>
    <s v="057"/>
    <s v="1,2,4,3,02-057 - SGP CULTURA"/>
    <s v="INV"/>
    <s v="NO"/>
    <s v="FORTALECIMIENTO Y MODERNIZACION INSTITUCIONAL DEL INSTITUTO DE PATRIMONIO Y CULTURA (IPCC) EN EL DISTRITO DE CARTAGENA DE INDIAS"/>
    <x v="148"/>
    <s v="06"/>
    <s v="00"/>
    <n v="117233509"/>
    <n v="0"/>
    <n v="117233509"/>
    <n v="117233508.31999999"/>
    <n v="0.68"/>
    <n v="117233508.31999999"/>
    <n v="100"/>
    <n v="117233508.31999999"/>
    <n v="100"/>
    <n v="0.68"/>
    <n v="117233508.31999999"/>
  </r>
  <r>
    <n v="2022"/>
    <n v="100"/>
    <x v="6"/>
    <s v="INSTITUTO DE PATRIMONIO Y CULTURA DE CARTAGENA DE INDIAS"/>
    <x v="6"/>
    <n v="2021130010005"/>
    <x v="2"/>
    <x v="5"/>
    <x v="40"/>
    <s v="2,3,3301,1603,2021130010005"/>
    <s v="001"/>
    <s v="1,2,1,0,00-001 - ICLD"/>
    <s v="INV"/>
    <s v="NO"/>
    <s v="FORTALECIMIENTO Y MODERNIZACION INSTITUCIONAL DEL INSTITUTO DE PATRIMONIO Y CULTURA (IPCC) EN EL DISTRITO DE CARTAGENA DE INDIAS"/>
    <x v="148"/>
    <s v="06"/>
    <s v="00"/>
    <n v="50000000"/>
    <n v="0"/>
    <n v="50000000"/>
    <n v="50000000"/>
    <n v="0"/>
    <n v="50000000"/>
    <n v="100"/>
    <n v="50000000"/>
    <n v="100"/>
    <n v="0"/>
    <n v="50000000"/>
  </r>
  <r>
    <n v="2022"/>
    <n v="100"/>
    <x v="6"/>
    <s v="INSTITUTO DE PATRIMONIO Y CULTURA DE CARTAGENA DE INDIAS"/>
    <x v="6"/>
    <n v="2021130010006"/>
    <x v="2"/>
    <x v="5"/>
    <x v="77"/>
    <s v="2,3,3302,1603,2021130010006"/>
    <s v="057"/>
    <s v="1,2,4,3,02-057 - SGP CULTURA"/>
    <s v="INV"/>
    <s v="NO"/>
    <s v="FORTALECIMIENTO DE PLANES ESPECIALES DE SALVAGUARDIA PARA INCLUSION DE LAS MANIFESTACIONES CULTURALES EN EL DISTRITO DE CARTAGENA DE INDIAS "/>
    <x v="149"/>
    <s v="06"/>
    <s v="00"/>
    <n v="150728798"/>
    <n v="0"/>
    <n v="150728798"/>
    <n v="150668798"/>
    <n v="60000"/>
    <n v="150668798"/>
    <n v="99.96"/>
    <n v="125547332"/>
    <n v="83.29"/>
    <n v="60000"/>
    <n v="113046598"/>
  </r>
  <r>
    <n v="2022"/>
    <n v="100"/>
    <x v="6"/>
    <s v="INSTITUTO DE PATRIMONIO Y CULTURA DE CARTAGENA DE INDIAS"/>
    <x v="6"/>
    <n v="2021130010006"/>
    <x v="2"/>
    <x v="5"/>
    <x v="77"/>
    <s v="2,3,3302,1603,2021130010006"/>
    <s v="001"/>
    <s v="1,2,1,0,00-001 - ICLD"/>
    <s v="INV"/>
    <s v="NO"/>
    <s v="FORTALECIMIENTO DE PLANES ESPECIALES DE SALVAGUARDIA PARA INCLUSION DE LAS MANIFESTACIONES CULTURALES EN EL DISTRITO DE CARTAGENA DE INDIAS "/>
    <x v="149"/>
    <s v="06"/>
    <s v="00"/>
    <n v="90000000"/>
    <n v="0"/>
    <n v="90000000"/>
    <n v="90000000"/>
    <n v="0"/>
    <n v="90000000"/>
    <n v="100"/>
    <n v="90000000"/>
    <n v="100"/>
    <n v="0"/>
    <n v="90000000"/>
  </r>
  <r>
    <n v="2022"/>
    <n v="100"/>
    <x v="5"/>
    <s v="INSTITUTO DE DEPORTE Y RECREACION"/>
    <x v="5"/>
    <n v="2021130010011"/>
    <x v="2"/>
    <x v="4"/>
    <x v="78"/>
    <s v="2,3,4301,1604,2021130010011"/>
    <s v="841"/>
    <s v="1,3,3,2,00-95-097 R,B, ICDE IDER 3% ICA"/>
    <s v="INV"/>
    <s v="NO"/>
    <s v="INTEGRACION COMUNITARIA A TRAVES DEL DEPORTE COMO HERRAMIENTA PARA LA INCLUSION SOCIAL DESDE LOS DIFERENTES ENFOQUES POBLACIONALES CARTAGENA DE INDIAS"/>
    <x v="150"/>
    <s v="06"/>
    <s v="00"/>
    <n v="0"/>
    <n v="216085246"/>
    <n v="216085246"/>
    <n v="0"/>
    <n v="216085246"/>
    <n v="0"/>
    <n v="0"/>
    <n v="0"/>
    <n v="0"/>
    <n v="216085246"/>
    <n v="0"/>
  </r>
  <r>
    <n v="2022"/>
    <n v="100"/>
    <x v="5"/>
    <s v="INSTITUTO DE DEPORTE Y RECREACION"/>
    <x v="5"/>
    <n v="2021130010011"/>
    <x v="2"/>
    <x v="4"/>
    <x v="78"/>
    <s v="2,3,4301,1604,2021130010011"/>
    <s v="918"/>
    <s v="1,3,3,8,01-95-059 - R,B, SGP DEPORTE"/>
    <s v="INV"/>
    <s v="NO"/>
    <s v="INTEGRACION COMUNITARIA A TRAVES DEL DEPORTE COMO HERRAMIENTA PARA LA INCLUSION SOCIAL DESDE LOS DIFERENTES ENFOQUES POBLACIONALES CARTAGENA DE INDIAS"/>
    <x v="150"/>
    <s v="06"/>
    <s v="00"/>
    <n v="0"/>
    <n v="175479787.55000001"/>
    <n v="175479787.55000001"/>
    <n v="115368097"/>
    <n v="60111690.549999997"/>
    <n v="115368097"/>
    <n v="65.739999999999995"/>
    <n v="115368097"/>
    <n v="65.739999999999995"/>
    <n v="60111690.549999997"/>
    <n v="0"/>
  </r>
  <r>
    <n v="2022"/>
    <n v="100"/>
    <x v="5"/>
    <s v="INSTITUTO DE DEPORTE Y RECREACION"/>
    <x v="5"/>
    <n v="2021130010011"/>
    <x v="2"/>
    <x v="4"/>
    <x v="78"/>
    <s v="2,3,4301,1604,2021130010011"/>
    <s v="059"/>
    <s v="1,2,4,3,01-059 - SGP DEPORTE"/>
    <s v="INV"/>
    <s v="NO"/>
    <s v="INTEGRACION COMUNITARIA A TRAVES DEL DEPORTE COMO HERRAMIENTA PARA LA INCLUSION SOCIAL DESDE LOS DIFERENTES ENFOQUES POBLACIONALES  CARTAGENA DE INDIAS"/>
    <x v="151"/>
    <s v="06"/>
    <s v="00"/>
    <n v="766592134"/>
    <n v="45794709"/>
    <n v="812386843"/>
    <n v="766591284.09000003"/>
    <n v="45795558.909999996"/>
    <n v="766591284.09000003"/>
    <n v="94.36"/>
    <n v="766591284.09000003"/>
    <n v="94.36"/>
    <n v="45795558.909999996"/>
    <n v="417548284.08999997"/>
  </r>
  <r>
    <n v="2022"/>
    <n v="100"/>
    <x v="5"/>
    <s v="INSTITUTO DE DEPORTE Y RECREACION"/>
    <x v="5"/>
    <n v="2021130010011"/>
    <x v="2"/>
    <x v="4"/>
    <x v="78"/>
    <s v="2,3,4301,1604,2021130010011"/>
    <s v="092"/>
    <s v="1,2,3,3,01-092 - PARTICIPACIONES DISTINTAS DEL SGP (IMPUESTO AL CONSUMO DE CIGARRILLOS Y TABACO)"/>
    <s v="INV"/>
    <s v="NO"/>
    <s v="INTEGRACION COMUNITARIA A TRAVES DEL DEPORTE COMO HERRAMIENTA PARA LA INCLUSION SOCIAL DESDE LOS DIFERENTES ENFOQUES POBLACIONALES  CARTAGENA DE INDIAS"/>
    <x v="151"/>
    <s v="06"/>
    <s v="00"/>
    <n v="75600179"/>
    <n v="0"/>
    <n v="75600179"/>
    <n v="0"/>
    <n v="75600179"/>
    <n v="0"/>
    <n v="0"/>
    <n v="0"/>
    <n v="0"/>
    <n v="75600179"/>
    <n v="0"/>
  </r>
  <r>
    <n v="2022"/>
    <n v="100"/>
    <x v="5"/>
    <s v="INSTITUTO DE DEPORTE Y RECREACION"/>
    <x v="5"/>
    <n v="2021130010011"/>
    <x v="2"/>
    <x v="4"/>
    <x v="78"/>
    <s v="2,3,4301,1604,2021130010011"/>
    <s v="097"/>
    <s v="1,2,2,0,00-097 - ICDE IDER 3% ICA"/>
    <s v="INV"/>
    <s v="NO"/>
    <s v="INTEGRACION COMUNITARIA A TRAVES DEL DEPORTE COMO HERRAMIENTA PARA LA INCLUSION SOCIAL DESDE LOS DIFERENTES ENFOQUES POBLACIONALES  CARTAGENA DE INDIAS"/>
    <x v="151"/>
    <s v="06"/>
    <s v="00"/>
    <n v="1030599617"/>
    <n v="0"/>
    <n v="1030599617"/>
    <n v="1030599617"/>
    <n v="0"/>
    <n v="1030599617"/>
    <n v="100"/>
    <n v="1030599617"/>
    <n v="100"/>
    <n v="0"/>
    <n v="526287340"/>
  </r>
  <r>
    <n v="2022"/>
    <n v="100"/>
    <x v="5"/>
    <s v="INSTITUTO DE DEPORTE Y RECREACION"/>
    <x v="5"/>
    <n v="2021130010011"/>
    <x v="2"/>
    <x v="4"/>
    <x v="78"/>
    <s v="2,3,4301,1604,2021130010011"/>
    <s v="122"/>
    <s v="1,3,2,2,08-122 - RF SGP DEPORTE"/>
    <s v="INV"/>
    <s v="NO"/>
    <s v="INTEGRACION COMUNITARIA A TRAVES DEL DEPORTE COMO HERRAMIENTA PARA LA INCLUSION SOCIAL DESDE LOS DIFERENTES ENFOQUES POBLACIONALES  CARTAGENA DE INDIAS"/>
    <x v="151"/>
    <s v="06"/>
    <s v="00"/>
    <n v="34906129"/>
    <n v="0"/>
    <n v="34906129"/>
    <n v="0"/>
    <n v="34906129"/>
    <n v="0"/>
    <n v="0"/>
    <n v="0"/>
    <n v="0"/>
    <n v="34906129"/>
    <n v="0"/>
  </r>
  <r>
    <n v="2022"/>
    <n v="100"/>
    <x v="5"/>
    <s v="INSTITUTO DE DEPORTE Y RECREACION"/>
    <x v="5"/>
    <n v="2021130010011"/>
    <x v="2"/>
    <x v="4"/>
    <x v="78"/>
    <s v="2,3,4301,1604,2021130010011"/>
    <s v="135"/>
    <s v="1,2,3,2,09-135 - VENTA DE BIENES Y SERVICIOS IDER"/>
    <s v="INV"/>
    <s v="NO"/>
    <s v="INTEGRACION COMUNITARIA A TRAVES DEL DEPORTE COMO HERRAMIENTA PARA LA INCLUSION SOCIAL DESDE LOS DIFERENTES ENFOQUES POBLACIONALES  CARTAGENA DE INDIAS"/>
    <x v="151"/>
    <s v="06"/>
    <s v="00"/>
    <n v="58583924"/>
    <n v="0"/>
    <n v="58583924"/>
    <n v="27999938"/>
    <n v="30583986"/>
    <n v="27999938"/>
    <n v="47.79"/>
    <n v="0"/>
    <n v="0"/>
    <n v="30583986"/>
    <n v="0"/>
  </r>
  <r>
    <n v="2022"/>
    <n v="100"/>
    <x v="5"/>
    <s v="INSTITUTO DE DEPORTE Y RECREACION"/>
    <x v="5"/>
    <n v="2021130010011"/>
    <x v="2"/>
    <x v="4"/>
    <x v="78"/>
    <s v="2,3,4301,1604,2021130010011"/>
    <s v="025"/>
    <s v="1,2,3,2,05-025 - OTRAS TASAS Y DERECHOS ADMINISTRATIVOS TASA PRODEPORTE"/>
    <s v="INV"/>
    <s v="NO"/>
    <s v="INTEGRACION COMUNITARIA A TRAVES DEL DEPORTE COMO HERRAMIENTA PARA LA INCLUSION SOCIAL DESDE LOS DIFERENTES ENFOQUES POBLACIONALES  CARTAGENA DE INDIAS"/>
    <x v="151"/>
    <s v="06"/>
    <s v="00"/>
    <n v="66666671"/>
    <n v="0"/>
    <n v="66666671"/>
    <n v="15000000"/>
    <n v="51666671"/>
    <n v="15000000"/>
    <n v="22.5"/>
    <n v="15000000"/>
    <n v="22.5"/>
    <n v="51666671"/>
    <n v="15000000"/>
  </r>
  <r>
    <n v="2022"/>
    <n v="100"/>
    <x v="1"/>
    <s v="LOCALIDAD HISTORICA Y DEL CARIBE NORTE"/>
    <x v="1"/>
    <n v="2021130010012"/>
    <x v="0"/>
    <x v="0"/>
    <x v="0"/>
    <s v="2,3,1905,0300,2021130010012"/>
    <s v="001"/>
    <s v="1,2,1,0,00-001 - ICLD"/>
    <s v="INV"/>
    <s v="NO"/>
    <s v="IMPLEMENTACION PROYECTO MUJERES FORMADAS PARA LA PROMOCION Y EL APRENDIZAJE DE LA DETECCION TEMPRANA DEL CANCER DE CERVIX Y DE MAMA ZONA INSULAR DE LA LOCALIDAD HISTORICA Y DEL CARIBE NORTE DEL DISTRITO DE CARTAGENA DE INDIAS"/>
    <x v="152"/>
    <s v="06"/>
    <s v="00"/>
    <n v="0"/>
    <n v="400000000"/>
    <n v="400000000"/>
    <n v="400000000"/>
    <n v="0"/>
    <n v="400000000"/>
    <n v="100"/>
    <n v="400000000"/>
    <n v="100"/>
    <n v="0"/>
    <n v="400000000"/>
  </r>
  <r>
    <n v="2022"/>
    <n v="100"/>
    <x v="1"/>
    <s v="LOCALIDAD HISTORICA Y DEL CARIBE NORTE"/>
    <x v="1"/>
    <n v="2021130010013"/>
    <x v="0"/>
    <x v="0"/>
    <x v="0"/>
    <s v="2,3,3602,1300,2021130010013"/>
    <s v="001"/>
    <s v="1,2,1,0,00-001 - ICLD"/>
    <s v="INV"/>
    <s v="NO"/>
    <s v="IMPLEMENTACION PROYECTO CREAR Y FORTALECER UNIDADES PRODUCTIVAS CON CAPITAL SEMILLA PARA LA POBLACION DE LA LOCALIDAD HISTORICA Y DEL CARIBE NORTE"/>
    <x v="153"/>
    <s v="06"/>
    <s v="00"/>
    <n v="0"/>
    <n v="430974335.47000003"/>
    <n v="430974335.47000003"/>
    <n v="430974335.47000003"/>
    <n v="0"/>
    <n v="429740000"/>
    <n v="99.71"/>
    <n v="429740000"/>
    <n v="99.71"/>
    <n v="1234335.47"/>
    <n v="429740000"/>
  </r>
  <r>
    <n v="2022"/>
    <n v="100"/>
    <x v="1"/>
    <s v="LOCALIDAD HISTORICA Y DEL CARIBE NORTE"/>
    <x v="1"/>
    <n v="2021130010014"/>
    <x v="0"/>
    <x v="0"/>
    <x v="0"/>
    <s v="2,3,4501,1000,2021130010014"/>
    <s v="001"/>
    <s v="1,2,1,0,00-001 - ICLD"/>
    <s v="INV"/>
    <s v="NO"/>
    <s v="IMPLEMENTACION PROYECTO MUJERES FORMADAS PARA LA PROMOCION DE SUS DERECHOS SEXUALES Y REPRODUCTIVOS Y LA IGUALDAD DE GENERO ZONA INSULAR O URBANA DE LA LOCALIDAD HISTORICA Y DEL CARIBE NORTE DEL DISTRITO DE CARTAGENA DE INDIAS"/>
    <x v="154"/>
    <s v="06"/>
    <s v="00"/>
    <n v="0"/>
    <n v="500000000"/>
    <n v="500000000"/>
    <n v="500000000"/>
    <n v="0"/>
    <n v="500000000"/>
    <n v="100"/>
    <n v="500000000"/>
    <n v="100"/>
    <n v="0"/>
    <n v="500000000"/>
  </r>
  <r>
    <n v="2022"/>
    <n v="100"/>
    <x v="1"/>
    <s v="LOCALIDAD HISTORICA Y DEL CARIBE NORTE"/>
    <x v="1"/>
    <n v="2021130010015"/>
    <x v="0"/>
    <x v="0"/>
    <x v="0"/>
    <s v="2,3,3604,1603,2021130010015"/>
    <s v="001"/>
    <s v="1,2,1,0,00-001 - ICLD"/>
    <s v="INV"/>
    <s v="NO"/>
    <s v="IMPLEMENTACION DEL PROYECTO DE CAPACITACION A LOS HABITANTES (MUJERES) DE LA LOCALIDAD HISTORICA Y DEL CARIBE NORTE EN EL EMPRENDIMIENTO Y ENCADENAMIENTO PRODUCTIVO INCORPORADO EL ENFOQUE DIFERENCIAL EN EL DISTRITO DE CARTAGENA DE INDIAS,"/>
    <x v="155"/>
    <s v="06"/>
    <s v="00"/>
    <n v="0"/>
    <n v="500000000"/>
    <n v="500000000"/>
    <n v="500000000"/>
    <n v="0"/>
    <n v="496990000"/>
    <n v="99.4"/>
    <n v="496990000"/>
    <n v="99.4"/>
    <n v="3010000"/>
    <n v="496990000"/>
  </r>
  <r>
    <n v="2022"/>
    <n v="100"/>
    <x v="1"/>
    <s v="LOCALIDAD HISTORICA Y DEL CARIBE NORTE"/>
    <x v="1"/>
    <n v="2021130010017"/>
    <x v="0"/>
    <x v="0"/>
    <x v="0"/>
    <s v="2,3,3602,1300,2021130010017"/>
    <s v="001"/>
    <s v="1,2,1,0,00-001 - ICLD"/>
    <s v="INV"/>
    <s v="NO"/>
    <s v="IMPLEMENTACION DEL PROYECTO EMPRENDIMIENTO Y GESTION DE LA EMPLEABILIDAD EN LOCALIDAD HISTORICA Y DEL CARIBE NORTE EN EL DISTRITO DE CARTAGENA DE INDIAS, "/>
    <x v="156"/>
    <s v="06"/>
    <s v="00"/>
    <n v="0"/>
    <n v="1300000000"/>
    <n v="1300000000"/>
    <n v="1300000000"/>
    <n v="0"/>
    <n v="1300000000"/>
    <n v="100"/>
    <n v="1300000000"/>
    <n v="100"/>
    <n v="0"/>
    <n v="1300000000"/>
  </r>
  <r>
    <n v="2022"/>
    <n v="100"/>
    <x v="1"/>
    <s v="LOCALIDAD HISTORICA Y DEL CARIBE NORTE"/>
    <x v="1"/>
    <n v="2021130010018"/>
    <x v="0"/>
    <x v="0"/>
    <x v="0"/>
    <s v="2,3,4104,1300,2021130010018"/>
    <s v="001"/>
    <s v="1,2,1,0,00-001 - ICLD"/>
    <s v="INV"/>
    <s v="NO"/>
    <s v="IMPLEMENTACION DEL PROYECTO PARA CAPACITAR Y FORMAR A CUIDADORES DE PERSONAS EN CONDICION DE DISCAPACIDAD EN LA LOCALIDAD HISTORICA Y DEL CARIBE NORTE DEL DISTRITO DE CARTAGENA DE INDIAS, "/>
    <x v="157"/>
    <s v="06"/>
    <s v="00"/>
    <n v="0"/>
    <n v="700000000"/>
    <n v="700000000"/>
    <n v="700000000"/>
    <n v="0"/>
    <n v="700000000"/>
    <n v="100"/>
    <n v="700000000"/>
    <n v="100"/>
    <n v="0"/>
    <n v="700000000"/>
  </r>
  <r>
    <n v="2022"/>
    <n v="100"/>
    <x v="1"/>
    <s v="LOCALIDAD HISTORICA Y DEL CARIBE NORTE"/>
    <x v="1"/>
    <n v="2021130010019"/>
    <x v="0"/>
    <x v="0"/>
    <x v="0"/>
    <s v="2,3,3301,1603,2021130010019"/>
    <s v="001"/>
    <s v="1,2,1,0,00-001 - ICLD"/>
    <s v="INV"/>
    <s v="NO"/>
    <s v="IMPLEMENTACION PROYECTO APOYANDO EL IMPULSO DE GRUPOS CULTURALES DE LA LOCALIDAD, HISTORICA Y DEL CARIBENORTE  "/>
    <x v="158"/>
    <s v="06"/>
    <s v="00"/>
    <n v="0"/>
    <n v="500000000"/>
    <n v="500000000"/>
    <n v="500000000"/>
    <n v="0"/>
    <n v="500000000"/>
    <n v="100"/>
    <n v="500000000"/>
    <n v="100"/>
    <n v="0"/>
    <n v="500000000"/>
  </r>
  <r>
    <n v="2022"/>
    <n v="100"/>
    <x v="1"/>
    <s v="LOCALIDAD HISTORICA Y DEL CARIBE NORTE"/>
    <x v="1"/>
    <n v="2021130010020"/>
    <x v="0"/>
    <x v="0"/>
    <x v="0"/>
    <s v="2,3,3602,1300,2021130010020"/>
    <s v="001"/>
    <s v="1,2,1,0,00-001 - ICLD"/>
    <s v="INV"/>
    <s v="NO"/>
    <s v="APLICACION PROMOCION DEL EMPRENDIMIENTO JUVENIL EN ZONA INSULAR DE LA LOCALIDAD HISTORICA Y DEL CARIBE NORTE DEL DISTRITO DE CARTAGENA DE INDIAS"/>
    <x v="159"/>
    <s v="06"/>
    <s v="00"/>
    <n v="0"/>
    <n v="300000000"/>
    <n v="300000000"/>
    <n v="300000000"/>
    <n v="0"/>
    <n v="300000000"/>
    <n v="100"/>
    <n v="300000000"/>
    <n v="100"/>
    <n v="0"/>
    <n v="300000000"/>
  </r>
  <r>
    <n v="2022"/>
    <n v="100"/>
    <x v="1"/>
    <s v="LOCALIDAD HISTORICA Y DEL CARIBE NORTE"/>
    <x v="1"/>
    <n v="2021130010021"/>
    <x v="0"/>
    <x v="0"/>
    <x v="0"/>
    <s v="2,3,4501,1000,2021130010021"/>
    <s v="001"/>
    <s v="1,2,1,0,00-001 - ICLD"/>
    <s v="INV"/>
    <s v="NO"/>
    <s v="APLICACION PROMOCION A EL FORTALECIMIENTO Y FORMACION A FRENTES DE SEGURIDAD DE LA LOCALIDAD HISTORICA Y DEL CARIBE NORTE"/>
    <x v="160"/>
    <s v="06"/>
    <s v="00"/>
    <n v="0"/>
    <n v="1200000000"/>
    <n v="1200000000"/>
    <n v="1200000000"/>
    <n v="0"/>
    <n v="1200000000"/>
    <n v="100"/>
    <n v="600000000"/>
    <n v="50"/>
    <n v="0"/>
    <n v="600000000"/>
  </r>
  <r>
    <n v="2022"/>
    <n v="100"/>
    <x v="1"/>
    <s v="LOCALIDAD HISTORICA Y DEL CARIBE NORTE"/>
    <x v="1"/>
    <n v="2021130010022"/>
    <x v="0"/>
    <x v="0"/>
    <x v="0"/>
    <s v="2,3,4501,1000,2021130010022"/>
    <s v="001"/>
    <s v="1,2,1,0,00-001 - ICLD"/>
    <s v="INV"/>
    <s v="NO"/>
    <s v="IMPLEMENTACION PROYECTO DE FORMACION EN CONVIVENCIA Y PAZ PARA LOS MIEMBROS DE JAC Y LOS FUNCIONARIOS DE LA ALCALDIA LOCAL LHCN"/>
    <x v="161"/>
    <s v="06"/>
    <s v="00"/>
    <n v="0"/>
    <n v="400000000"/>
    <n v="400000000"/>
    <n v="400000000"/>
    <n v="0"/>
    <n v="400000000"/>
    <n v="100"/>
    <n v="400000000"/>
    <n v="100"/>
    <n v="0"/>
    <n v="400000000"/>
  </r>
  <r>
    <n v="2022"/>
    <n v="100"/>
    <x v="1"/>
    <s v="LOCALIDAD HISTORICA Y DEL CARIBE NORTE"/>
    <x v="1"/>
    <n v="2021130010023"/>
    <x v="0"/>
    <x v="0"/>
    <x v="0"/>
    <s v="2,3,1702,1300,2021130010023"/>
    <s v="001"/>
    <s v="1,2,1,0,00-001 - ICLD"/>
    <s v="INV"/>
    <s v="NO"/>
    <s v="APLICACION PROMOCION DEL EMPRENDIMIEN A PROYECTOS PRODUCTIVOS, QUE INCLUYAN CAPITAL SEMILLA EN POBLACION NEGRA, AFROCOLOMBIANA, RAIZAL EN ZONA INSULAR O URBANA DE LA LOCALIDAD HISTORICA Y DEL CARIBE NORTE DISTRITO DE CARTAGENA DE INDIAS"/>
    <x v="162"/>
    <s v="06"/>
    <s v="00"/>
    <n v="0"/>
    <n v="400000000.10000002"/>
    <n v="400000000.10000002"/>
    <n v="400000000"/>
    <n v="0.1"/>
    <n v="400000000"/>
    <n v="100"/>
    <n v="400000000"/>
    <n v="100"/>
    <n v="0.1"/>
    <n v="400000000"/>
  </r>
  <r>
    <n v="2022"/>
    <n v="100"/>
    <x v="1"/>
    <s v="LOCALIDAD HISTORICA Y DEL CARIBE NORTE"/>
    <x v="1"/>
    <n v="2021130010025"/>
    <x v="0"/>
    <x v="0"/>
    <x v="0"/>
    <s v="2,3,4301,1604,2021130010025"/>
    <s v="001"/>
    <s v="1,2,1,0,00-001 - ICLD"/>
    <s v="INV"/>
    <s v="NO"/>
    <s v="ELABORACION DE ESTUDIOS Y DISE?OS PARA VIAS EN LOS BARRIOS DE LA LOCALIDAD HISTORICA Y DEL CARIBE NORTE DEL DISTRITO DE CARTAGENA"/>
    <x v="163"/>
    <s v="06"/>
    <s v="00"/>
    <n v="0"/>
    <n v="900000000"/>
    <n v="900000000"/>
    <n v="900000000"/>
    <n v="0"/>
    <n v="899640000"/>
    <n v="99.96"/>
    <n v="899640000"/>
    <n v="99.96"/>
    <n v="360000"/>
    <n v="899640000"/>
  </r>
  <r>
    <n v="2022"/>
    <n v="100"/>
    <x v="17"/>
    <s v="SECRETARIA DE INFRAESTRUCTURA"/>
    <x v="17"/>
    <n v="2021130010035"/>
    <x v="1"/>
    <x v="17"/>
    <x v="51"/>
    <s v="2,3,4002,1400,2021130010035"/>
    <s v="138"/>
    <s v="1,3,1,1,03-138 - DIVIDENDOS SOCIEDAD PORTUARIA"/>
    <s v="INV"/>
    <s v="NO"/>
    <s v="ELABORACION DE ESTUDIOS Y DISE?OS AJUSTADOS DE LA VIA PERIMETRAL EN EL MARCO DEL PROGRAMA ORDENACION TERRITORIAL Y RECUPERACION SOCIAL AMBIENTAL Y URBANA DE LA CIENAGA DE LA VIRGEN EN EL DISTRITO DE  CARTAGENA DE INDIAS"/>
    <x v="164"/>
    <s v="06"/>
    <s v="00"/>
    <n v="400000000"/>
    <n v="-400000000"/>
    <n v="0"/>
    <n v="0"/>
    <n v="0"/>
    <n v="0"/>
    <n v="0"/>
    <n v="0"/>
    <n v="0"/>
    <n v="0"/>
    <n v="0"/>
  </r>
  <r>
    <n v="2022"/>
    <n v="100"/>
    <x v="17"/>
    <s v="SECRETARIA DE INFRAESTRUCTURA"/>
    <x v="17"/>
    <n v="2021130010035"/>
    <x v="1"/>
    <x v="17"/>
    <x v="51"/>
    <s v="2,3,4002,1400,2021130010035"/>
    <s v="001"/>
    <s v="1,2,1,0,00-001 - ICLD"/>
    <s v="INV"/>
    <s v="NO"/>
    <s v="ELABORACION DE ESTUDIOS Y DISE?OS AJUSTADOS DE LA VIA PERIMETRAL EN EL MARCO DEL PROGRAMA ORDENACION TERRITORIAL Y RECUPERACION SOCIAL AMBIENTAL Y URBANA DE LA CIENAGA DE LA VIRGEN EN EL DISTRITO DE  CARTAGENA DE INDIAS"/>
    <x v="164"/>
    <s v="06"/>
    <s v="00"/>
    <n v="400000000"/>
    <n v="-240500000"/>
    <n v="159500000"/>
    <n v="159500000"/>
    <n v="0"/>
    <n v="152505000"/>
    <n v="95.61"/>
    <n v="149700000"/>
    <n v="93.86"/>
    <n v="6995000"/>
    <n v="147250000"/>
  </r>
  <r>
    <n v="2022"/>
    <n v="100"/>
    <x v="7"/>
    <s v="SECRETARIA DE EDUCACION"/>
    <x v="7"/>
    <n v="2021130010036"/>
    <x v="2"/>
    <x v="6"/>
    <x v="61"/>
    <s v="2,3,2201,0700,2021130010036"/>
    <s v="001"/>
    <s v="1,2,1,0,00-001 - ICLD"/>
    <s v="INV"/>
    <s v="NO"/>
    <s v="IMPLEMENTACION DE LA ESTRATEGIA DESCUBRIENDO EL MUNDO: UN GOBIERNO QUE CREE EN LAS NI?AS Y LOS NI?OS EN EL MARCO DEL PROGRAMA SABIDURIA DE LA PRIMERA INFANCIA -TG+ EN  CARTAGENA DE INDIAS"/>
    <x v="165"/>
    <s v="06"/>
    <s v="00"/>
    <n v="138824928.88"/>
    <n v="10912650"/>
    <n v="149737578.88"/>
    <n v="122117750"/>
    <n v="27619828.879999999"/>
    <n v="122117750"/>
    <n v="81.55"/>
    <n v="122117750"/>
    <n v="81.55"/>
    <n v="27619828.879999999"/>
    <n v="122117750"/>
  </r>
  <r>
    <n v="2022"/>
    <n v="100"/>
    <x v="7"/>
    <s v="SECRETARIA DE EDUCACION"/>
    <x v="7"/>
    <n v="2021130010039"/>
    <x v="2"/>
    <x v="6"/>
    <x v="33"/>
    <s v="2,3,2201,0700,2021130010039"/>
    <s v="001"/>
    <s v="1,2,1,0,00-001 - ICLD"/>
    <s v="INV"/>
    <s v="NO"/>
    <s v="FORMULACION POLITICA PUBLICA DISTRITAL SECTOR EDUCATIVO EG+  CARTAGENA DE INDIAS"/>
    <x v="166"/>
    <s v="06"/>
    <s v="00"/>
    <n v="500000000"/>
    <n v="92505767"/>
    <n v="592505767"/>
    <n v="571449100"/>
    <n v="21056667"/>
    <n v="545659101"/>
    <n v="92.09"/>
    <n v="525850636.26999998"/>
    <n v="88.75"/>
    <n v="46846666"/>
    <n v="521097302.26999998"/>
  </r>
  <r>
    <n v="2022"/>
    <n v="100"/>
    <x v="0"/>
    <s v="LOCALIDAD TURISTICA Y DE LA VIRGEN"/>
    <x v="0"/>
    <n v="2021130010042"/>
    <x v="0"/>
    <x v="0"/>
    <x v="0"/>
    <s v="2,3,3301,1603,2021130010042"/>
    <s v="001"/>
    <s v="1,2,1,0,00-001 - ICLD"/>
    <s v="INV"/>
    <s v="NO"/>
    <s v="FORTALECIMIENTO APOYAR A LOS TRABAJADORES Y LAS TRABAJADORAS DE LA CULTURA EN SUS PROCESOS DE FORMACION INVESTIGACION CREACION PRODUCCION Y CIRCULACION A TRAVES DE PROCESOS PEDAGOGICOS Y DE CONVOCATORIAS TRANSPARENTES CARTAGENA DE INDIAS"/>
    <x v="167"/>
    <s v="06"/>
    <s v="00"/>
    <n v="200000000"/>
    <n v="-200000000"/>
    <n v="0"/>
    <n v="0"/>
    <n v="0"/>
    <n v="0"/>
    <n v="0"/>
    <n v="0"/>
    <n v="0"/>
    <n v="0"/>
    <n v="0"/>
  </r>
  <r>
    <n v="2022"/>
    <n v="100"/>
    <x v="2"/>
    <s v="LOCALIDAD INDUSTRIAL Y DE LA BAHIA"/>
    <x v="2"/>
    <n v="2021130010044"/>
    <x v="0"/>
    <x v="0"/>
    <x v="0"/>
    <s v="2,3,3208,0900,2021130010044"/>
    <s v="001"/>
    <s v="1,2,1,0,00-001 - ICLD"/>
    <s v="INV"/>
    <s v="NO"/>
    <s v="CAPACITACION PARA LOGRAR SENSIBILIZAR Y MEJORAR LA CULTURA AMBIENTAL EN LA LOCALIDAD INDUSTRIAL Y DE LA BAHIA QUE PRESERVE EL EQUILIBRIO NATURAL DE LOS ECOSISTEMAS CARTAGENA DE INDIAS"/>
    <x v="168"/>
    <s v="06"/>
    <s v="00"/>
    <n v="0"/>
    <n v="200000000"/>
    <n v="200000000"/>
    <n v="0"/>
    <n v="200000000"/>
    <n v="0"/>
    <n v="0"/>
    <n v="0"/>
    <n v="0"/>
    <n v="200000000"/>
    <n v="0"/>
  </r>
  <r>
    <n v="2022"/>
    <n v="100"/>
    <x v="2"/>
    <s v="LOCALIDAD INDUSTRIAL Y DE LA BAHIA"/>
    <x v="2"/>
    <n v="2021130010045"/>
    <x v="0"/>
    <x v="0"/>
    <x v="0"/>
    <s v="2,3,4501,1000,2021130010045"/>
    <s v="001"/>
    <s v="1,2,1,0,00-001 - ICLD"/>
    <s v="INV"/>
    <s v="NO"/>
    <s v="IMPLEMENTACION DE PROTECCION Y ATENCION A LOS ANIMALES EN CONDICION DE CALLE EVITANDO SU REPRODUCCION Y PREVINIENDO EL ABANDONO DE ANIMALES A TRAVES DE CAMPA?AS MASIVAS EN LA LOCALIDAD INDUSTRIAL Y DE LA BAHIA CARTAGENA DE INDIAS"/>
    <x v="169"/>
    <s v="06"/>
    <s v="00"/>
    <n v="0"/>
    <n v="300000000"/>
    <n v="300000000"/>
    <n v="300000000"/>
    <n v="0"/>
    <n v="292367850"/>
    <n v="97.46"/>
    <n v="292367850"/>
    <n v="97.46"/>
    <n v="7632150"/>
    <n v="292367850"/>
  </r>
  <r>
    <n v="2022"/>
    <n v="100"/>
    <x v="2"/>
    <s v="LOCALIDAD INDUSTRIAL Y DE LA BAHIA"/>
    <x v="2"/>
    <n v="2021130010047"/>
    <x v="0"/>
    <x v="0"/>
    <x v="0"/>
    <s v="2,3,3205,0900,2021130010047"/>
    <s v="001"/>
    <s v="1,2,1,0,00-001 - ICLD"/>
    <s v="INV"/>
    <s v="NO"/>
    <s v="DIFUSION DE LAS MEDIDAS NECESARIAS PARA LA ADAPTACION A LOS IMPACTOS GENERADOS POR EL CAMBIO CLIMATICO Y POR LOS ACTUALES NIVELES DE CONTAMINACION, CARTAGENA DE INDIAS"/>
    <x v="170"/>
    <s v="06"/>
    <s v="00"/>
    <n v="0"/>
    <n v="200000000"/>
    <n v="200000000"/>
    <n v="200000000"/>
    <n v="0"/>
    <n v="200000000"/>
    <n v="100"/>
    <n v="0"/>
    <n v="0"/>
    <n v="0"/>
    <n v="0"/>
  </r>
  <r>
    <n v="2022"/>
    <n v="100"/>
    <x v="2"/>
    <s v="LOCALIDAD INDUSTRIAL Y DE LA BAHIA"/>
    <x v="2"/>
    <n v="2021130010048"/>
    <x v="0"/>
    <x v="0"/>
    <x v="0"/>
    <s v="2,3,3602,1300,2021130010048"/>
    <s v="001"/>
    <s v="1,2,1,0,00-001 - ICLD"/>
    <s v="INV"/>
    <s v="NO"/>
    <s v="APOYO PARA ORIENTAR Y FORMAR EN EMPRENDIMIENTO Y OFICIOS ACORDE CON LA DINAMICA LABORAL Y PRODUCTIVA DE LA LOCALIDAD QUE COADYUVEN A MEJORAR LAS CONDICIONES DE EMPLEABILIDAD DE LOS JOVENES CARTAGENA DE INDIAS"/>
    <x v="171"/>
    <s v="06"/>
    <s v="00"/>
    <n v="0"/>
    <n v="400000000"/>
    <n v="400000000"/>
    <n v="400000000"/>
    <n v="0"/>
    <n v="388031946"/>
    <n v="97.01"/>
    <n v="388031946"/>
    <n v="97.01"/>
    <n v="11968054"/>
    <n v="388031946"/>
  </r>
  <r>
    <n v="2022"/>
    <n v="100"/>
    <x v="2"/>
    <s v="LOCALIDAD INDUSTRIAL Y DE LA BAHIA"/>
    <x v="2"/>
    <n v="2021130010049"/>
    <x v="0"/>
    <x v="0"/>
    <x v="0"/>
    <s v="2,3,3602,1300,2021130010049"/>
    <s v="001"/>
    <s v="1,2,1,0,00-001 - ICLD"/>
    <s v="INV"/>
    <s v="NO"/>
    <s v="FORMACION PARA PROMOVER EL EJERCICIO Y GARANTIA DE LOS DERECHOS ECONOMICOS DE LAS MUJERES COMPETENCIAS LABORALES Y EMPRESARIALES QUE LES PERMITA MEJORAR SUS INGRESOS Y SU AUTONOMICA ECONOMICA A TRAVES DE INICIATIVAS PRODUCTIVAS CARTAGENA DE INDIAS"/>
    <x v="172"/>
    <s v="06"/>
    <s v="00"/>
    <n v="0"/>
    <n v="400000000"/>
    <n v="400000000"/>
    <n v="400000000"/>
    <n v="0"/>
    <n v="400000000"/>
    <n v="100"/>
    <n v="0"/>
    <n v="0"/>
    <n v="0"/>
    <n v="0"/>
  </r>
  <r>
    <n v="2022"/>
    <n v="100"/>
    <x v="2"/>
    <s v="LOCALIDAD INDUSTRIAL Y DE LA BAHIA"/>
    <x v="2"/>
    <n v="2021130010050"/>
    <x v="0"/>
    <x v="0"/>
    <x v="0"/>
    <s v="2,3,3602,1300,2021130010050"/>
    <s v="001"/>
    <s v="1,2,1,0,00-001 - ICLD"/>
    <s v="INV"/>
    <s v="NO"/>
    <s v="APOYO EL DESARROLLO ECONOMICO SOSTENIBLE E INCLUYENTE DE LA LOCALIDAD PROMOVIENDO LA FORMACION EL EMPRENDIMIENTO Y BRINDANDO LAS ASESORIAS NECESARIAS PARA EL FORTALECIMIENTO DE LA COMPETITIVIDAD Y EMPLEABILIDAD LOCAL CARTAGENA DE INDIAS"/>
    <x v="173"/>
    <s v="06"/>
    <s v="00"/>
    <n v="0"/>
    <n v="400000000"/>
    <n v="400000000"/>
    <n v="400000000"/>
    <n v="0"/>
    <n v="400000000"/>
    <n v="100"/>
    <n v="400000000"/>
    <n v="100"/>
    <n v="0"/>
    <n v="400000000"/>
  </r>
  <r>
    <n v="2022"/>
    <n v="100"/>
    <x v="2"/>
    <s v="LOCALIDAD INDUSTRIAL Y DE LA BAHIA"/>
    <x v="2"/>
    <n v="2021130010051"/>
    <x v="0"/>
    <x v="0"/>
    <x v="0"/>
    <s v="2,3,3602,1300,2021130010051"/>
    <s v="001"/>
    <s v="1,2,1,0,00-001 - ICLD"/>
    <s v="INV"/>
    <s v="NO"/>
    <s v="FORMACION EN ECONOMIA INCLUSIVA COMPETITIVIDAD Y GENERACION DE EMPLEO PARA EL DESARROLLO DE LA ECONOMIA LOCAL EN LA LOCALIDAD INDUSTRIAL Y DE LA BAHIA CARTAGENA DE INDIAS"/>
    <x v="174"/>
    <s v="06"/>
    <s v="00"/>
    <n v="0"/>
    <n v="800000000"/>
    <n v="800000000"/>
    <n v="800000000"/>
    <n v="0"/>
    <n v="789200000"/>
    <n v="98.65"/>
    <n v="789200000"/>
    <n v="98.65"/>
    <n v="10800000"/>
    <n v="789200000"/>
  </r>
  <r>
    <n v="2022"/>
    <n v="100"/>
    <x v="0"/>
    <s v="LOCALIDAD TURISTICA Y DE LA VIRGEN"/>
    <x v="0"/>
    <n v="2021130010052"/>
    <x v="0"/>
    <x v="0"/>
    <x v="0"/>
    <s v="2,3,4103,1500,2021130010052"/>
    <s v="001"/>
    <s v="1,2,1,0,00-001 - ICLD"/>
    <s v="INV"/>
    <s v="NO"/>
    <s v="CARACTERIZACION PARA LA CREACION DE ESTRATEGIAS Y ACCIONES CON EL FIN DE GARANTIZAR EL MANTENIMIENTO Y SOSTENIMIENTO DEL ESPACIO PUBLICO DE LA LOCALIDAD DE LA VIRGEN Y TURISTICA CARTAGENA DE INDIAS"/>
    <x v="175"/>
    <s v="06"/>
    <s v="00"/>
    <n v="200000000"/>
    <n v="-200000000"/>
    <n v="0"/>
    <n v="0"/>
    <n v="0"/>
    <n v="0"/>
    <n v="0"/>
    <n v="0"/>
    <n v="0"/>
    <n v="0"/>
    <n v="0"/>
  </r>
  <r>
    <n v="2022"/>
    <n v="100"/>
    <x v="0"/>
    <s v="LOCALIDAD TURISTICA Y DE LA VIRGEN"/>
    <x v="0"/>
    <n v="2021130010054"/>
    <x v="0"/>
    <x v="0"/>
    <x v="0"/>
    <s v="2,3,4103,1500,2021130010054"/>
    <s v="001"/>
    <s v="1,2,1,0,00-001 - ICLD"/>
    <s v="INV"/>
    <s v="NO"/>
    <s v="ASISTENCIA PARA PROMOVER Y ACOMPA?AR LOS SISTEMAS PRODUCTIVOS MEDIANTE LA PRESTACION DEL SERVICIO PUBLICO DE EXTENSION AGROPECUARIO A LOS PRODUCTORES RURALES PESQUEROS Y ACUICOLAS CARTAGENA DE INDIAS"/>
    <x v="176"/>
    <s v="06"/>
    <s v="00"/>
    <n v="300000000"/>
    <n v="-300000000"/>
    <n v="0"/>
    <n v="0"/>
    <n v="0"/>
    <n v="0"/>
    <n v="0"/>
    <n v="0"/>
    <n v="0"/>
    <n v="0"/>
    <n v="0"/>
  </r>
  <r>
    <n v="2022"/>
    <n v="100"/>
    <x v="0"/>
    <s v="LOCALIDAD TURISTICA Y DE LA VIRGEN"/>
    <x v="0"/>
    <n v="2021130010055"/>
    <x v="0"/>
    <x v="0"/>
    <x v="0"/>
    <s v="2,3,4103,1500,2021130010055"/>
    <s v="001"/>
    <s v="1,2,1,0,00-001 - ICLD"/>
    <s v="INV"/>
    <s v="NO"/>
    <s v="FORMACION PARA LA GENERACION DE EMPLEO INCLUSIVO PARA LOS JOVENES DE LA LOCALIDAD DE LA VIRGEN Y TURISTICA CARTAGENA DE INDIAS"/>
    <x v="177"/>
    <s v="06"/>
    <s v="00"/>
    <n v="250000000"/>
    <n v="-250000000"/>
    <n v="0"/>
    <n v="0"/>
    <n v="0"/>
    <n v="0"/>
    <n v="0"/>
    <n v="0"/>
    <n v="0"/>
    <n v="0"/>
    <n v="0"/>
  </r>
  <r>
    <n v="2022"/>
    <n v="100"/>
    <x v="0"/>
    <s v="LOCALIDAD TURISTICA Y DE LA VIRGEN"/>
    <x v="0"/>
    <n v="2021130010056"/>
    <x v="0"/>
    <x v="0"/>
    <x v="0"/>
    <s v="2,3,4103,1500,2021130010056"/>
    <s v="001"/>
    <s v="1,2,1,0,00-001 - ICLD"/>
    <s v="INV"/>
    <s v="NO"/>
    <s v="GENERACION DE INGRESOS EMPRENDIMIENTO Y EMPRESARISMO EN LAS FAMILIAS EN POBREZA EXTREMA DE LA LOCALIDAD DE LA VIRGEN Y TURISTICA CARTAGENA DE INDIAS"/>
    <x v="178"/>
    <s v="06"/>
    <s v="00"/>
    <n v="1000000000"/>
    <n v="-1000000000"/>
    <n v="0"/>
    <n v="0"/>
    <n v="0"/>
    <n v="0"/>
    <n v="0"/>
    <n v="0"/>
    <n v="0"/>
    <n v="0"/>
    <n v="0"/>
  </r>
  <r>
    <n v="2022"/>
    <n v="100"/>
    <x v="0"/>
    <s v="LOCALIDAD TURISTICA Y DE LA VIRGEN"/>
    <x v="0"/>
    <n v="2021130010058"/>
    <x v="0"/>
    <x v="0"/>
    <x v="0"/>
    <s v="2,3,4104,1500,2021130010058"/>
    <s v="001"/>
    <s v="1,2,1,0,00-001 - ICLD"/>
    <s v="INV"/>
    <s v="NO"/>
    <s v="ASISTENCIA PARA GARANTIZAR LOS DERECHOS Y DEBERES EN SALUD CON ENFOQUE DIFERENCIAL EN ARAS DE MINIMIZAR TANTO LAS BARRERAS DE ACCESO A LOS SERVICIOS DE SALUD COMO OTRAS FORMAS DE EXCLUSION, CARTAGENA DE INDIAS"/>
    <x v="179"/>
    <s v="06"/>
    <s v="00"/>
    <n v="200000000"/>
    <n v="-200000000"/>
    <n v="0"/>
    <n v="0"/>
    <n v="0"/>
    <n v="0"/>
    <n v="0"/>
    <n v="0"/>
    <n v="0"/>
    <n v="0"/>
    <n v="0"/>
  </r>
  <r>
    <n v="2022"/>
    <n v="100"/>
    <x v="0"/>
    <s v="LOCALIDAD TURISTICA Y DE LA VIRGEN"/>
    <x v="0"/>
    <n v="2021130010059"/>
    <x v="0"/>
    <x v="0"/>
    <x v="0"/>
    <s v="2,3,4103,1500,2021130010059"/>
    <s v="001"/>
    <s v="1,2,1,0,00-001 - ICLD"/>
    <s v="INV"/>
    <s v="NO"/>
    <s v="FORMACION PARA EL FORTALECIMIENTO DE LA DINAMICA FAMILIAR DE LAS FAMILIAS EN SITUACION DE POBREZA EXTREMA DE LA LOCALIDAD DE LA VIRGEN Y TURISTICA CARTAGENA DE INDIAS"/>
    <x v="180"/>
    <s v="06"/>
    <s v="00"/>
    <n v="800000000"/>
    <n v="-800000000"/>
    <n v="0"/>
    <n v="0"/>
    <n v="0"/>
    <n v="0"/>
    <n v="0"/>
    <n v="0"/>
    <n v="0"/>
    <n v="0"/>
    <n v="0"/>
  </r>
  <r>
    <n v="2022"/>
    <n v="100"/>
    <x v="0"/>
    <s v="LOCALIDAD TURISTICA Y DE LA VIRGEN"/>
    <x v="0"/>
    <n v="2021130010060"/>
    <x v="0"/>
    <x v="0"/>
    <x v="0"/>
    <s v="2,3,4501,0300,2021130010060"/>
    <s v="001"/>
    <s v="1,2,1,0,00-001 - ICLD"/>
    <s v="INV"/>
    <s v="NO"/>
    <s v="ASISTENCIA INTEGRAL A LA FAUNA DOMESTICA EN CONDICION DE CALLE DE LA LOCALIDAD DE LA VIRGEN Y TURISTICA CARTAGENA DE INDIAS"/>
    <x v="181"/>
    <s v="06"/>
    <s v="00"/>
    <n v="100000000"/>
    <n v="-100000000"/>
    <n v="0"/>
    <n v="0"/>
    <n v="0"/>
    <n v="0"/>
    <n v="0"/>
    <n v="0"/>
    <n v="0"/>
    <n v="0"/>
    <n v="0"/>
  </r>
  <r>
    <n v="2022"/>
    <n v="100"/>
    <x v="0"/>
    <s v="LOCALIDAD TURISTICA Y DE LA VIRGEN"/>
    <x v="0"/>
    <n v="2021130010061"/>
    <x v="0"/>
    <x v="0"/>
    <x v="0"/>
    <s v="2,3,1905,0300,2021130010061"/>
    <s v="001"/>
    <s v="1,2,1,0,00-001 - ICLD"/>
    <s v="INV"/>
    <s v="NO"/>
    <s v="DOTACION DE ELEMENTOS DE BIOSEGURIDAD QUE CONTRIBUYAN COMO MEDIDA DE INTERVENCION DIRIGIDA A MODIFICAR O DISMINUIR LAS CONDICIONES DE RIESGO ACTUALES A EVITAR NUEVOS RIESGOS Y GENERAR MECANISMOS PARA LA ATENCION DE EMERGENCIAS CARTAGENA DE INDIAS"/>
    <x v="182"/>
    <s v="06"/>
    <s v="00"/>
    <n v="0"/>
    <n v="0"/>
    <n v="0"/>
    <n v="0"/>
    <n v="0"/>
    <n v="0"/>
    <n v="0"/>
    <n v="0"/>
    <n v="0"/>
    <n v="0"/>
    <n v="0"/>
  </r>
  <r>
    <n v="2022"/>
    <n v="100"/>
    <x v="2"/>
    <s v="LOCALIDAD INDUSTRIAL Y DE LA BAHIA"/>
    <x v="2"/>
    <n v="2021130010062"/>
    <x v="0"/>
    <x v="0"/>
    <x v="0"/>
    <s v="2,3,4501,1000,2021130010062"/>
    <s v="001"/>
    <s v="1,2,1,0,00-001 - ICLD"/>
    <s v="INV"/>
    <s v="NO"/>
    <s v="ASISTENCIA MUJER LIBRE DE VIOLENCIA EN LA LOCALIDAD INDUSTRIAL Y DE LA BAHIA   CARTAGENA DE INDIAS"/>
    <x v="183"/>
    <s v="06"/>
    <s v="00"/>
    <n v="0"/>
    <n v="400000000"/>
    <n v="400000000"/>
    <n v="400000000"/>
    <n v="0"/>
    <n v="388279550"/>
    <n v="97.07"/>
    <n v="388279550"/>
    <n v="97.07"/>
    <n v="11720450"/>
    <n v="388279550"/>
  </r>
  <r>
    <n v="2022"/>
    <n v="100"/>
    <x v="2"/>
    <s v="LOCALIDAD INDUSTRIAL Y DE LA BAHIA"/>
    <x v="2"/>
    <n v="2021130010063"/>
    <x v="0"/>
    <x v="0"/>
    <x v="0"/>
    <s v="2,3,3604,1300,2021130010063"/>
    <s v="001"/>
    <s v="1,2,1,0,00-001 - ICLD"/>
    <s v="INV"/>
    <s v="NO"/>
    <s v="FORMACION PARA IMPULSAR LOS ESPACIOS Y PROCESOS DE PARTICIPACION DE LAS MUJERES PARA EL PLENO GOCE DE SUS DERECHOS EN LA LOCALIDAD INDUSTRIAL Y DE LA BAHIA CARTAGENA DE INDIAS"/>
    <x v="184"/>
    <s v="06"/>
    <s v="00"/>
    <n v="0"/>
    <n v="400000000"/>
    <n v="400000000"/>
    <n v="400000000"/>
    <n v="0"/>
    <n v="400000000"/>
    <n v="100"/>
    <n v="400000000"/>
    <n v="100"/>
    <n v="0"/>
    <n v="400000000"/>
  </r>
  <r>
    <n v="2022"/>
    <n v="100"/>
    <x v="2"/>
    <s v="LOCALIDAD INDUSTRIAL Y DE LA BAHIA"/>
    <x v="2"/>
    <n v="2021130010064"/>
    <x v="0"/>
    <x v="0"/>
    <x v="0"/>
    <s v="2,3,1905,0300,2021130010064"/>
    <s v="001"/>
    <s v="1,2,1,0,00-001 - ICLD"/>
    <s v="INV"/>
    <s v="NO"/>
    <s v="FORMACION PARA PROMOVER LOS DERECHOS SEXUALES Y REPRODUCTIVOS EN LA LOCALIDAD INDUSTRIAL Y DE LA BAHIA CARTAGENA DE INDIAS"/>
    <x v="185"/>
    <s v="06"/>
    <s v="00"/>
    <n v="0"/>
    <n v="200000000"/>
    <n v="200000000"/>
    <n v="200000000"/>
    <n v="0"/>
    <n v="200000000"/>
    <n v="100"/>
    <n v="0"/>
    <n v="0"/>
    <n v="0"/>
    <n v="0"/>
  </r>
  <r>
    <n v="2022"/>
    <n v="100"/>
    <x v="2"/>
    <s v="LOCALIDAD INDUSTRIAL Y DE LA BAHIA"/>
    <x v="2"/>
    <n v="2021130010065"/>
    <x v="0"/>
    <x v="0"/>
    <x v="0"/>
    <s v="2,3,4501,1000,2021130010065"/>
    <s v="001"/>
    <s v="1,2,1,0,00-001 - ICLD"/>
    <s v="INV"/>
    <s v="NO"/>
    <s v="FORTALECIMIENTO DE ESTRATEGIAS PARA GARANTIZAR EL DERECHO FUNDAMENTAL A LA VIDA Y LA INTEGRIDAD PERSONAL EN LA LOCALIDAD INDUSTRIAL Y DE LA BAHIA CARTAGENA DE INDIAS"/>
    <x v="186"/>
    <s v="06"/>
    <s v="00"/>
    <n v="0"/>
    <n v="400000000"/>
    <n v="400000000"/>
    <n v="400000000"/>
    <n v="0"/>
    <n v="395303101"/>
    <n v="98.83"/>
    <n v="0"/>
    <n v="0"/>
    <n v="4696899"/>
    <n v="0"/>
  </r>
  <r>
    <n v="2022"/>
    <n v="100"/>
    <x v="2"/>
    <s v="LOCALIDAD INDUSTRIAL Y DE LA BAHIA"/>
    <x v="2"/>
    <n v="2021130010070"/>
    <x v="0"/>
    <x v="0"/>
    <x v="0"/>
    <s v="2,3,3202,0900,2021130010070"/>
    <s v="001"/>
    <s v="1,2,1,0,00-001 - ICLD"/>
    <s v="INV"/>
    <s v="NO"/>
    <s v="RESTAURACION DE LAS AREAS NATURALES COMO PATRIMONIO AMBIENTAL EN LA LOCALIDAD INDUSTRIAL Y DE LA BAHIA,  CARTAGENA DE INDIAS"/>
    <x v="187"/>
    <s v="06"/>
    <s v="00"/>
    <n v="0"/>
    <n v="400000000"/>
    <n v="400000000"/>
    <n v="400000000"/>
    <n v="0"/>
    <n v="400000000"/>
    <n v="100"/>
    <n v="400000000"/>
    <n v="100"/>
    <n v="0"/>
    <n v="400000000"/>
  </r>
  <r>
    <n v="2022"/>
    <n v="100"/>
    <x v="2"/>
    <s v="LOCALIDAD INDUSTRIAL Y DE LA BAHIA"/>
    <x v="2"/>
    <n v="2021130010073"/>
    <x v="0"/>
    <x v="0"/>
    <x v="0"/>
    <s v="2,3,4599,1000,2021130010073"/>
    <s v="001"/>
    <s v="1,2,1,0,00-001 - ICLD"/>
    <s v="INV"/>
    <s v="NO"/>
    <s v="FORTALECIMIENTO DEL CONSEJO LOCAL DE PLANEACION Y DE LOS CONSEJOS COMUNEROS DE GOBIERNOS URBANOS Y RURALES EN LA LOCALIDAD INDUSTRIAL Y DE LA BAHIA CARTAGENA DE INDIAS"/>
    <x v="188"/>
    <s v="06"/>
    <s v="00"/>
    <n v="0"/>
    <n v="200000000"/>
    <n v="200000000"/>
    <n v="0"/>
    <n v="200000000"/>
    <n v="0"/>
    <n v="0"/>
    <n v="0"/>
    <n v="0"/>
    <n v="200000000"/>
    <n v="0"/>
  </r>
  <r>
    <n v="2022"/>
    <n v="100"/>
    <x v="1"/>
    <s v="LOCALIDAD HISTORICA Y DEL CARIBE NORTE"/>
    <x v="1"/>
    <n v="2021130010074"/>
    <x v="0"/>
    <x v="0"/>
    <x v="0"/>
    <s v="2,3,1905,0300,2021130010074"/>
    <s v="001"/>
    <s v="1,2,1,0,00-001 - ICLD"/>
    <s v="INV"/>
    <s v="NO"/>
    <s v="IMPLEMENTACION PROYECTO DEL FORTALECIMIENTO DE LA POLITICA NACIONAL DE SALUD MENTAL Y POLITICA INTEGRAL PARA LA PREVENCION Y ATENCION DEL CONSUMO DE SUSTANCIAS PSICOACTIVAS EN LOS NI?OS JOVENES Y ADOLESCENTES"/>
    <x v="189"/>
    <s v="06"/>
    <s v="00"/>
    <n v="0"/>
    <n v="650000000"/>
    <n v="650000000"/>
    <n v="650000000"/>
    <n v="0"/>
    <n v="650000000"/>
    <n v="100"/>
    <n v="325000000"/>
    <n v="50"/>
    <n v="0"/>
    <n v="325000000"/>
  </r>
  <r>
    <n v="2022"/>
    <n v="100"/>
    <x v="1"/>
    <s v="LOCALIDAD HISTORICA Y DEL CARIBE NORTE"/>
    <x v="1"/>
    <n v="2021130010075"/>
    <x v="0"/>
    <x v="0"/>
    <x v="0"/>
    <s v="2,3,1706,1100,2021130010075"/>
    <s v="001"/>
    <s v="1,2,1,0,00-001 - ICLD"/>
    <s v="INV"/>
    <s v="NO"/>
    <s v="FORTALECIMIENTO PARA EL EMPRENDIMIENTO DE NEGOCIOS PARA LOS HABITANTES DE LA LOCALIDAD HISTORICA Y DEL CARIBE NORTE EN EL DISTRITO DE CARTAGENA DE INDIAS,"/>
    <x v="190"/>
    <s v="06"/>
    <s v="00"/>
    <n v="0"/>
    <n v="630000000"/>
    <n v="630000000"/>
    <n v="630000000"/>
    <n v="0"/>
    <n v="630000000"/>
    <n v="100"/>
    <n v="630000000"/>
    <n v="100"/>
    <n v="0"/>
    <n v="630000000"/>
  </r>
  <r>
    <n v="2022"/>
    <n v="100"/>
    <x v="1"/>
    <s v="LOCALIDAD HISTORICA Y DEL CARIBE NORTE"/>
    <x v="1"/>
    <n v="2021130010076"/>
    <x v="0"/>
    <x v="0"/>
    <x v="0"/>
    <s v="2,3,2402,0600,2021130010076"/>
    <s v="001"/>
    <s v="1,2,1,0,00-001 - ICLD"/>
    <s v="INV"/>
    <s v="NO"/>
    <s v="CONSTRUCCION MEJORAMIENTO Y REHABILITACION DE VIAS PARA EL TRANSPORTE Y LA MOVILIDAD EN LA LOCALIDAD HISTORICA Y DEL CARIBE NORTE EN EL DISTRITO DE CARTAGENA"/>
    <x v="191"/>
    <s v="06"/>
    <s v="00"/>
    <n v="0"/>
    <n v="70000000"/>
    <n v="70000000"/>
    <n v="70000000"/>
    <n v="0"/>
    <n v="70000000"/>
    <n v="100"/>
    <n v="39955167.530000001"/>
    <n v="57.08"/>
    <n v="0"/>
    <n v="39955167.530000001"/>
  </r>
  <r>
    <n v="2022"/>
    <n v="100"/>
    <x v="1"/>
    <s v="LOCALIDAD HISTORICA Y DEL CARIBE NORTE"/>
    <x v="1"/>
    <n v="2021130010079"/>
    <x v="0"/>
    <x v="0"/>
    <x v="0"/>
    <s v="2,3,4301,1604,2021130010079"/>
    <s v="001"/>
    <s v="1,2,1,0,00-001 - ICLD"/>
    <s v="INV"/>
    <s v="NO"/>
    <s v="CONSTRUCCION MANTENIMIENTOS ADECUACIONES REPARACIONES DE CANCHAS DEPORTIVAS Y PARQUES EN LA ZONA URBANA DE LA LOCALIDAD HISTORICA Y DEL CARIBE NORTE DEL DISTRITO DE CARTAGENA DE INDIAS   "/>
    <x v="192"/>
    <s v="06"/>
    <s v="00"/>
    <n v="0"/>
    <n v="1000000000"/>
    <n v="1000000000"/>
    <n v="1000000000"/>
    <n v="0"/>
    <n v="1000000000"/>
    <n v="100"/>
    <n v="1000000000"/>
    <n v="100"/>
    <n v="0"/>
    <n v="1000000000"/>
  </r>
  <r>
    <n v="2022"/>
    <n v="100"/>
    <x v="1"/>
    <s v="LOCALIDAD HISTORICA Y DEL CARIBE NORTE"/>
    <x v="1"/>
    <n v="2021130010079"/>
    <x v="0"/>
    <x v="0"/>
    <x v="0"/>
    <s v="2,3,2402,0600,2021130010079"/>
    <s v="001"/>
    <s v="1,2,1,0,00-001 - ICLD"/>
    <s v="INV"/>
    <s v="NO"/>
    <s v="CONSTRUCCION MANTENIMIENTOS ADECUACIONES REPARACIONES DE CANCHAS DEPORTIVAS Y PARQUES  EN LA ZONA URBANA DE LA LOCALIDAD HISTORICA Y DEL CARIBE NORTE DEL DISTRITO DE CARTAGENA DE INDIAS"/>
    <x v="193"/>
    <s v="06"/>
    <s v="00"/>
    <n v="0"/>
    <n v="2040297835.03"/>
    <n v="2040297835.03"/>
    <n v="2040297835.03"/>
    <n v="0"/>
    <n v="2040297834"/>
    <n v="100"/>
    <n v="1983007734.5"/>
    <n v="97.19"/>
    <n v="1.03"/>
    <n v="1983007734.5"/>
  </r>
  <r>
    <n v="2022"/>
    <n v="100"/>
    <x v="2"/>
    <s v="LOCALIDAD INDUSTRIAL Y DE LA BAHIA"/>
    <x v="2"/>
    <n v="2021130010082"/>
    <x v="0"/>
    <x v="0"/>
    <x v="0"/>
    <s v="2,3,4301,1604,2021130010082"/>
    <s v="001"/>
    <s v="1,2,1,0,00-001 - ICLD"/>
    <s v="INV"/>
    <s v="NO"/>
    <s v="FORTALECIMIENTO DEL DEPORTE RECREACION Y LUDICA DE LOS HABITANTES DE LA LOCALIDAD INDUSTRIAL Y DE LA BAHIA CARTAGENA DE INDIAS"/>
    <x v="194"/>
    <s v="06"/>
    <s v="00"/>
    <n v="0"/>
    <n v="400000000"/>
    <n v="400000000"/>
    <n v="400000000"/>
    <n v="0"/>
    <n v="400000000"/>
    <n v="100"/>
    <n v="200000000"/>
    <n v="50"/>
    <n v="0"/>
    <n v="0"/>
  </r>
  <r>
    <n v="2022"/>
    <n v="100"/>
    <x v="2"/>
    <s v="LOCALIDAD INDUSTRIAL Y DE LA BAHIA"/>
    <x v="2"/>
    <n v="2021130010083"/>
    <x v="0"/>
    <x v="0"/>
    <x v="0"/>
    <s v="2,3,4102,1500,2021130010083"/>
    <s v="001"/>
    <s v="1,2,1,0,00-001 - ICLD"/>
    <s v="INV"/>
    <s v="NO"/>
    <s v="FORTALECIMIENTO DE LOS PROCESOS DE FORMACION SOBRE LOS DERECHOS DE LOS NI?OS NI?AS Y ADOLESCENTES EN LA LOCALIDAD INDUSTRIAL Y DE LA BAHIA,  CARTAGENA DE INDIAS"/>
    <x v="195"/>
    <s v="06"/>
    <s v="00"/>
    <n v="0"/>
    <n v="400000000"/>
    <n v="400000000"/>
    <n v="400000000"/>
    <n v="0"/>
    <n v="398083750"/>
    <n v="99.52"/>
    <n v="199041875"/>
    <n v="49.76"/>
    <n v="1916250"/>
    <n v="199041875"/>
  </r>
  <r>
    <n v="2022"/>
    <n v="100"/>
    <x v="2"/>
    <s v="LOCALIDAD INDUSTRIAL Y DE LA BAHIA"/>
    <x v="2"/>
    <n v="2021130010085"/>
    <x v="0"/>
    <x v="0"/>
    <x v="0"/>
    <s v="2,3,1702,1100,2021130010085"/>
    <s v="001"/>
    <s v="1,2,1,0,00-001 - ICLD"/>
    <s v="INV"/>
    <s v="NO"/>
    <s v="FORTALECIMIENTO DE LA INCLUSION ETNICA EN LA LOCALIDAD INDUSTRIAL Y DE LA BAHIA,  CARTAGENA DE INDIAS"/>
    <x v="196"/>
    <s v="06"/>
    <s v="00"/>
    <n v="0"/>
    <n v="400000000"/>
    <n v="400000000"/>
    <n v="400000000"/>
    <n v="0"/>
    <n v="396049196.35000002"/>
    <n v="99.01"/>
    <n v="198024598.18000001"/>
    <n v="49.51"/>
    <n v="3950803.65"/>
    <n v="198024598.18000001"/>
  </r>
  <r>
    <n v="2022"/>
    <n v="100"/>
    <x v="2"/>
    <s v="LOCALIDAD INDUSTRIAL Y DE LA BAHIA"/>
    <x v="2"/>
    <n v="2021130010087"/>
    <x v="0"/>
    <x v="0"/>
    <x v="0"/>
    <s v="2,3,4104,1500,2021130010087"/>
    <s v="001"/>
    <s v="1,2,1,0,00-001 - ICLD"/>
    <s v="INV"/>
    <s v="NO"/>
    <s v="FORTALECIMIENTO A LA ATENCION INCLUSIVA DE LAS PERSONAS CON DISCAPACIDAD EN LA LOCALIDAD INDUSTRIAL Y DE LA BAHIA,  CARTAGENA DE INDIAS"/>
    <x v="197"/>
    <s v="06"/>
    <s v="00"/>
    <n v="0"/>
    <n v="487875697"/>
    <n v="487875697"/>
    <n v="487875697"/>
    <n v="0"/>
    <n v="487875697"/>
    <n v="100"/>
    <n v="0"/>
    <n v="0"/>
    <n v="0"/>
    <n v="0"/>
  </r>
  <r>
    <n v="2022"/>
    <n v="100"/>
    <x v="2"/>
    <s v="LOCALIDAD INDUSTRIAL Y DE LA BAHIA"/>
    <x v="2"/>
    <n v="2021130010088"/>
    <x v="0"/>
    <x v="0"/>
    <x v="0"/>
    <s v="2,3,4104,1500,2021130010088"/>
    <s v="001"/>
    <s v="1,2,1,0,00-001 - ICLD"/>
    <s v="INV"/>
    <s v="NO"/>
    <s v="FORTALECIMIENTO A LA ATENCION INTEGRAL DE LOS ADULTOS MAYORES DE LA LOCALIDAD INDUSTRIAL Y DE LA BAHIA,  CARTAGENA DE INDIAS"/>
    <x v="198"/>
    <s v="06"/>
    <s v="00"/>
    <n v="0"/>
    <n v="400000000"/>
    <n v="400000000"/>
    <n v="400000000"/>
    <n v="0"/>
    <n v="394917196"/>
    <n v="98.73"/>
    <n v="0"/>
    <n v="0"/>
    <n v="5082804"/>
    <n v="0"/>
  </r>
  <r>
    <n v="2022"/>
    <n v="100"/>
    <x v="2"/>
    <s v="LOCALIDAD INDUSTRIAL Y DE LA BAHIA"/>
    <x v="2"/>
    <n v="2021130010089"/>
    <x v="0"/>
    <x v="0"/>
    <x v="0"/>
    <s v="2,3,4502,1000,2021130010089"/>
    <s v="001"/>
    <s v="1,2,1,0,00-001 - ICLD"/>
    <s v="INV"/>
    <s v="NO"/>
    <s v="FORTALECIMIENTO DE LAS ORGANIZACIONES Y LIDERES COMUNITARIOS PARA LA PARTICIPACION LOCAL EN LA LOCALIDAD INDUSTRIAL Y DE LA BAHIA,  CARTAGENA DE INDIAS"/>
    <x v="199"/>
    <s v="06"/>
    <s v="00"/>
    <n v="0"/>
    <n v="266162744.86000001"/>
    <n v="266162744.86000001"/>
    <n v="266162744.86000001"/>
    <n v="0"/>
    <n v="266162744.86000001"/>
    <n v="100"/>
    <n v="0"/>
    <n v="0"/>
    <n v="0"/>
    <n v="0"/>
  </r>
  <r>
    <n v="2022"/>
    <n v="100"/>
    <x v="6"/>
    <s v="INSTITUTO DE PATRIMONIO Y CULTURA DE CARTAGENA DE INDIAS"/>
    <x v="6"/>
    <n v="2021130010090"/>
    <x v="4"/>
    <x v="15"/>
    <x v="43"/>
    <s v="2,3,3301,1603,2021130010090"/>
    <s v="001"/>
    <s v="1,2,1,0,00-001 - ICLD"/>
    <s v="INV"/>
    <s v="NO"/>
    <s v="DESARROLLO DE ACTIVIDADES CULTURALES Y ARTISTICAS PARA LOS JOVENES ENTRE 14 Y 28 A?OS DEL DISTRITO DE   CARTAGENA DE INDIAS"/>
    <x v="200"/>
    <s v="06"/>
    <s v="00"/>
    <n v="90000000"/>
    <n v="0"/>
    <n v="90000000"/>
    <n v="90000000"/>
    <n v="0"/>
    <n v="90000000"/>
    <n v="100"/>
    <n v="90000000"/>
    <n v="100"/>
    <n v="0"/>
    <n v="89550000"/>
  </r>
  <r>
    <n v="2022"/>
    <n v="100"/>
    <x v="0"/>
    <s v="LOCALIDAD TURISTICA Y DE LA VIRGEN"/>
    <x v="0"/>
    <n v="2021130010091"/>
    <x v="0"/>
    <x v="0"/>
    <x v="0"/>
    <s v="2,3,4002,1400,2021130010091"/>
    <s v="001"/>
    <s v="1,2,1,0,00-001 - ICLD"/>
    <s v="INV"/>
    <s v="NO"/>
    <s v="INCREMENTO DE ZONAS VERDES A TRAVES DE LA RECUPERACION DE ESPACIO PUBLICO DE LA LOCALIDAD DE LA VIRGEN Y TURISTICA CARTAGENA DE INDIAS"/>
    <x v="201"/>
    <s v="06"/>
    <s v="00"/>
    <n v="200000000"/>
    <n v="0"/>
    <n v="200000000"/>
    <n v="0"/>
    <n v="200000000"/>
    <n v="0"/>
    <n v="0"/>
    <n v="0"/>
    <n v="0"/>
    <n v="200000000"/>
    <n v="0"/>
  </r>
  <r>
    <n v="2022"/>
    <n v="100"/>
    <x v="0"/>
    <s v="LOCALIDAD TURISTICA Y DE LA VIRGEN"/>
    <x v="0"/>
    <n v="2021130010092"/>
    <x v="0"/>
    <x v="0"/>
    <x v="0"/>
    <s v="2,3,4103,1500,2021130010092"/>
    <s v="001"/>
    <s v="1,2,1,0,00-001 - ICLD"/>
    <s v="INV"/>
    <s v="NO"/>
    <s v="MUJERES CON AUTONOMIA ECONOMICA"/>
    <x v="202"/>
    <s v="06"/>
    <s v="00"/>
    <n v="250000000"/>
    <n v="-250000000"/>
    <n v="0"/>
    <n v="0"/>
    <n v="0"/>
    <n v="0"/>
    <n v="0"/>
    <n v="0"/>
    <n v="0"/>
    <n v="0"/>
    <n v="0"/>
  </r>
  <r>
    <n v="2022"/>
    <n v="100"/>
    <x v="2"/>
    <s v="LOCALIDAD INDUSTRIAL Y DE LA BAHIA"/>
    <x v="2"/>
    <n v="2021130010093"/>
    <x v="0"/>
    <x v="0"/>
    <x v="0"/>
    <s v="2,3,4502,1000,2021130010093"/>
    <s v="001"/>
    <s v="1,2,1,0,00-001 - ICLD"/>
    <s v="INV"/>
    <s v="NO"/>
    <s v="FORMACION DE LA POBLACION JUVENIL DE LA LOCALIDAD PARA FOMENTAR SU PARTICIPACION CIUDADANA EN LA LOCALIDAD INDUSTRIAL Y DE LA BAHIA,  CARTAGENA DE INDIAS"/>
    <x v="203"/>
    <s v="06"/>
    <s v="00"/>
    <n v="0"/>
    <n v="400000000"/>
    <n v="400000000"/>
    <n v="400000000"/>
    <n v="0"/>
    <n v="400000000"/>
    <n v="100"/>
    <n v="0"/>
    <n v="0"/>
    <n v="0"/>
    <n v="0"/>
  </r>
  <r>
    <n v="2022"/>
    <n v="100"/>
    <x v="2"/>
    <s v="LOCALIDAD INDUSTRIAL Y DE LA BAHIA"/>
    <x v="2"/>
    <n v="2021130010095"/>
    <x v="0"/>
    <x v="0"/>
    <x v="0"/>
    <s v="2,3,3301,1603,2021130010095"/>
    <s v="001"/>
    <s v="1,2,1,0,00-001 - ICLD"/>
    <s v="INV"/>
    <s v="NO"/>
    <s v="FORTALECIMIENTO AL DESARROLLO DE LAS EXPRESIONES ARTISTICAS Y CULTURALES EN LA LOCALIDAD INDUSTRIAL Y DE LA BAHIA CARTAGENA DE INDIAS"/>
    <x v="204"/>
    <s v="06"/>
    <s v="00"/>
    <n v="0"/>
    <n v="600000000"/>
    <n v="600000000"/>
    <n v="600000000"/>
    <n v="0"/>
    <n v="591544185"/>
    <n v="98.59"/>
    <n v="295772092.5"/>
    <n v="49.3"/>
    <n v="8455815"/>
    <n v="0"/>
  </r>
  <r>
    <n v="2022"/>
    <n v="100"/>
    <x v="0"/>
    <s v="LOCALIDAD TURISTICA Y DE LA VIRGEN"/>
    <x v="0"/>
    <n v="2021130010098"/>
    <x v="0"/>
    <x v="0"/>
    <x v="0"/>
    <s v="2,3,4503,1000,2021130010098"/>
    <s v="001"/>
    <s v="1,2,1,0,00-001 - ICLD"/>
    <s v="INV"/>
    <s v="NO"/>
    <s v="FORTALECIMIENTO DEL MANEJO Y PREVENCION DE DESASTRES DE LA LOCALIDAD DE LA VIRGEN Y TURISTICA CARTAGENA DE INDIAS"/>
    <x v="205"/>
    <s v="06"/>
    <s v="00"/>
    <n v="200000000"/>
    <n v="2603305147"/>
    <n v="2803305147"/>
    <n v="2003307086"/>
    <n v="799998061"/>
    <n v="2003191219"/>
    <n v="71.459999999999994"/>
    <n v="300478682"/>
    <n v="10.72"/>
    <n v="800113928"/>
    <n v="0"/>
  </r>
  <r>
    <n v="2022"/>
    <n v="100"/>
    <x v="0"/>
    <s v="LOCALIDAD TURISTICA Y DE LA VIRGEN"/>
    <x v="0"/>
    <n v="2021130010099"/>
    <x v="0"/>
    <x v="0"/>
    <x v="0"/>
    <s v="2,3,4003,1400,2021130010099"/>
    <s v="001"/>
    <s v="1,2,1,0,00-001 - ICLD"/>
    <s v="INV"/>
    <s v="NO"/>
    <s v="ADECUACION DE SANEAMIENTO BASICO PARA VIVIENDAS DE LA POBLACION EN CONDICION POBREZA DE LA LOCALIDAD DE LA VIRGEN Y TURISTICA CARTAGENA DE INDIAS"/>
    <x v="206"/>
    <s v="06"/>
    <s v="00"/>
    <n v="0"/>
    <n v="0"/>
    <n v="0"/>
    <n v="0"/>
    <n v="0"/>
    <n v="0"/>
    <n v="0"/>
    <n v="0"/>
    <n v="0"/>
    <n v="0"/>
    <n v="0"/>
  </r>
  <r>
    <n v="2022"/>
    <n v="100"/>
    <x v="0"/>
    <s v="LOCALIDAD TURISTICA Y DE LA VIRGEN"/>
    <x v="0"/>
    <n v="2021130010100"/>
    <x v="0"/>
    <x v="0"/>
    <x v="0"/>
    <s v="2,3,4503,1000,2021130010100"/>
    <s v="001"/>
    <s v="1,2,1,0,00-001 - ICLD"/>
    <s v="INV"/>
    <s v="NO"/>
    <s v="DESARROLLO DE MEDIDAS PARA MEJORAR LA CAPACIDAD HIDRAULICA DE LOS CANALES PLUVIALES EN LA LOCALIDAD DE LA VIRGEN Y TURISTICA CARTAGENA DE INDIAS"/>
    <x v="207"/>
    <s v="06"/>
    <s v="00"/>
    <n v="0"/>
    <n v="1500000000"/>
    <n v="1500000000"/>
    <n v="1500000000"/>
    <n v="0"/>
    <n v="1497900000"/>
    <n v="99.86"/>
    <n v="1158326070"/>
    <n v="77.22"/>
    <n v="2100000"/>
    <n v="0"/>
  </r>
  <r>
    <n v="2022"/>
    <n v="100"/>
    <x v="0"/>
    <s v="LOCALIDAD TURISTICA Y DE LA VIRGEN"/>
    <x v="0"/>
    <n v="2021130010101"/>
    <x v="0"/>
    <x v="0"/>
    <x v="0"/>
    <s v="2,3,2409,0600,2021130010101"/>
    <s v="001"/>
    <s v="1,2,1,0,00-001 - ICLD"/>
    <s v="INV"/>
    <s v="NO"/>
    <s v="ELABORACION DE CAMPA?AS EDUCATIVAS PARA REDUCIR LA SINIESTRALIDAD VIAL EN LA LOCALIDAD DE LA VIRGEN Y TURISTICA CARTAGENA DE INDIAS"/>
    <x v="208"/>
    <s v="06"/>
    <s v="00"/>
    <n v="0"/>
    <n v="0"/>
    <n v="0"/>
    <n v="0"/>
    <n v="0"/>
    <n v="0"/>
    <n v="0"/>
    <n v="0"/>
    <n v="0"/>
    <n v="0"/>
    <n v="0"/>
  </r>
  <r>
    <n v="2022"/>
    <n v="100"/>
    <x v="0"/>
    <s v="LOCALIDAD TURISTICA Y DE LA VIRGEN"/>
    <x v="0"/>
    <n v="2021130010102"/>
    <x v="0"/>
    <x v="0"/>
    <x v="0"/>
    <s v="2,3,4103,1500,2021130010102"/>
    <s v="001"/>
    <s v="1,2,1,0,00-001 - ICLD"/>
    <s v="INV"/>
    <s v="NO"/>
    <s v="FORTALECIMIENTO DEL EMPRENDIMIENTO EN LOS PEQUE?OS PRODUCTORES RURALES DE LA LOCALIDAD DE LA VIRGEN Y TURISTICA CARTAGENA DE INDIAS"/>
    <x v="209"/>
    <s v="06"/>
    <s v="00"/>
    <n v="300000000"/>
    <n v="-300000000"/>
    <n v="0"/>
    <n v="0"/>
    <n v="0"/>
    <n v="0"/>
    <n v="0"/>
    <n v="0"/>
    <n v="0"/>
    <n v="0"/>
    <n v="0"/>
  </r>
  <r>
    <n v="2022"/>
    <n v="100"/>
    <x v="0"/>
    <s v="LOCALIDAD TURISTICA Y DE LA VIRGEN"/>
    <x v="0"/>
    <n v="2021130010103"/>
    <x v="0"/>
    <x v="0"/>
    <x v="0"/>
    <s v="2,3,1905,0300,2021130010103"/>
    <s v="001"/>
    <s v="1,2,1,0,00-001 - ICLD"/>
    <s v="INV"/>
    <s v="NO"/>
    <s v="FORMACION DE ADOLESCENTES EN SALUD SEXUAL Y REPRODUCTIVA EN LA LOCALIDAD DE LA VIRGEN Y TURISTICA CARTAGENA DE INDIAS"/>
    <x v="210"/>
    <s v="06"/>
    <s v="00"/>
    <n v="200000000"/>
    <n v="-200000000"/>
    <n v="0"/>
    <n v="0"/>
    <n v="0"/>
    <n v="0"/>
    <n v="0"/>
    <n v="0"/>
    <n v="0"/>
    <n v="0"/>
    <n v="0"/>
  </r>
  <r>
    <n v="2022"/>
    <n v="100"/>
    <x v="0"/>
    <s v="LOCALIDAD TURISTICA Y DE LA VIRGEN"/>
    <x v="0"/>
    <n v="2021130010104"/>
    <x v="0"/>
    <x v="0"/>
    <x v="0"/>
    <s v="2,3,4103,1500,2021130010104"/>
    <s v="001"/>
    <s v="1,2,1,0,00-001 - ICLD"/>
    <s v="INV"/>
    <s v="NO"/>
    <s v="CAPACITACION DE LOS PRESTADORES DE SERVICIOS TURISTICOS PARA LA REACTIVACION ECONOMICA DEL SECTOR EN LA LOCALIDAD DE LA VIRGEN Y TURISTICA, CARTAGENA DE INDIAS"/>
    <x v="211"/>
    <s v="06"/>
    <s v="00"/>
    <n v="200000000"/>
    <n v="-200000000"/>
    <n v="0"/>
    <n v="0"/>
    <n v="0"/>
    <n v="0"/>
    <n v="0"/>
    <n v="0"/>
    <n v="0"/>
    <n v="0"/>
    <n v="0"/>
  </r>
  <r>
    <n v="2022"/>
    <n v="100"/>
    <x v="0"/>
    <s v="LOCALIDAD TURISTICA Y DE LA VIRGEN"/>
    <x v="0"/>
    <n v="2021130010105"/>
    <x v="0"/>
    <x v="0"/>
    <x v="0"/>
    <s v="2,3,3603,1300,2021130010105"/>
    <s v="001"/>
    <s v="1,2,1,0,00-001 - ICLD"/>
    <s v="INV"/>
    <s v="NO"/>
    <s v="FORTALECIMIENTO DEL EMPRENDIMIENTO Y LA EMPLEABILIDAD EN LA LOCALIDAD DE LA VIRGEN Y TURISTICA, CARTAGENA DE INDIAS"/>
    <x v="212"/>
    <s v="06"/>
    <s v="00"/>
    <n v="300000000"/>
    <n v="-300000000"/>
    <n v="0"/>
    <n v="0"/>
    <n v="0"/>
    <n v="0"/>
    <n v="0"/>
    <n v="0"/>
    <n v="0"/>
    <n v="0"/>
    <n v="0"/>
  </r>
  <r>
    <n v="2022"/>
    <n v="100"/>
    <x v="0"/>
    <s v="LOCALIDAD TURISTICA Y DE LA VIRGEN"/>
    <x v="0"/>
    <n v="2021130010106"/>
    <x v="0"/>
    <x v="0"/>
    <x v="0"/>
    <s v="2,3,3301,1603,2021130010106"/>
    <s v="001"/>
    <s v="1,2,1,0,00-001 - ICLD"/>
    <s v="INV"/>
    <s v="NO"/>
    <s v="CONSTRUCCION Y MANTENIMIENTO DE INFRAESTRUCTURA CULTURAL EN LA LOCALIDAD DE LA VIRGEN Y TURISTICA, CARTAGENA DE INDIAS"/>
    <x v="213"/>
    <s v="06"/>
    <s v="00"/>
    <n v="300000000"/>
    <n v="-300000000"/>
    <n v="0"/>
    <n v="0"/>
    <n v="0"/>
    <n v="0"/>
    <n v="0"/>
    <n v="0"/>
    <n v="0"/>
    <n v="0"/>
    <n v="0"/>
  </r>
  <r>
    <n v="2022"/>
    <n v="100"/>
    <x v="0"/>
    <s v="LOCALIDAD TURISTICA Y DE LA VIRGEN"/>
    <x v="0"/>
    <n v="2021130010107"/>
    <x v="0"/>
    <x v="0"/>
    <x v="0"/>
    <s v="2,3,3301,1603,2021130010107"/>
    <s v="001"/>
    <s v="1,2,1,0,00-001 - ICLD"/>
    <s v="INV"/>
    <s v="NO"/>
    <s v="FORTALECIMIENTO DE LA PARTICIPACION DE ARTISTAS Y GESTORES CULTURALES EN LOS FESTEJOS Y FIESTAS DE LA LOCALIDAD DE LA VIRGEN Y TURISTICA CARTAGENA DE INDIAS"/>
    <x v="214"/>
    <s v="06"/>
    <s v="00"/>
    <n v="200000000"/>
    <n v="-200000000"/>
    <n v="0"/>
    <n v="0"/>
    <n v="0"/>
    <n v="0"/>
    <n v="0"/>
    <n v="0"/>
    <n v="0"/>
    <n v="0"/>
    <n v="0"/>
  </r>
  <r>
    <n v="2022"/>
    <n v="100"/>
    <x v="0"/>
    <s v="LOCALIDAD TURISTICA Y DE LA VIRGEN"/>
    <x v="0"/>
    <n v="2021130010110"/>
    <x v="0"/>
    <x v="0"/>
    <x v="0"/>
    <s v="2,3,4301,1604,2021130010110"/>
    <s v="001"/>
    <s v="1,2,1,0,00-001 - ICLD"/>
    <s v="INV"/>
    <s v="NO"/>
    <s v="DESARROLLO DE EVENTOS O TORNEOS DEPORTIVOS PARA IMPULSAR LA INTEGRACION SOCIAL EN LA LOCALIDAD DE LA VIRGEN Y TURISTICA CARTAGENA DE INDIAS"/>
    <x v="215"/>
    <s v="06"/>
    <s v="00"/>
    <n v="200000000"/>
    <n v="-200000000"/>
    <n v="0"/>
    <n v="0"/>
    <n v="0"/>
    <n v="0"/>
    <n v="0"/>
    <n v="0"/>
    <n v="0"/>
    <n v="0"/>
    <n v="0"/>
  </r>
  <r>
    <n v="2022"/>
    <n v="100"/>
    <x v="0"/>
    <s v="LOCALIDAD TURISTICA Y DE LA VIRGEN"/>
    <x v="0"/>
    <n v="2021130010111"/>
    <x v="0"/>
    <x v="0"/>
    <x v="0"/>
    <s v="2,3,4102,1500,2021130010111"/>
    <s v="001"/>
    <s v="1,2,1,0,00-001 - ICLD"/>
    <s v="INV"/>
    <s v="NO"/>
    <s v="ASISTENCIA PSICOSOCIAL A LA POBLACION NNA CON RIESGO DE VINCULARSE A ACTIVIDADES DELICTIVAS EN LA LOCALIDAD DE LA VIRGEN Y TURISTICA, CARTAGENA DE INDIAS"/>
    <x v="216"/>
    <s v="06"/>
    <s v="00"/>
    <n v="200000000"/>
    <n v="-200000000"/>
    <n v="0"/>
    <n v="0"/>
    <n v="0"/>
    <n v="0"/>
    <n v="0"/>
    <n v="0"/>
    <n v="0"/>
    <n v="0"/>
    <n v="0"/>
  </r>
  <r>
    <n v="2022"/>
    <n v="100"/>
    <x v="0"/>
    <s v="LOCALIDAD TURISTICA Y DE LA VIRGEN"/>
    <x v="0"/>
    <n v="2021130010113"/>
    <x v="0"/>
    <x v="0"/>
    <x v="0"/>
    <s v="2,3,4002,1400,2021130010113"/>
    <s v="001"/>
    <s v="1,2,1,0,00-001 - ICLD"/>
    <s v="INV"/>
    <s v="NO"/>
    <s v="GENERACION DE MEDIDAS ENCAMINADAS A RECUPERAR EL ESPACIO PUBLICO DE LA LOCALIDAD DE LA VIRGEN Y TURISTICA, CARTAGENA DE INDIAS"/>
    <x v="217"/>
    <s v="06"/>
    <s v="00"/>
    <n v="200000000"/>
    <n v="-200000000"/>
    <n v="0"/>
    <n v="0"/>
    <n v="0"/>
    <n v="0"/>
    <n v="0"/>
    <n v="0"/>
    <n v="0"/>
    <n v="0"/>
    <n v="0"/>
  </r>
  <r>
    <n v="2022"/>
    <n v="100"/>
    <x v="0"/>
    <s v="LOCALIDAD TURISTICA Y DE LA VIRGEN"/>
    <x v="0"/>
    <n v="2021130010114"/>
    <x v="0"/>
    <x v="0"/>
    <x v="0"/>
    <s v="2,3,4102,1500,2021130010114"/>
    <s v="001"/>
    <s v="1,2,1,0,00-001 - ICLD"/>
    <s v="INV"/>
    <s v="NO"/>
    <s v="FORTALECIMIENTO DE LA CAPACIDAD DE MANEJO Y RESOLUCION DE CONFLICTOS DE LOS ESTUDIANTES DE LAS IEO DE LA LOCALIDAD DE LA VIRGEN Y TURISTICA?"/>
    <x v="218"/>
    <s v="06"/>
    <s v="00"/>
    <n v="1425000000"/>
    <n v="0"/>
    <n v="1425000000"/>
    <n v="0"/>
    <n v="1425000000"/>
    <n v="0"/>
    <n v="0"/>
    <n v="0"/>
    <n v="0"/>
    <n v="1425000000"/>
    <n v="0"/>
  </r>
  <r>
    <n v="2022"/>
    <n v="100"/>
    <x v="0"/>
    <s v="LOCALIDAD TURISTICA Y DE LA VIRGEN"/>
    <x v="0"/>
    <n v="2021130010115"/>
    <x v="0"/>
    <x v="0"/>
    <x v="0"/>
    <s v="2,3,4103,1500,2021130010115"/>
    <s v="001"/>
    <s v="1,2,1,0,00-001 - ICLD"/>
    <s v="INV"/>
    <s v="NO"/>
    <s v="CONTRIBUCION A LA GENERACION DE INGRESOS DE LOS GRUPOS ETNICOS DE LA LOCALIDAD DE LA VIRGEN Y TURISTICA CARTAGENA DE INDIAS"/>
    <x v="219"/>
    <s v="06"/>
    <s v="00"/>
    <n v="200000000"/>
    <n v="-200000000"/>
    <n v="0"/>
    <n v="0"/>
    <n v="0"/>
    <n v="0"/>
    <n v="0"/>
    <n v="0"/>
    <n v="0"/>
    <n v="0"/>
    <n v="0"/>
  </r>
  <r>
    <n v="2022"/>
    <n v="100"/>
    <x v="0"/>
    <s v="LOCALIDAD TURISTICA Y DE LA VIRGEN"/>
    <x v="0"/>
    <n v="2021130010117"/>
    <x v="0"/>
    <x v="0"/>
    <x v="0"/>
    <s v="2,3,4501,1000,2021130010117"/>
    <s v="001"/>
    <s v="1,2,1,0,00-001 - ICLD"/>
    <s v="INV"/>
    <s v="NO"/>
    <s v="DESARROLLO DE ACCIONES PARA DISMINUIR LA VIOLENCIA CONTRA LA MUJER EN LA LOCALIDAD DE LA VIRGEN Y TURISTICA CARTAGENA DE INDIAS"/>
    <x v="220"/>
    <s v="06"/>
    <s v="00"/>
    <n v="300000000"/>
    <n v="-300000000"/>
    <n v="0"/>
    <n v="0"/>
    <n v="0"/>
    <n v="0"/>
    <n v="0"/>
    <n v="0"/>
    <n v="0"/>
    <n v="0"/>
    <n v="0"/>
  </r>
  <r>
    <n v="2022"/>
    <n v="100"/>
    <x v="0"/>
    <s v="LOCALIDAD TURISTICA Y DE LA VIRGEN"/>
    <x v="0"/>
    <n v="2021130010118"/>
    <x v="0"/>
    <x v="0"/>
    <x v="0"/>
    <s v="2,3,3604,1300,2021130010118"/>
    <s v="001"/>
    <s v="1,2,1,0,00-001 - ICLD"/>
    <s v="INV"/>
    <s v="NO"/>
    <s v="FORMACION DE MUJERES PARA EJERCER LIDERAZGO EN LA COMUNIDAD DE LA LOCALIDAD DE LA VIRGEN Y TURISTICA, CARTAGENA DE INDIAS"/>
    <x v="221"/>
    <s v="06"/>
    <s v="00"/>
    <n v="200000000"/>
    <n v="-200000000"/>
    <n v="0"/>
    <n v="0"/>
    <n v="0"/>
    <n v="0"/>
    <n v="0"/>
    <n v="0"/>
    <n v="0"/>
    <n v="0"/>
    <n v="0"/>
  </r>
  <r>
    <n v="2022"/>
    <n v="100"/>
    <x v="17"/>
    <s v="SECRETARIA DE INFRAESTRUCTURA"/>
    <x v="17"/>
    <n v="2021130010121"/>
    <x v="4"/>
    <x v="25"/>
    <x v="79"/>
    <s v="2,3,1906,0300,2021130010121"/>
    <s v="001"/>
    <s v="1,2,1,0,00-001 - ICLD"/>
    <s v="INV"/>
    <s v="NO"/>
    <s v="ADECUACION DE CENTROS DE SALUD PARA LA POBLACION NEGRA AFROCOLOMBIANA RAIZAL Y PALENQUERA EN EL DISTRITO DE   CARTAGENA DE INDIAS"/>
    <x v="222"/>
    <s v="06"/>
    <s v="00"/>
    <n v="150000000"/>
    <n v="0"/>
    <n v="150000000"/>
    <n v="143920374"/>
    <n v="6079626"/>
    <n v="126257831"/>
    <n v="84.17"/>
    <n v="118028434.22"/>
    <n v="78.69"/>
    <n v="23742169"/>
    <n v="118028434.22"/>
  </r>
  <r>
    <n v="2022"/>
    <n v="100"/>
    <x v="2"/>
    <s v="LOCALIDAD INDUSTRIAL Y DE LA BAHIA"/>
    <x v="2"/>
    <n v="2021130010123"/>
    <x v="0"/>
    <x v="0"/>
    <x v="0"/>
    <s v="2,3,4502,1500,2021130010123"/>
    <s v="001"/>
    <s v="1,2,1,0,00-001 - ICLD"/>
    <s v="INV"/>
    <s v="NO"/>
    <s v="FORTALECIMIENTO DE PROCESOS DE RECONOCIMIENTO Y PROMOCION DE LA DIVERSIDAD SEXUAL EN MEDIO DE LA COMUNIDAD DE LA LOCALIDAD INDUSTRIAL Y DE LA BAHIA, CARTAGENA DE INDIAS,"/>
    <x v="223"/>
    <s v="06"/>
    <s v="00"/>
    <n v="0"/>
    <n v="200000000"/>
    <n v="200000000"/>
    <n v="200000000"/>
    <n v="0"/>
    <n v="199999986"/>
    <n v="100"/>
    <n v="0"/>
    <n v="0"/>
    <n v="14"/>
    <n v="0"/>
  </r>
  <r>
    <n v="2022"/>
    <n v="100"/>
    <x v="0"/>
    <s v="LOCALIDAD TURISTICA Y DE LA VIRGEN"/>
    <x v="0"/>
    <n v="2021130010125"/>
    <x v="0"/>
    <x v="0"/>
    <x v="0"/>
    <s v="2,3,4502,1500,2021130010125"/>
    <s v="001"/>
    <s v="1,2,1,0,00-001 - ICLD"/>
    <s v="INV"/>
    <s v="NO"/>
    <s v="DIVERSIDAD SEXUAL Y NUEVAS IDENTIDADES DE GENERO EN LA LOCALIDAD"/>
    <x v="224"/>
    <s v="06"/>
    <s v="00"/>
    <n v="100000000"/>
    <n v="-100000000"/>
    <n v="0"/>
    <n v="0"/>
    <n v="0"/>
    <n v="0"/>
    <n v="0"/>
    <n v="0"/>
    <n v="0"/>
    <n v="0"/>
    <n v="0"/>
  </r>
  <r>
    <n v="2022"/>
    <n v="100"/>
    <x v="0"/>
    <s v="LOCALIDAD TURISTICA Y DE LA VIRGEN"/>
    <x v="0"/>
    <n v="2021130010126"/>
    <x v="0"/>
    <x v="0"/>
    <x v="0"/>
    <s v="2,3,4502,1000,2021130010126"/>
    <s v="001"/>
    <s v="1,2,1,0,00-001 - ICLD"/>
    <s v="INV"/>
    <s v="NO"/>
    <s v="FORTALECIMIENTO TECNICO Y LOGISTICO DE LAS ORGANIZACIONES COMUNALES DE LA LOCALIDAD DE LA VIRGEN Y TURISTICA CARTAGENA DE INDIAS"/>
    <x v="225"/>
    <s v="06"/>
    <s v="00"/>
    <n v="100000000"/>
    <n v="0"/>
    <n v="100000000"/>
    <n v="0"/>
    <n v="100000000"/>
    <n v="0"/>
    <n v="0"/>
    <n v="0"/>
    <n v="0"/>
    <n v="100000000"/>
    <n v="0"/>
  </r>
  <r>
    <n v="2022"/>
    <n v="100"/>
    <x v="0"/>
    <s v="LOCALIDAD TURISTICA Y DE LA VIRGEN"/>
    <x v="0"/>
    <n v="2021130010127"/>
    <x v="0"/>
    <x v="0"/>
    <x v="0"/>
    <s v="2,3,4599,1000,2021130010127"/>
    <s v="001"/>
    <s v="1,2,1,0,00-001 - ICLD"/>
    <s v="INV"/>
    <s v="NO"/>
    <s v="FORTALECIMIENTO TECNICO Y LOGISTICO DEL CONSEJO LOCAL DE PLANEACION DE LA LOCALIDAD DE LA VIRGEN Y TURISTICA, CARTAGENA DE INDIAS"/>
    <x v="226"/>
    <s v="06"/>
    <s v="00"/>
    <n v="100000000"/>
    <n v="0"/>
    <n v="100000000"/>
    <n v="0"/>
    <n v="100000000"/>
    <n v="0"/>
    <n v="0"/>
    <n v="0"/>
    <n v="0"/>
    <n v="100000000"/>
    <n v="0"/>
  </r>
  <r>
    <n v="2022"/>
    <n v="100"/>
    <x v="0"/>
    <s v="LOCALIDAD TURISTICA Y DE LA VIRGEN"/>
    <x v="0"/>
    <n v="2021130010131"/>
    <x v="0"/>
    <x v="0"/>
    <x v="0"/>
    <s v="2,3,4502,1000,2021130010131"/>
    <s v="001"/>
    <s v="1,2,1,0,00-001 - ICLD"/>
    <s v="INV"/>
    <s v="NO"/>
    <s v="FORMACION SOCIOPOLITICA PARA IMPULSAR LA PARTICIPACION CIUDADANA DE LOS JOVENES DE LA LOCALIDAD DE LA VIRGEN Y TURISTICA CARTAGENA DE INDIAS"/>
    <x v="227"/>
    <s v="06"/>
    <s v="00"/>
    <n v="100000000"/>
    <n v="-100000000"/>
    <n v="0"/>
    <n v="0"/>
    <n v="0"/>
    <n v="0"/>
    <n v="0"/>
    <n v="0"/>
    <n v="0"/>
    <n v="0"/>
    <n v="0"/>
  </r>
  <r>
    <n v="2022"/>
    <n v="100"/>
    <x v="0"/>
    <s v="LOCALIDAD TURISTICA Y DE LA VIRGEN"/>
    <x v="0"/>
    <n v="2021130010132"/>
    <x v="0"/>
    <x v="0"/>
    <x v="0"/>
    <s v="2,3,4104,0300,2021130010132"/>
    <s v="001"/>
    <s v="1,2,1,0,00-001 - ICLD"/>
    <s v="INV"/>
    <s v="NO"/>
    <s v="FORTALECIMIENTO ORGANIZACIONAL ASOCIADO A LA ATENCION DE PERSONAS MAYORES EN CENTROS DE VIDA DE LA LOCALIDAD DE LA VIRGEN Y TURISTICA CARTAGENA DE INDIAS"/>
    <x v="228"/>
    <s v="06"/>
    <s v="00"/>
    <n v="300000000"/>
    <n v="-300000000"/>
    <n v="0"/>
    <n v="0"/>
    <n v="0"/>
    <n v="0"/>
    <n v="0"/>
    <n v="0"/>
    <n v="0"/>
    <n v="0"/>
    <n v="0"/>
  </r>
  <r>
    <n v="2022"/>
    <n v="100"/>
    <x v="6"/>
    <s v="INSTITUTO DE PATRIMONIO Y CULTURA DE CARTAGENA DE INDIAS"/>
    <x v="6"/>
    <n v="2021130010134"/>
    <x v="4"/>
    <x v="25"/>
    <x v="80"/>
    <s v="2,3,3302,1603,2021130010134"/>
    <s v="001"/>
    <s v="1,2,1,0,00-001 - ICLD"/>
    <s v="INV"/>
    <s v="NO"/>
    <s v="DESARROLLO DEL FESTIVAL DE MEMORIA ORAL UNA ESTRATEGIA PARA LA SOSTENIBILIDAD CULTURAL COMO GARANTIA DE PERMANENCIA DE LOS VALORES CULTURALES EN EL DISTRITO DE CARTAGENA DE INDIAS"/>
    <x v="229"/>
    <s v="06"/>
    <s v="00"/>
    <n v="75000000"/>
    <n v="0"/>
    <n v="75000000"/>
    <n v="75000000"/>
    <n v="0"/>
    <n v="75000000"/>
    <n v="100"/>
    <n v="75000000"/>
    <n v="100"/>
    <n v="0"/>
    <n v="75000000"/>
  </r>
  <r>
    <n v="2022"/>
    <n v="100"/>
    <x v="17"/>
    <s v="SECRETARIA DE INFRAESTRUCTURA"/>
    <x v="17"/>
    <n v="2021130010141"/>
    <x v="1"/>
    <x v="18"/>
    <x v="57"/>
    <s v="2,3,3203,0900,2021130010141"/>
    <s v="869"/>
    <s v="1,3,3,4,16-95-053 RB  OTRAS TASAS Y DERECHOS ADMINISTRATIVOS CONTRAPRESTACION PORTUARIA"/>
    <s v="INV"/>
    <s v="NO"/>
    <s v="CONSTRUCCION, RECTIFICACION Y RECUPERACION DEL SISTEMA HIDRICO Y PLAN MAESTRO DE ALCANTARILLADO PLUVIAL PARA SALVAR EL HABITAT EN EL DISTRITO DE CARTAGENA DE INDIAS"/>
    <x v="230"/>
    <s v="06"/>
    <s v="00"/>
    <n v="0"/>
    <n v="1085753638.8099999"/>
    <n v="1085753638.8099999"/>
    <n v="1085753638.8099999"/>
    <n v="0"/>
    <n v="1085753638.8099999"/>
    <n v="100"/>
    <n v="1085753638.8099999"/>
    <n v="100"/>
    <n v="0"/>
    <n v="1085753638.8099999"/>
  </r>
  <r>
    <n v="2022"/>
    <n v="100"/>
    <x v="17"/>
    <s v="SECRETARIA DE INFRAESTRUCTURA"/>
    <x v="17"/>
    <n v="2021130010141"/>
    <x v="1"/>
    <x v="18"/>
    <x v="57"/>
    <s v="2,3,3203,0900,2021130010141"/>
    <s v="138"/>
    <s v="1,3,1,1,03-138 - DIVIDENDOS SOCIEDAD PORTUARIA"/>
    <s v="INV"/>
    <s v="NO"/>
    <s v="CONSTRUCCION, RECTIFICACION Y RECUPERACION DEL SISTEMA HIDRICO Y PLAN MAESTRO DE ALCANTARILLADO PLUVIAL PARA SALVAR EL HABITAT EN EL DISTRITO DE CARTAGENA DE INDIAS"/>
    <x v="230"/>
    <s v="06"/>
    <s v="00"/>
    <n v="1267081637"/>
    <n v="800000000"/>
    <n v="2067081637"/>
    <n v="2067081636.98"/>
    <n v="0.02"/>
    <n v="1293935638.8299999"/>
    <n v="62.6"/>
    <n v="1268808591.3299999"/>
    <n v="61.38"/>
    <n v="773145998.16999996"/>
    <n v="1247510457.74"/>
  </r>
  <r>
    <n v="2022"/>
    <n v="100"/>
    <x v="17"/>
    <s v="SECRETARIA DE INFRAESTRUCTURA"/>
    <x v="17"/>
    <n v="2021130010141"/>
    <x v="1"/>
    <x v="18"/>
    <x v="57"/>
    <s v="2,3,3203,0900,2021130010141"/>
    <s v="001"/>
    <s v="1,2,1,0,00-001 - ICLD"/>
    <s v="INV"/>
    <s v="NO"/>
    <s v="CONSTRUCCION, RECTIFICACION Y RECUPERACION DEL SISTEMA HIDRICO Y PLAN MAESTRO DE ALCANTARILLADO PLUVIAL PARA SALVAR EL HABITAT EN EL DISTRITO DE CARTAGENA DE INDIAS"/>
    <x v="230"/>
    <s v="06"/>
    <s v="00"/>
    <n v="1194545004"/>
    <n v="68847232"/>
    <n v="1263392236"/>
    <n v="1263392235.3399999"/>
    <n v="0.66"/>
    <n v="1018912036.01"/>
    <n v="80.650000000000006"/>
    <n v="1004412036.01"/>
    <n v="79.5"/>
    <n v="244480199.99000001"/>
    <n v="865819023.44000006"/>
  </r>
  <r>
    <n v="2022"/>
    <n v="100"/>
    <x v="3"/>
    <s v="SECRETARIA DEL INTERIOR Y CONVIVENCIA CIUDADANAL"/>
    <x v="3"/>
    <n v="2021130010142"/>
    <x v="1"/>
    <x v="3"/>
    <x v="81"/>
    <s v="2,3,4503,1000,2021130010142"/>
    <s v="849"/>
    <s v="1,3,3,3,15-95-042 RB SOBRETASA BOMBERIL"/>
    <s v="INV"/>
    <s v="NO"/>
    <s v="FORTALECIMIENTO DEL CUERPO DE BOMBEROS DEL DISTRITO DE   CARTAGENA DE INDIAS"/>
    <x v="231"/>
    <s v="06"/>
    <s v="00"/>
    <n v="0"/>
    <n v="5898070221.6499996"/>
    <n v="5898070221.6499996"/>
    <n v="5104567110"/>
    <n v="793503111.64999998"/>
    <n v="4268764496"/>
    <n v="72.38"/>
    <n v="1018680000"/>
    <n v="17.27"/>
    <n v="1629305725.6500001"/>
    <n v="1015580000"/>
  </r>
  <r>
    <n v="2022"/>
    <n v="100"/>
    <x v="3"/>
    <s v="SECRETARIA DEL INTERIOR Y CONVIVENCIA CIUDADANAL"/>
    <x v="3"/>
    <n v="2021130010142"/>
    <x v="1"/>
    <x v="3"/>
    <x v="81"/>
    <s v="2,3,4503,1000,2021130010142"/>
    <s v="042"/>
    <s v="1,2,3,1,15-042 - SOBRETASA BOMBERIL"/>
    <s v="INV"/>
    <s v="NO"/>
    <s v="FORTALECIMIENTO DEL CUERPO DE BOMBEROS DEL DISTRITO DE   CARTAGENA DE INDIAS"/>
    <x v="231"/>
    <s v="06"/>
    <s v="00"/>
    <n v="0"/>
    <n v="2506263320"/>
    <n v="2506263320"/>
    <n v="0"/>
    <n v="2506263320"/>
    <n v="0"/>
    <n v="0"/>
    <n v="0"/>
    <n v="0"/>
    <n v="2506263320"/>
    <n v="0"/>
  </r>
  <r>
    <n v="2022"/>
    <n v="100"/>
    <x v="3"/>
    <s v="SECRETARIA DEL INTERIOR Y CONVIVENCIA CIUDADANAL"/>
    <x v="3"/>
    <n v="2021130010142"/>
    <x v="1"/>
    <x v="3"/>
    <x v="81"/>
    <s v="2,3,4503,1000,2021130010142"/>
    <s v="044"/>
    <s v="1,3,2,3,05-044 - OTROS RENDIMIENTOS FINANCIEROS SOBRETASA BOMBERIL"/>
    <s v="INV"/>
    <s v="NO"/>
    <s v="FORTALECIMIENTO DEL CUERPO DE BOMBEROS DEL DISTRITO DE   CARTAGENA DE INDIAS"/>
    <x v="231"/>
    <s v="06"/>
    <s v="00"/>
    <n v="1"/>
    <n v="0"/>
    <n v="1"/>
    <n v="0"/>
    <n v="1"/>
    <n v="0"/>
    <n v="0"/>
    <n v="0"/>
    <n v="0"/>
    <n v="1"/>
    <n v="0"/>
  </r>
  <r>
    <n v="2022"/>
    <n v="100"/>
    <x v="3"/>
    <s v="SECRETARIA DEL INTERIOR Y CONVIVENCIA CIUDADANAL"/>
    <x v="3"/>
    <n v="2021130010142"/>
    <x v="1"/>
    <x v="3"/>
    <x v="81"/>
    <s v="2,3,4503,1000,2021130010142"/>
    <s v="001"/>
    <s v="1,2,1,0,00-001 - ICLD"/>
    <s v="INV"/>
    <s v="NO"/>
    <s v="FORTALECIMIENTO DEL CUERPO DE BOMBEROS DEL DISTRITO DE   CARTAGENA DE INDIAS"/>
    <x v="231"/>
    <s v="06"/>
    <s v="00"/>
    <n v="150000000"/>
    <n v="0"/>
    <n v="150000000"/>
    <n v="150000000"/>
    <n v="0"/>
    <n v="149200000"/>
    <n v="99.47"/>
    <n v="149200000"/>
    <n v="99.47"/>
    <n v="800000"/>
    <n v="149200000"/>
  </r>
  <r>
    <n v="2022"/>
    <n v="100"/>
    <x v="3"/>
    <s v="SECRETARIA DEL INTERIOR Y CONVIVENCIA CIUDADANAL"/>
    <x v="3"/>
    <n v="2021130010143"/>
    <x v="0"/>
    <x v="2"/>
    <x v="82"/>
    <s v="2,3,4502,1000,2021130010143"/>
    <s v="001"/>
    <s v="1,2,1,0,00-001 - ICLD"/>
    <s v="INV"/>
    <s v="NO"/>
    <s v="GENERACION DE UNA CULTURA DE PREVENCION, PROMOCION Y PROTECCION DE LOS DERECHOS HUMANOS CON ENFOQUE DIFERENCIAL Y DE GENERO EN EL DISTRITO DE CARTAGENA DE INDIAS"/>
    <x v="232"/>
    <s v="06"/>
    <s v="00"/>
    <n v="363729577"/>
    <n v="-54000000"/>
    <n v="309729577"/>
    <n v="309657848"/>
    <n v="71729"/>
    <n v="297075099.97000003"/>
    <n v="95.91"/>
    <n v="231802666.63999999"/>
    <n v="74.84"/>
    <n v="12654477.029999999"/>
    <n v="224945999.97"/>
  </r>
  <r>
    <n v="2022"/>
    <n v="100"/>
    <x v="3"/>
    <s v="SECRETARIA DEL INTERIOR Y CONVIVENCIA CIUDADANAL"/>
    <x v="3"/>
    <n v="2021130010145"/>
    <x v="4"/>
    <x v="25"/>
    <x v="83"/>
    <s v="2,3,4502,1000,2021130010145"/>
    <s v="816"/>
    <s v="1,3,3,11,03-95-138 R,B, DIVIDENDOS SOCIEDAD PORTUARIA"/>
    <s v="INV"/>
    <s v="NO"/>
    <s v="FORTALECIMIENTO DE LA GOBERNANZA Y AUTODETERMINACION DE LA CULTURA EN INSTITUCIONES PROPIAS DE LA POBLACION INDIGENA EN EL DISTRITO DE CARTAGENA DE INDIAS"/>
    <x v="233"/>
    <s v="06"/>
    <s v="00"/>
    <n v="0"/>
    <n v="600000000"/>
    <n v="600000000"/>
    <n v="0"/>
    <n v="600000000"/>
    <n v="0"/>
    <n v="0"/>
    <n v="0"/>
    <n v="0"/>
    <n v="600000000"/>
    <n v="0"/>
  </r>
  <r>
    <n v="2022"/>
    <n v="100"/>
    <x v="3"/>
    <s v="SECRETARIA DEL INTERIOR Y CONVIVENCIA CIUDADANAL"/>
    <x v="3"/>
    <n v="2021130010145"/>
    <x v="4"/>
    <x v="25"/>
    <x v="83"/>
    <s v="2,3,4502,1000,2021130010145"/>
    <s v="001"/>
    <s v="1,2,1,0,00-001 - ICLD"/>
    <s v="INV"/>
    <s v="NO"/>
    <s v="FORTALECIMIENTO DE LA GOBERNANZA Y AUTODETERMINACION DE LA CULTURA E INSTITUCIONES PROPIAS DE LA POBLACION INDIGENA EN EL DISTRITO DE CARTAGENA DE INDIAS "/>
    <x v="234"/>
    <s v="06"/>
    <s v="00"/>
    <n v="172292957"/>
    <n v="0"/>
    <n v="172292957"/>
    <n v="111839077"/>
    <n v="60453880"/>
    <n v="96284077"/>
    <n v="55.88"/>
    <n v="66576077"/>
    <n v="38.64"/>
    <n v="76008880"/>
    <n v="60576077"/>
  </r>
  <r>
    <n v="2022"/>
    <n v="100"/>
    <x v="13"/>
    <s v="SECRETARIA GENERAL"/>
    <x v="13"/>
    <n v="2021130010146"/>
    <x v="3"/>
    <x v="26"/>
    <x v="84"/>
    <s v="2,3,3502,0200,2021130010146"/>
    <s v="830"/>
    <s v="1,3,3,11-03-95-107 RB OTROS DIVIDENDOS"/>
    <s v="INV"/>
    <s v="NO"/>
    <s v="APOYO A LA REALIZACION DEL FESTIVAL INTERNACIONAL DE CINE DE CARTAGENA FICCI 2021 PARA LOS BARRIOS DE CARTAGENA DE INDIAS"/>
    <x v="235"/>
    <s v="06"/>
    <s v="00"/>
    <n v="0"/>
    <n v="14910027"/>
    <n v="14910027"/>
    <n v="0"/>
    <n v="14910027"/>
    <n v="0"/>
    <n v="0"/>
    <n v="0"/>
    <n v="0"/>
    <n v="14910027"/>
    <n v="0"/>
  </r>
  <r>
    <n v="2022"/>
    <n v="100"/>
    <x v="13"/>
    <s v="SECRETARIA GENERAL"/>
    <x v="13"/>
    <n v="2021130010146"/>
    <x v="3"/>
    <x v="26"/>
    <x v="84"/>
    <s v="2,3,3502,0200,2021130010146"/>
    <s v="001"/>
    <s v="1,2,1,0,00-001 - ICLD"/>
    <s v="INV"/>
    <s v="NO"/>
    <s v="APOYO A LA REALIZACION DEL FESTIVAL INTERNACIONAL DE CINE DE CARTAGENA FICCI 2021 PARA LOS BARRIOS DE CARTAGENA DE INDIAS"/>
    <x v="235"/>
    <s v="06"/>
    <s v="00"/>
    <n v="66597687"/>
    <n v="-16597687"/>
    <n v="50000000"/>
    <n v="50000000"/>
    <n v="0"/>
    <n v="50000000"/>
    <n v="100"/>
    <n v="0"/>
    <n v="0"/>
    <n v="0"/>
    <n v="0"/>
  </r>
  <r>
    <n v="2022"/>
    <n v="100"/>
    <x v="4"/>
    <s v="DESPACHO DEL ALCALDE"/>
    <x v="4"/>
    <n v="2021130010147"/>
    <x v="1"/>
    <x v="3"/>
    <x v="85"/>
    <s v="2,3,4503,1000,2021130010147"/>
    <s v="835"/>
    <s v="1,3,3,2,00-93-119  RB ICDE  FONDO DE RIESGO 1% ICLD"/>
    <s v="INV"/>
    <s v="NO"/>
    <s v="EXTENSION DEL CONOCIMIENTO DEL RIESGO EN NUESTRO TERRITORIO   CARTAGENA DE INDIAS"/>
    <x v="236"/>
    <s v="06"/>
    <s v="00"/>
    <n v="0"/>
    <n v="190649230.41"/>
    <n v="190649230.41"/>
    <n v="190649230.41"/>
    <n v="0"/>
    <n v="0"/>
    <n v="0"/>
    <n v="0"/>
    <n v="0"/>
    <n v="190649230.41"/>
    <n v="0"/>
  </r>
  <r>
    <n v="2022"/>
    <n v="100"/>
    <x v="4"/>
    <s v="DESPACHO DEL ALCALDE"/>
    <x v="4"/>
    <n v="2021130010147"/>
    <x v="1"/>
    <x v="3"/>
    <x v="85"/>
    <s v="2,3,4503,1000,2021130010147"/>
    <s v="842"/>
    <s v="1,3,3,2,00-95-119  RB ICDE  FONDO DE RIESGO 1% ICLD"/>
    <s v="INV"/>
    <s v="NO"/>
    <s v="EXTENSION DEL CONOCIMIENTO DEL RIESGO EN NUESTRO TERRITORIO   CARTAGENA DE INDIAS"/>
    <x v="236"/>
    <s v="06"/>
    <s v="00"/>
    <n v="0"/>
    <n v="899994695"/>
    <n v="899994695"/>
    <n v="899994695"/>
    <n v="0"/>
    <n v="0"/>
    <n v="0"/>
    <n v="0"/>
    <n v="0"/>
    <n v="899994695"/>
    <n v="0"/>
  </r>
  <r>
    <n v="2022"/>
    <n v="100"/>
    <x v="4"/>
    <s v="DESPACHO DEL ALCALDE"/>
    <x v="4"/>
    <n v="2021130010147"/>
    <x v="1"/>
    <x v="3"/>
    <x v="85"/>
    <s v="2,3,4503,1000,2021130010147"/>
    <s v="922"/>
    <s v="1,3,3,8,03-95-070 R,B, SGP-PROPOSITO GENERAL-PROPOSITO GENERAL LIBRE INVERSION"/>
    <s v="INV"/>
    <s v="NO"/>
    <s v="EXTENSION DEL CONOCIMIENTO DEL RIESGO EN NUESTRO TERRITORIO   CARTAGENA DE INDIAS"/>
    <x v="236"/>
    <s v="06"/>
    <s v="00"/>
    <n v="0"/>
    <n v="389695166.81"/>
    <n v="389695166.81"/>
    <n v="389695166.81"/>
    <n v="0"/>
    <n v="0"/>
    <n v="0"/>
    <n v="0"/>
    <n v="0"/>
    <n v="389695166.81"/>
    <n v="0"/>
  </r>
  <r>
    <n v="2022"/>
    <n v="100"/>
    <x v="4"/>
    <s v="DESPACHO DEL ALCALDE"/>
    <x v="4"/>
    <n v="2021130010147"/>
    <x v="1"/>
    <x v="3"/>
    <x v="85"/>
    <s v="2,3,4503,1000,2021130010147"/>
    <s v="070"/>
    <s v="1,2,4,3,03-070 - SGP LIBRE INVERSION"/>
    <s v="INV"/>
    <s v="NO"/>
    <s v="EXTENSION DEL CONOCIMIENTO DEL RIESGO EN NUESTRO TERRITORIO   CARTAGENA DE INDIAS"/>
    <x v="236"/>
    <s v="06"/>
    <s v="00"/>
    <n v="656279390"/>
    <n v="0"/>
    <n v="656279390"/>
    <n v="424042950.43000001"/>
    <n v="232236439.56999999"/>
    <n v="421345879.02999997"/>
    <n v="64.2"/>
    <n v="378071648.60000002"/>
    <n v="57.61"/>
    <n v="234933510.97"/>
    <n v="378071648.60000002"/>
  </r>
  <r>
    <n v="2022"/>
    <n v="100"/>
    <x v="4"/>
    <s v="DESPACHO DEL ALCALDE"/>
    <x v="4"/>
    <n v="2021130010147"/>
    <x v="1"/>
    <x v="3"/>
    <x v="85"/>
    <s v="2,3,4503,1000,2021130010147"/>
    <s v="119"/>
    <s v="1,2,2,0,00-119 - ICDE  FONDO DE RIESGO 1% ICLD"/>
    <s v="INV"/>
    <s v="NO"/>
    <s v="EXTENSION DEL CONOCIMIENTO DEL RIESGO EN NUESTRO TERRITORIO   CARTAGENA DE INDIAS"/>
    <x v="236"/>
    <s v="06"/>
    <s v="00"/>
    <n v="962817727"/>
    <n v="0"/>
    <n v="962817727"/>
    <n v="909655905.77999997"/>
    <n v="53161821.219999999"/>
    <n v="871663332"/>
    <n v="90.53"/>
    <n v="871663332"/>
    <n v="90.53"/>
    <n v="91154395"/>
    <n v="869763332"/>
  </r>
  <r>
    <n v="2022"/>
    <n v="100"/>
    <x v="4"/>
    <s v="DESPACHO DEL ALCALDE"/>
    <x v="4"/>
    <n v="2021130010147"/>
    <x v="1"/>
    <x v="3"/>
    <x v="85"/>
    <s v="2,3,4503,1000,2021130010147"/>
    <s v="001"/>
    <s v="1,2,1,0,00-001 - ICLD"/>
    <s v="INV"/>
    <s v="NO"/>
    <s v="EXTENSION DEL CONOCIMIENTO DEL RIESGO EN NUESTRO TERRITORIO   CARTAGENA DE INDIAS"/>
    <x v="236"/>
    <s v="06"/>
    <s v="00"/>
    <n v="59296001"/>
    <n v="-59296001"/>
    <n v="0"/>
    <n v="0"/>
    <n v="0"/>
    <n v="0"/>
    <n v="0"/>
    <n v="0"/>
    <n v="0"/>
    <n v="0"/>
    <n v="0"/>
  </r>
  <r>
    <n v="2022"/>
    <n v="100"/>
    <x v="3"/>
    <s v="SECRETARIA DEL INTERIOR Y CONVIVENCIA CIUDADANAL"/>
    <x v="3"/>
    <n v="2021130010148"/>
    <x v="4"/>
    <x v="25"/>
    <x v="86"/>
    <s v="2,3,4502,1000,2021130010148"/>
    <s v="001"/>
    <s v="1,2,1,0,00-001 - ICLD"/>
    <s v="INV"/>
    <s v="NO"/>
    <s v="FORTALECIMIENTO DEL PROCESO ORGANIZATIVO Y ATENCION DIFERENCIAL A LA POBLACION NEGRA, AFRODESCENDIENTE, RAIZAL Y PALENQUERA EN EL DISTRITO DE CARTAGENA DE INDIAS"/>
    <x v="237"/>
    <s v="06"/>
    <s v="00"/>
    <n v="210580286"/>
    <n v="0"/>
    <n v="210580286"/>
    <n v="210500000"/>
    <n v="80286"/>
    <n v="202100000"/>
    <n v="95.97"/>
    <n v="173300000"/>
    <n v="82.3"/>
    <n v="8480286"/>
    <n v="134500000"/>
  </r>
  <r>
    <n v="2022"/>
    <n v="100"/>
    <x v="8"/>
    <s v="DEPARTAMENTO ADMINISTRATIVO DE SALUD"/>
    <x v="8"/>
    <n v="2021130010150"/>
    <x v="2"/>
    <x v="7"/>
    <x v="16"/>
    <s v="2,3,1903,0300,2021130010150"/>
    <s v="001"/>
    <s v="1,2,1,0,00-001 - ICLD"/>
    <s v="INV"/>
    <s v="NO"/>
    <s v="PRESTACION DE SERVICIOS BASICOS DE TECNOLOGIA DE INFORMACION Y COMUNICACION EN SALUD EN EL DEPARTAMENTO ADMINISTRATIVO DISTRITAL DE SALUD DE   CARTAGENA DE INDIAS"/>
    <x v="238"/>
    <s v="06"/>
    <s v="00"/>
    <n v="100000000"/>
    <n v="0"/>
    <n v="100000000"/>
    <n v="96500000"/>
    <n v="3500000"/>
    <n v="96500000"/>
    <n v="96.5"/>
    <n v="96500000"/>
    <n v="96.5"/>
    <n v="3500000"/>
    <n v="96500000"/>
  </r>
  <r>
    <n v="2022"/>
    <n v="100"/>
    <x v="18"/>
    <s v="COLEGIO MAYOR DE BOLIVAR"/>
    <x v="18"/>
    <n v="2021130010151"/>
    <x v="2"/>
    <x v="6"/>
    <x v="87"/>
    <s v="2,3,2202,0700,2021130010151"/>
    <s v="001"/>
    <s v="1,2,1,0,00-001 - ICLD"/>
    <s v="INV"/>
    <s v="NO"/>
    <s v="AMPLIACION DE LA OFERTA ACADEMICA DE LA INSTITUCION UNIVERSITARIA MAYOR DE CARTAGENA, UMAYOR,CON CALIDAD Y PERTINENCIA EN CARTAGENA DE INDIAS -EG+-0 CARTAGENA DE INDIAS"/>
    <x v="239"/>
    <s v="06"/>
    <s v="00"/>
    <n v="1200000000"/>
    <n v="0"/>
    <n v="1200000000"/>
    <n v="1200000000"/>
    <n v="0"/>
    <n v="1200000000"/>
    <n v="100"/>
    <n v="1200000000"/>
    <n v="100"/>
    <n v="0"/>
    <n v="1200000000"/>
  </r>
  <r>
    <n v="2022"/>
    <n v="100"/>
    <x v="18"/>
    <s v="COLEGIO MAYOR DE BOLIVAR"/>
    <x v="18"/>
    <n v="2021130010152"/>
    <x v="2"/>
    <x v="6"/>
    <x v="87"/>
    <s v="2,3,2202,0700,2021130010152"/>
    <s v="103"/>
    <s v="1,3,2,3,05-103 - OTROS RENDIMIENTOS FINANCIEROS COLEGIO MAYOR"/>
    <s v="INV"/>
    <s v="NO"/>
    <s v="FORTALECIMIENTO DE LA INSTITUCION UNIVERSITARIA MAYOR DE CARTAGENA CARTAGENA DE INDIAS"/>
    <x v="240"/>
    <s v="06"/>
    <s v="00"/>
    <n v="100000000"/>
    <n v="0"/>
    <n v="100000000"/>
    <n v="0"/>
    <n v="100000000"/>
    <n v="0"/>
    <n v="0"/>
    <n v="0"/>
    <n v="0"/>
    <n v="100000000"/>
    <n v="0"/>
  </r>
  <r>
    <n v="2022"/>
    <n v="100"/>
    <x v="18"/>
    <s v="COLEGIO MAYOR DE BOLIVAR"/>
    <x v="18"/>
    <n v="2021130010152"/>
    <x v="2"/>
    <x v="6"/>
    <x v="87"/>
    <s v="2,3,2202,0700,2021130010152"/>
    <s v="001"/>
    <s v="1,2,1,0,00-001 - ICLD"/>
    <s v="INV"/>
    <s v="NO"/>
    <s v="FORTALECIMIENTO DE LA INSTITUCION UNIVERSITARIA MAYOR DE CARTAGENA CARTAGENA DE INDIAS"/>
    <x v="240"/>
    <s v="06"/>
    <s v="00"/>
    <n v="2800000000"/>
    <n v="0"/>
    <n v="2800000000"/>
    <n v="2800000000"/>
    <n v="0"/>
    <n v="2800000000"/>
    <n v="100"/>
    <n v="2800000000"/>
    <n v="100"/>
    <n v="0"/>
    <n v="2800000000"/>
  </r>
  <r>
    <n v="2022"/>
    <n v="100"/>
    <x v="8"/>
    <s v="DEPARTAMENTO ADMINISTRATIVO DE SALUD"/>
    <x v="8"/>
    <n v="2021130010153"/>
    <x v="2"/>
    <x v="7"/>
    <x v="16"/>
    <s v="2,3,1906,0300,2021130010153"/>
    <s v="001"/>
    <s v="1,2,1,0,00-001 - ICLD"/>
    <s v="INV"/>
    <s v="NO"/>
    <s v="FORTALECIMIENTO DE LA CALIDAD DE LA ATENCION EN SALUD  PARA LA POBLACION POBRE NO ASEGURADA RESIDENTE  EN EL DISTRITO    CARTAGENA DE INDIAS"/>
    <x v="241"/>
    <s v="06"/>
    <s v="00"/>
    <n v="4540881984"/>
    <n v="0"/>
    <n v="4540881984"/>
    <n v="4540881984"/>
    <n v="0"/>
    <n v="4540881984"/>
    <n v="100"/>
    <n v="2140881984"/>
    <n v="47.15"/>
    <n v="0"/>
    <n v="1640881984"/>
  </r>
  <r>
    <n v="2022"/>
    <n v="100"/>
    <x v="8"/>
    <s v="DEPARTAMENTO ADMINISTRATIVO DE SALUD"/>
    <x v="8"/>
    <n v="2021130010153"/>
    <x v="2"/>
    <x v="7"/>
    <x v="16"/>
    <s v="2,3,1906,0300,2021130010153"/>
    <s v="016"/>
    <s v="1,2,3,3,07-016 - RECURSOS DEL SISTEMA DE SEGURIDAD SOCIAL INTEGRAL - SALUD"/>
    <s v="INV"/>
    <s v="NO"/>
    <s v="FORTALECIMIENTO DE LA CALIDAD DE LA ATENCION EN SALUD  PARA LA POBLACION POBRE NO ASEGURADA RESIDENTE EN EL DISTRITO DE CARTAGENA DE INDIAS"/>
    <x v="242"/>
    <s v="06"/>
    <s v="00"/>
    <n v="0"/>
    <n v="26567799490"/>
    <n v="26567799490"/>
    <n v="26567799490"/>
    <n v="0"/>
    <n v="26567799490"/>
    <n v="100"/>
    <n v="26567799490"/>
    <n v="100"/>
    <n v="0"/>
    <n v="26061524122"/>
  </r>
  <r>
    <n v="2022"/>
    <n v="100"/>
    <x v="8"/>
    <s v="DEPARTAMENTO ADMINISTRATIVO DE SALUD"/>
    <x v="8"/>
    <n v="2021130010153"/>
    <x v="2"/>
    <x v="7"/>
    <x v="16"/>
    <s v="2,3,1906,0300,2021130010153"/>
    <s v="017"/>
    <s v="1,3,2,3,02-017 - RF SISTEMA DE SEGURIDAD SOCIAL SALUD"/>
    <s v="INV"/>
    <s v="NO"/>
    <s v="FORTALECIMIENTO DE LA CALIDAD DE LA ATENCION EN SALUD  PARA LA POBLACION POBRE NO ASEGURADA RESIDENTE  EN EL DISTRITO    CARTAGENA DE INDIAS"/>
    <x v="241"/>
    <s v="06"/>
    <s v="00"/>
    <n v="50000000"/>
    <n v="0"/>
    <n v="50000000"/>
    <n v="0"/>
    <n v="50000000"/>
    <n v="0"/>
    <n v="0"/>
    <n v="0"/>
    <n v="0"/>
    <n v="50000000"/>
    <n v="0"/>
  </r>
  <r>
    <n v="2022"/>
    <n v="100"/>
    <x v="8"/>
    <s v="DEPARTAMENTO ADMINISTRATIVO DE SALUD"/>
    <x v="8"/>
    <n v="2021130010153"/>
    <x v="2"/>
    <x v="7"/>
    <x v="16"/>
    <s v="2,3,1906,0300,2021130010153"/>
    <s v="179"/>
    <s v="1,3,2,2,07-179 - RF SGP - SALUD - PRESTACION DE SERVICIOS DE SALUD"/>
    <s v="INV"/>
    <s v="NO"/>
    <s v="FORTALECIMIENTO DE LA CALIDAD DE LA ATENCION EN SALUD  PARA LA POBLACION POBRE NO ASEGURADA RESIDENTE  EN EL DISTRITO    CARTAGENA DE INDIAS"/>
    <x v="241"/>
    <s v="06"/>
    <s v="00"/>
    <n v="150000000"/>
    <n v="-139000000"/>
    <n v="11000000"/>
    <n v="0"/>
    <n v="11000000"/>
    <n v="0"/>
    <n v="0"/>
    <n v="0"/>
    <n v="0"/>
    <n v="11000000"/>
    <n v="0"/>
  </r>
  <r>
    <n v="2022"/>
    <n v="100"/>
    <x v="8"/>
    <s v="DEPARTAMENTO ADMINISTRATIVO DE SALUD"/>
    <x v="8"/>
    <n v="2021130010153"/>
    <x v="2"/>
    <x v="7"/>
    <x v="16"/>
    <s v="2,3,1906,0300,2021130010153"/>
    <s v="889"/>
    <s v="1,3,3,5,07-93-015 R,B, RECURSOS DEL SISTEMA DE SEGURIDAD SOCIAL INTEGRAL - SALUD COLJUEGOS"/>
    <s v="INV"/>
    <s v="NO"/>
    <s v="FORTALECIMIENTO DE LA CALIDAD DE LA ATENCION EN SALUD PARA LA POBLACION POBRE NO ASEGURADA RESIDENTE EN EL DISTRITO CARTAGENA DE INDIAS"/>
    <x v="243"/>
    <s v="06"/>
    <s v="00"/>
    <n v="0"/>
    <n v="19106973"/>
    <n v="19106973"/>
    <n v="0"/>
    <n v="19106973"/>
    <n v="0"/>
    <n v="0"/>
    <n v="0"/>
    <n v="0"/>
    <n v="19106973"/>
    <n v="0"/>
  </r>
  <r>
    <n v="2022"/>
    <n v="100"/>
    <x v="8"/>
    <s v="DEPARTAMENTO ADMINISTRATIVO DE SALUD"/>
    <x v="8"/>
    <n v="2021130010153"/>
    <x v="2"/>
    <x v="7"/>
    <x v="16"/>
    <s v="2,3,1906,0300,2021130010153"/>
    <s v="890"/>
    <s v="1,3,3,5,07-93-016 R,B, RECURSOS DEL SISTEMA DE SEGURIDAD SOCIAL INTEGRAL - SALUD MINISTERIO DE PROTECCION SOCIAL"/>
    <s v="INV"/>
    <s v="NO"/>
    <s v="FORTALECIMIENTO DE LA CALIDAD DE LA ATENCION EN SALUD PARA LA POBLACION POBRE NO ASEGURADA RESIDENTE EN EL DISTRITO CARTAGENA DE INDIAS"/>
    <x v="243"/>
    <s v="06"/>
    <s v="00"/>
    <n v="0"/>
    <n v="1516506000"/>
    <n v="1516506000"/>
    <n v="1516506000"/>
    <n v="0"/>
    <n v="285706696"/>
    <n v="18.84"/>
    <n v="285706696"/>
    <n v="18.84"/>
    <n v="1230799304"/>
    <n v="0"/>
  </r>
  <r>
    <n v="2022"/>
    <n v="100"/>
    <x v="8"/>
    <s v="DEPARTAMENTO ADMINISTRATIVO DE SALUD"/>
    <x v="8"/>
    <n v="2021130010153"/>
    <x v="2"/>
    <x v="7"/>
    <x v="16"/>
    <s v="2,3,1906,0300,2021130010153"/>
    <s v="891"/>
    <s v="1,3,3,5,07-93-017 R,B, RECURSOS DEL SISTEMA DE SEGURIDAD SOCIAL INTEGRAL - SALUD Rendimientos  Financieros FLS"/>
    <s v="INV"/>
    <s v="NO"/>
    <s v="FORTALECIMIENTO DE LA CALIDAD DE LA ATENCION EN SALUD PARA LA POBLACION POBRE NO ASEGURADA RESIDENTE EN EL DISTRITO CARTAGENA DE INDIAS"/>
    <x v="243"/>
    <s v="06"/>
    <s v="00"/>
    <n v="0"/>
    <n v="447744069"/>
    <n v="447744069"/>
    <n v="427295785"/>
    <n v="20448284"/>
    <n v="384014115"/>
    <n v="85.77"/>
    <n v="384014115"/>
    <n v="85.77"/>
    <n v="63729954"/>
    <n v="384014115"/>
  </r>
  <r>
    <n v="2022"/>
    <n v="100"/>
    <x v="8"/>
    <s v="DEPARTAMENTO ADMINISTRATIVO DE SALUD"/>
    <x v="8"/>
    <n v="2021130010153"/>
    <x v="2"/>
    <x v="7"/>
    <x v="16"/>
    <s v="2,3,1906,0300,2021130010153"/>
    <s v="892"/>
    <s v="1,3,3,5,07-93-049 R,B, RECURSOS DEL SISTEMA DE SEGURIDAD SOCIAL INTEGRAL - SALUD ADRES"/>
    <s v="INV"/>
    <s v="NO"/>
    <s v="FORTALECIMIENTO DE LA CALIDAD DE LA ATENCION EN SALUD PARA LA POBLACION POBRE NO ASEGURADA RESIDENTE EN EL DISTRITO CARTAGENA DE INDIAS"/>
    <x v="243"/>
    <s v="06"/>
    <s v="00"/>
    <n v="0"/>
    <n v="28892658"/>
    <n v="28892658"/>
    <n v="0"/>
    <n v="28892658"/>
    <n v="0"/>
    <n v="0"/>
    <n v="0"/>
    <n v="0"/>
    <n v="28892658"/>
    <n v="0"/>
  </r>
  <r>
    <n v="2022"/>
    <n v="100"/>
    <x v="8"/>
    <s v="DEPARTAMENTO ADMINISTRATIVO DE SALUD"/>
    <x v="8"/>
    <n v="2021130010153"/>
    <x v="2"/>
    <x v="7"/>
    <x v="16"/>
    <s v="2,3,1906,0300,2021130010153"/>
    <s v="895"/>
    <s v="1,3,3,5,07-95-017 R,B, RECURSOS DEL SISTEMA DE SEGURIDAD SOCIAL INTEGRAL - SALUD Rendimientos  Financieros FLS"/>
    <s v="INV"/>
    <s v="NO"/>
    <s v="FORTALECIMIENTO DE LA CALIDAD DE LA ATENCION EN SALUD PARA LA POBLACION POBRE NO ASEGURADA RESIDENTE EN EL DISTRITO CARTAGENA DE INDIAS"/>
    <x v="243"/>
    <s v="06"/>
    <s v="00"/>
    <n v="0"/>
    <n v="451513624"/>
    <n v="451513624"/>
    <n v="451513624"/>
    <n v="0"/>
    <n v="451513624"/>
    <n v="100"/>
    <n v="451513624"/>
    <n v="100"/>
    <n v="0"/>
    <n v="451513624"/>
  </r>
  <r>
    <n v="2022"/>
    <n v="100"/>
    <x v="8"/>
    <s v="DEPARTAMENTO ADMINISTRATIVO DE SALUD"/>
    <x v="8"/>
    <n v="2021130010153"/>
    <x v="2"/>
    <x v="7"/>
    <x v="16"/>
    <s v="2,3,1906,0300,2021130010153"/>
    <s v="898"/>
    <s v="1,3,3,5,10-93-155 R,B, SENTENCIAS Y CONCILIACIONES LAUDO ARBITRAL"/>
    <s v="INV"/>
    <s v="NO"/>
    <s v="FORTALECIMIENTO DE LA CALIDAD DE LA ATENCION EN SALUD  PARA LA POBLACION POBRE NO ASEGURADA RESIDENTE  EN EL DISTRITO    CARTAGENA DE INDIAS"/>
    <x v="241"/>
    <s v="06"/>
    <s v="00"/>
    <n v="0"/>
    <n v="331798337"/>
    <n v="331798337"/>
    <n v="331798337"/>
    <n v="0"/>
    <n v="331798337"/>
    <n v="100"/>
    <n v="331798337"/>
    <n v="100"/>
    <n v="0"/>
    <n v="331798337"/>
  </r>
  <r>
    <n v="2022"/>
    <n v="100"/>
    <x v="8"/>
    <s v="DEPARTAMENTO ADMINISTRATIVO DE SALUD"/>
    <x v="8"/>
    <n v="2021130010153"/>
    <x v="2"/>
    <x v="7"/>
    <x v="16"/>
    <s v="2,3,1906,0300,2021130010153"/>
    <s v="911"/>
    <s v="1,3,3,7,02-93-068 R,B, SGP-SALUD-REGIMEN SUBSIDIADO"/>
    <s v="INV"/>
    <s v="NO"/>
    <s v="FORTALECIMIENTO DE LA CALIDAD DE LA ATENCION EN SALUD  PARA LA POBLACION POBRE NO ASEGURADA RESIDENTE  EN EL DISTRITO    CARTAGENA DE INDIAS"/>
    <x v="241"/>
    <s v="06"/>
    <s v="00"/>
    <n v="0"/>
    <n v="706574513"/>
    <n v="706574513"/>
    <n v="706574513"/>
    <n v="0"/>
    <n v="706574513"/>
    <n v="100"/>
    <n v="706574513"/>
    <n v="100"/>
    <n v="0"/>
    <n v="706574513"/>
  </r>
  <r>
    <n v="2022"/>
    <n v="100"/>
    <x v="8"/>
    <s v="DEPARTAMENTO ADMINISTRATIVO DE SALUD"/>
    <x v="8"/>
    <n v="2021130010153"/>
    <x v="2"/>
    <x v="7"/>
    <x v="16"/>
    <s v="2,3,1906,0300,2021130010153"/>
    <s v="912"/>
    <s v="1,3,3,7,02-93-087 R,B, SGP-SALUD-SALUD PUBLICA"/>
    <s v="INV"/>
    <s v="NO"/>
    <s v="FORTALECIMIENTO DE LA CALIDAD DE LA ATENCION EN SALUD  PARA LA POBLACION POBRE NO ASEGURADA RESIDENTE  EN EL DISTRITO    CARTAGENA DE INDIAS"/>
    <x v="241"/>
    <s v="06"/>
    <s v="00"/>
    <n v="0"/>
    <n v="175648148"/>
    <n v="175648148"/>
    <n v="75590306"/>
    <n v="100057842"/>
    <n v="75590306"/>
    <n v="43.04"/>
    <n v="75590306"/>
    <n v="43.04"/>
    <n v="100057842"/>
    <n v="75590306"/>
  </r>
  <r>
    <n v="2022"/>
    <n v="100"/>
    <x v="8"/>
    <s v="DEPARTAMENTO ADMINISTRATIVO DE SALUD"/>
    <x v="8"/>
    <n v="2021130010153"/>
    <x v="2"/>
    <x v="7"/>
    <x v="16"/>
    <s v="2,3,1906,0300,2021130010153"/>
    <s v="913"/>
    <s v="1,3,3,7,02-93-170 R,B, SGP-SALUD-SALUD PUBLICA"/>
    <s v="INV"/>
    <s v="NO"/>
    <s v="FORTALECIMIENTO DE LA CALIDAD DE LA ATENCION EN SALUD  PARA LA POBLACION POBRE NO ASEGURADA RESIDENTE  EN EL DISTRITO    CARTAGENA DE INDIAS"/>
    <x v="241"/>
    <s v="06"/>
    <s v="00"/>
    <n v="0"/>
    <n v="3229010979"/>
    <n v="3229010979"/>
    <n v="911422525"/>
    <n v="2317588454"/>
    <n v="911422525"/>
    <n v="28.23"/>
    <n v="911422525"/>
    <n v="28.23"/>
    <n v="2317588454"/>
    <n v="911422525"/>
  </r>
  <r>
    <n v="2022"/>
    <n v="100"/>
    <x v="8"/>
    <s v="DEPARTAMENTO ADMINISTRATIVO DE SALUD"/>
    <x v="8"/>
    <n v="2021130010153"/>
    <x v="2"/>
    <x v="7"/>
    <x v="16"/>
    <s v="2,3,1906,0300,2021130010153"/>
    <s v="915"/>
    <s v="1,3,3,7,02-95-068 R,B, SGP-SALUD-REGIMEN SUBSIDIADO"/>
    <s v="INV"/>
    <s v="NO"/>
    <s v="FORTALECIMIENTO DE LA CALIDAD DE LA ATENCION EN SALUD  PARA LA POBLACION POBRE NO ASEGURADA RESIDENTE  EN EL DISTRITO    CARTAGENA DE INDIAS"/>
    <x v="241"/>
    <s v="06"/>
    <s v="00"/>
    <n v="0"/>
    <n v="61850966"/>
    <n v="61850966"/>
    <n v="0"/>
    <n v="61850966"/>
    <n v="0"/>
    <n v="0"/>
    <n v="0"/>
    <n v="0"/>
    <n v="61850966"/>
    <n v="0"/>
  </r>
  <r>
    <n v="2022"/>
    <n v="100"/>
    <x v="8"/>
    <s v="DEPARTAMENTO ADMINISTRATIVO DE SALUD"/>
    <x v="8"/>
    <n v="2021130010153"/>
    <x v="2"/>
    <x v="7"/>
    <x v="16"/>
    <s v="2,3,1906,0300,2021130010153"/>
    <s v="181"/>
    <s v="1,3,1,1,10-181 - RETIROS FONPET - SALUD"/>
    <s v="INV"/>
    <s v="NO"/>
    <s v="FORTALECIMIENTO DE LA CALIDAD DE LA ATENCION EN SALUD  PARA LA POBLACION POBRE NO ASEGURADA RESIDENTE EN EL DISTRITO DE CARTAGENA DE INDIAS"/>
    <x v="242"/>
    <s v="06"/>
    <s v="00"/>
    <n v="0"/>
    <n v="24000000000"/>
    <n v="24000000000"/>
    <n v="20884954000"/>
    <n v="3115046000"/>
    <n v="20842058135.919998"/>
    <n v="86.84"/>
    <n v="0"/>
    <n v="0"/>
    <n v="3157941864.0799999"/>
    <n v="0"/>
  </r>
  <r>
    <n v="2022"/>
    <n v="100"/>
    <x v="12"/>
    <s v="DEPARTAMENTO ADMINISTRATIVO DE VALORIZACION"/>
    <x v="12"/>
    <n v="2021130010154"/>
    <x v="1"/>
    <x v="18"/>
    <x v="88"/>
    <s v="2,3,2402,0600,2021130010154"/>
    <s v="001"/>
    <s v="1,2,1,0,00-001 - ICLD"/>
    <s v="INV"/>
    <s v="NO"/>
    <s v="DISE?O Y CONSTRUCCION DE VIAS POR CONTRIBUCION DE VALORIZACION DENTRO DEL PROGRAMA  CARTAGENA SE CONECTA  CARTAGENA DE INDIAS "/>
    <x v="244"/>
    <s v="06"/>
    <s v="00"/>
    <n v="3"/>
    <n v="0"/>
    <n v="3"/>
    <n v="0"/>
    <n v="3"/>
    <n v="0"/>
    <n v="0"/>
    <n v="0"/>
    <n v="0"/>
    <n v="3"/>
    <n v="0"/>
  </r>
  <r>
    <n v="2022"/>
    <n v="100"/>
    <x v="17"/>
    <s v="SECRETARIA DE INFRAESTRUCTURA"/>
    <x v="17"/>
    <n v="2021130010155"/>
    <x v="1"/>
    <x v="18"/>
    <x v="89"/>
    <s v="2,3,2402,0600,2021130010155"/>
    <s v="001"/>
    <s v="1,2,1,0,00-001 - ICLD"/>
    <s v="INV"/>
    <s v="NO"/>
    <s v="ESTUDIOS Y DISE?OS, CONSTRUCCION, MEJORAMIENTO Y REHABILITACION DE VIAS PARA EL TRANSPORTE Y LA MOVILIDAD EN EL DISTRITO DE CARTAGENA DE INDIAS"/>
    <x v="245"/>
    <s v="06"/>
    <s v="00"/>
    <n v="9110102145"/>
    <n v="-85590750"/>
    <n v="9024511395"/>
    <n v="9024511394.4400005"/>
    <n v="0.56000000000000005"/>
    <n v="8707438269.3999996"/>
    <n v="96.49"/>
    <n v="8609081652.3999996"/>
    <n v="95.4"/>
    <n v="317073125.60000002"/>
    <n v="8585189652.3999996"/>
  </r>
  <r>
    <n v="2022"/>
    <n v="100"/>
    <x v="17"/>
    <s v="SECRETARIA DE INFRAESTRUCTURA"/>
    <x v="17"/>
    <n v="2021130010155"/>
    <x v="1"/>
    <x v="18"/>
    <x v="89"/>
    <s v="2,3,2402,0600,2021130010155"/>
    <s v="182"/>
    <s v="1,3,2,1,22-182 R,F, TASAS AEROPORTUARIAS"/>
    <s v="INV"/>
    <s v="NO"/>
    <s v="ESTUDIOS Y DISE?OS, CONSTRUCCION, MEJORAMIENTO Y REHABILITACION DE VIAS PARA EL TRANSPORTE Y LA MOVILIDAD EN EL DISTRITO DE CARTAGENA DE INDIAS"/>
    <x v="245"/>
    <s v="06"/>
    <s v="00"/>
    <n v="0"/>
    <n v="218050.08"/>
    <n v="218050.08"/>
    <n v="0"/>
    <n v="218050.08"/>
    <n v="0"/>
    <n v="0"/>
    <n v="0"/>
    <n v="0"/>
    <n v="218050.08"/>
    <n v="0"/>
  </r>
  <r>
    <n v="2022"/>
    <n v="100"/>
    <x v="17"/>
    <s v="SECRETARIA DE INFRAESTRUCTURA"/>
    <x v="17"/>
    <n v="2021130010155"/>
    <x v="1"/>
    <x v="18"/>
    <x v="89"/>
    <s v="2,3,2402,0600,2021130010155"/>
    <s v="183"/>
    <s v="1,2,3,2,22-183 TASAS AEROPORTUARIAS"/>
    <s v="INV"/>
    <s v="NO"/>
    <s v="ESTUDIOS Y DISE?OS, CONSTRUCCION, MEJORAMIENTO Y REHABILITACION DE VIAS PARA EL TRANSPORTE Y LA MOVILIDAD EN EL DISTRITO DE CARTAGENA DE INDIAS"/>
    <x v="245"/>
    <s v="06"/>
    <s v="00"/>
    <n v="0"/>
    <n v="13653212596"/>
    <n v="13653212596"/>
    <n v="0"/>
    <n v="13653212596"/>
    <n v="0"/>
    <n v="0"/>
    <n v="0"/>
    <n v="0"/>
    <n v="13653212596"/>
    <n v="0"/>
  </r>
  <r>
    <n v="2022"/>
    <n v="100"/>
    <x v="17"/>
    <s v="SECRETARIA DE INFRAESTRUCTURA"/>
    <x v="17"/>
    <n v="2021130010155"/>
    <x v="1"/>
    <x v="18"/>
    <x v="89"/>
    <s v="2,3,2402,0600,2021130010155"/>
    <s v="812"/>
    <s v="1,3,3,11,03-93-062 - RB DIVIDENDOS ACUACAR"/>
    <s v="INV"/>
    <s v="NO"/>
    <s v="ESTUDIOS Y DISE?OS CONSTRUCCION, MEJORAMIENTO Y REHABILITACION DE VIAS PARA EL TRANSPORTE Y LA MOVILIDAD EN EL DISTRITO DE CARTAGENA DE INDIAS"/>
    <x v="246"/>
    <s v="06"/>
    <s v="00"/>
    <n v="0"/>
    <n v="774299317.32000005"/>
    <n v="774299317.32000005"/>
    <n v="774299316.63"/>
    <n v="0.69"/>
    <n v="686586946"/>
    <n v="88.67"/>
    <n v="78683160.450000003"/>
    <n v="10.16"/>
    <n v="87712371.319999993"/>
    <n v="0"/>
  </r>
  <r>
    <n v="2022"/>
    <n v="100"/>
    <x v="17"/>
    <s v="SECRETARIA DE INFRAESTRUCTURA"/>
    <x v="17"/>
    <n v="2021130010155"/>
    <x v="1"/>
    <x v="18"/>
    <x v="89"/>
    <s v="2,3,2402,0600,2021130010155"/>
    <s v="814"/>
    <s v="1,3,3,11,03-95-062 - RB DIVIDENDOS ACUACAR"/>
    <s v="INV"/>
    <s v="NO"/>
    <s v="ESTUDIOS Y DISE?OS, CONSTRUCCION, MEJORAMIENTO Y REHABILITACION DE VIAS PARA EL TRANSPORTE Y LA MOVILIDAD EN EL DISTRITO DE CARTAGENA DE INDIAS"/>
    <x v="245"/>
    <s v="06"/>
    <s v="00"/>
    <n v="0"/>
    <n v="5218171422.4399996"/>
    <n v="5218171422.4399996"/>
    <n v="5218171422"/>
    <n v="0.44"/>
    <n v="5218171422"/>
    <n v="100"/>
    <n v="466022904"/>
    <n v="8.93"/>
    <n v="0.44"/>
    <n v="128470864.63"/>
  </r>
  <r>
    <n v="2022"/>
    <n v="100"/>
    <x v="17"/>
    <s v="SECRETARIA DE INFRAESTRUCTURA"/>
    <x v="17"/>
    <n v="2021130010155"/>
    <x v="1"/>
    <x v="18"/>
    <x v="89"/>
    <s v="2,3,2402,0600,2021130010155"/>
    <s v="819"/>
    <s v="1,3,3,11,05-93-038 R,B, RECURSOS DE CREDITO INTERNO"/>
    <s v="INV"/>
    <s v="NO"/>
    <s v="ESTUDIOS Y DISE?OS, CONSTRUCCION, MEJORAMIENTO Y REHABILITACION DE VIAS PARA EL TRANSPORTE Y LA MOVILIDAD EN EL DISTRITO DE CARTAGENA DE INDIAS"/>
    <x v="245"/>
    <s v="06"/>
    <s v="00"/>
    <n v="0"/>
    <n v="342288365.25"/>
    <n v="342288365.25"/>
    <n v="342288365"/>
    <n v="0.25"/>
    <n v="342288365"/>
    <n v="100"/>
    <n v="342288365"/>
    <n v="100"/>
    <n v="0.25"/>
    <n v="342288365"/>
  </r>
  <r>
    <n v="2022"/>
    <n v="100"/>
    <x v="17"/>
    <s v="SECRETARIA DE INFRAESTRUCTURA"/>
    <x v="17"/>
    <n v="2021130010155"/>
    <x v="1"/>
    <x v="18"/>
    <x v="89"/>
    <s v="2,3,2402,0600,2021130010155"/>
    <s v="820"/>
    <s v="1,3,3,11,05-95-038 R,B, RECURSOS DE CREDITO INTERNO"/>
    <s v="INV"/>
    <s v="NO"/>
    <s v="ESTUDIOS Y DISE?OS, CONSTRUCCION, MEJORAMIENTO Y REHABILITACION DE VIAS PARA EL TRANSPORTE Y LA MOVILIDAD EN EL DISTRITO DE CARTAGENA DE INDIAS"/>
    <x v="245"/>
    <s v="06"/>
    <s v="00"/>
    <n v="0"/>
    <n v="63135418"/>
    <n v="63135418"/>
    <n v="63135418"/>
    <n v="0"/>
    <n v="63135418"/>
    <n v="100"/>
    <n v="0"/>
    <n v="0"/>
    <n v="0"/>
    <n v="0"/>
  </r>
  <r>
    <n v="2022"/>
    <n v="100"/>
    <x v="17"/>
    <s v="SECRETARIA DE INFRAESTRUCTURA"/>
    <x v="17"/>
    <n v="2021130010155"/>
    <x v="1"/>
    <x v="18"/>
    <x v="89"/>
    <s v="2,3,2402,0600,2021130010155"/>
    <s v="852"/>
    <s v="1,3,3,3,17-95-124 RB IMPUESTO DE TRANSPORTE POR OLEODUCTOS Y GASODUCTOS"/>
    <s v="INV"/>
    <s v="NO"/>
    <s v="ESTUDIOS Y DISE?OS, CONSTRUCCION, MEJORAMIENTO Y REHABILITACION DE VIAS PARA EL TRANSPORTE Y LA MOVILIDAD EN EL DISTRITO DE CARTAGENA DE INDIAS"/>
    <x v="245"/>
    <s v="06"/>
    <s v="00"/>
    <n v="0"/>
    <n v="21411059.670000002"/>
    <n v="21411059.670000002"/>
    <n v="21411059"/>
    <n v="0.67"/>
    <n v="21411059"/>
    <n v="100"/>
    <n v="0"/>
    <n v="0"/>
    <n v="0.67"/>
    <n v="0"/>
  </r>
  <r>
    <n v="2022"/>
    <n v="100"/>
    <x v="17"/>
    <s v="SECRETARIA DE INFRAESTRUCTURA"/>
    <x v="17"/>
    <n v="2021130010155"/>
    <x v="1"/>
    <x v="18"/>
    <x v="89"/>
    <s v="2,3,2402,0600,2021130010155"/>
    <s v="177"/>
    <s v="1,2,3,3,01-177 - PARTICIPACIONES DISTINTAS DEL SGP - PLUSVALIA"/>
    <s v="INV"/>
    <s v="NO"/>
    <s v="ESTUDIOS Y DISE?OS, CONSTRUCCION, MEJORAMIENTO Y REHABILITACION DE VIAS PARA EL TRANSPORTE Y LA MOVILIDAD EN EL DISTRITO DE CARTAGENA DE INDIAS"/>
    <x v="245"/>
    <s v="06"/>
    <s v="00"/>
    <n v="1"/>
    <n v="0"/>
    <n v="1"/>
    <n v="0"/>
    <n v="1"/>
    <n v="0"/>
    <n v="0"/>
    <n v="0"/>
    <n v="0"/>
    <n v="1"/>
    <n v="0"/>
  </r>
  <r>
    <n v="2022"/>
    <n v="100"/>
    <x v="17"/>
    <s v="SECRETARIA DE INFRAESTRUCTURA"/>
    <x v="17"/>
    <n v="2021130010155"/>
    <x v="1"/>
    <x v="18"/>
    <x v="89"/>
    <s v="2,3,2402,0600,2021130010155"/>
    <s v="922"/>
    <s v="1,3,3,8,03-95-070 R,B, SGP-PROPOSITO GENERAL-PROPOSITO GENERAL LIBRE INVERSION"/>
    <s v="INV"/>
    <s v="NO"/>
    <s v="ESTUDIOS Y DISE?OS, CONSTRUCCION, MEJORAMIENTO Y REHABILITACION DE VIAS PARA EL TRANSPORTE Y LA MOVILIDAD EN EL DISTRITO DE CARTAGENA DE INDIAS"/>
    <x v="245"/>
    <s v="06"/>
    <s v="00"/>
    <n v="0"/>
    <n v="100000000"/>
    <n v="100000000"/>
    <n v="100000000"/>
    <n v="0"/>
    <n v="100000000"/>
    <n v="100"/>
    <n v="0"/>
    <n v="0"/>
    <n v="0"/>
    <n v="0"/>
  </r>
  <r>
    <n v="2022"/>
    <n v="100"/>
    <x v="17"/>
    <s v="SECRETARIA DE INFRAESTRUCTURA"/>
    <x v="17"/>
    <n v="2021130010155"/>
    <x v="1"/>
    <x v="18"/>
    <x v="89"/>
    <s v="2,3,2402,0600,2021130010155"/>
    <s v="062"/>
    <s v="1,3,1,1,03-062 - DIVIDENDOS ACUACAR"/>
    <s v="INV"/>
    <s v="NO"/>
    <s v="ESTUDIOS Y DISE?OS, CONSTRUCCION, MEJORAMIENTO Y REHABILITACION DE VIAS PARA EL TRANSPORTE Y LA MOVILIDAD EN EL DISTRITO DE CARTAGENA DE INDIAS"/>
    <x v="245"/>
    <s v="06"/>
    <s v="00"/>
    <n v="671180179"/>
    <n v="0"/>
    <n v="671180179"/>
    <n v="671180179"/>
    <n v="0"/>
    <n v="671180179"/>
    <n v="100"/>
    <n v="637621169.04999995"/>
    <n v="95"/>
    <n v="0"/>
    <n v="637621169.04999995"/>
  </r>
  <r>
    <n v="2022"/>
    <n v="100"/>
    <x v="17"/>
    <s v="SECRETARIA DE INFRAESTRUCTURA"/>
    <x v="17"/>
    <n v="2021130010155"/>
    <x v="1"/>
    <x v="18"/>
    <x v="89"/>
    <s v="2,3,2402,0600,2021130010155"/>
    <s v="124"/>
    <s v="1,2,3,1,17-124 - IMPUESTO DE TRANSPORTE POR OLEODUCTOS Y GASODUCTOS"/>
    <s v="INV"/>
    <s v="NO"/>
    <s v="ESTUDIOS Y DISE?OS, CONSTRUCCION, MEJORAMIENTO Y REHABILITACION DE VIAS PARA EL TRANSPORTE Y LA MOVILIDAD EN EL DISTRITO DE CARTAGENA DE INDIAS"/>
    <x v="245"/>
    <s v="06"/>
    <s v="00"/>
    <n v="2035019425"/>
    <n v="-296615906"/>
    <n v="1738403519"/>
    <n v="1738403518.7"/>
    <n v="0.3"/>
    <n v="1738403518.7"/>
    <n v="100"/>
    <n v="901242123.19000006"/>
    <n v="51.84"/>
    <n v="0.3"/>
    <n v="878736518.67999995"/>
  </r>
  <r>
    <n v="2022"/>
    <n v="100"/>
    <x v="8"/>
    <s v="DEPARTAMENTO ADMINISTRATIVO DE SALUD"/>
    <x v="8"/>
    <n v="2021130010156"/>
    <x v="2"/>
    <x v="7"/>
    <x v="16"/>
    <s v="2,3,1906,0300,2021130010156"/>
    <s v="001"/>
    <s v="1,2,1,0,00-001 - ICLD"/>
    <s v="INV"/>
    <s v="NO"/>
    <s v="AMPLIACION Y CONTINUIDAD DE LA AFILIACION AL REGIMEN SUBSIDIADO EN SALUD EN EL DISTRITO DE  CARTAGENA DE INDIAS"/>
    <x v="247"/>
    <s v="06"/>
    <s v="00"/>
    <n v="1200000000"/>
    <n v="0"/>
    <n v="1200000000"/>
    <n v="1200000000"/>
    <n v="0"/>
    <n v="1200000000"/>
    <n v="100"/>
    <n v="1200000000"/>
    <n v="100"/>
    <n v="0"/>
    <n v="1200000000"/>
  </r>
  <r>
    <n v="2022"/>
    <n v="100"/>
    <x v="8"/>
    <s v="DEPARTAMENTO ADMINISTRATIVO DE SALUD"/>
    <x v="8"/>
    <n v="2021130010156"/>
    <x v="2"/>
    <x v="7"/>
    <x v="16"/>
    <s v="2,3,1906,0300,2021130010156"/>
    <s v="015"/>
    <s v="1,2,3,3,07-015 - RECURSOS DEL SISTEMA DE SEGURIDAD SOCIAL INTEGRAL - SALUD"/>
    <s v="INV"/>
    <s v="NO"/>
    <s v="AMPLIACION Y CONTINUIDAD DE LA AFILIACION AL REGIMEN SUBSIDIADO EN SALUD EN EL DISTRITO DE  CARTAGENA DE INDIAS"/>
    <x v="247"/>
    <s v="06"/>
    <s v="00"/>
    <n v="7967667606"/>
    <n v="4727069766"/>
    <n v="12694737372"/>
    <n v="11020626269"/>
    <n v="1674111103"/>
    <n v="11020626269"/>
    <n v="86.81"/>
    <n v="11020626269"/>
    <n v="86.81"/>
    <n v="1674111103"/>
    <n v="11020626269"/>
  </r>
  <r>
    <n v="2022"/>
    <n v="100"/>
    <x v="8"/>
    <s v="DEPARTAMENTO ADMINISTRATIVO DE SALUD"/>
    <x v="8"/>
    <n v="2021130010156"/>
    <x v="2"/>
    <x v="7"/>
    <x v="16"/>
    <s v="2,3,1906,0300,2021130010156"/>
    <s v="049"/>
    <s v="1,2,3,3,07-049 - RECURSOS DEL SISTEMA DE SEGURIDAD SOCIAL INTEGRAL - SALUD"/>
    <s v="INV"/>
    <s v="NO"/>
    <s v="AMPLIACION Y CONTINUIDAD DE LA AFILIACION AL REGIMEN SUBSIDIADO EN SALUD EN EL DISTRITO DE  CARTAGENA DE INDIAS"/>
    <x v="247"/>
    <s v="06"/>
    <s v="00"/>
    <n v="392447844882"/>
    <n v="98666364023.380005"/>
    <n v="491114208905.38"/>
    <n v="488097844712.42999"/>
    <n v="3016364192.9499998"/>
    <n v="488097844712.42999"/>
    <n v="99.39"/>
    <n v="488097844712.42999"/>
    <n v="99.39"/>
    <n v="3016364192.9499998"/>
    <n v="488097844712.42999"/>
  </r>
  <r>
    <n v="2022"/>
    <n v="100"/>
    <x v="8"/>
    <s v="DEPARTAMENTO ADMINISTRATIVO DE SALUD"/>
    <x v="8"/>
    <n v="2021130010156"/>
    <x v="2"/>
    <x v="7"/>
    <x v="16"/>
    <s v="2,3,1906,0300,2021130010156"/>
    <s v="068"/>
    <s v="1,2,4,2,01-068 - SGP SALUD REGIMEN SUBSIDIADO"/>
    <s v="INV"/>
    <s v="NO"/>
    <s v="AMPLIACION Y CONTINUIDAD DE LA AFILIACION AL REGIMEN SUBSIDIADO EN SALUD EN EL DISTRITO DE  CARTAGENA DE INDIAS"/>
    <x v="247"/>
    <s v="06"/>
    <s v="00"/>
    <n v="244062895047"/>
    <n v="4592040265"/>
    <n v="248654935312"/>
    <n v="248654935312"/>
    <n v="0"/>
    <n v="248654935312"/>
    <n v="100"/>
    <n v="248654935307"/>
    <n v="100"/>
    <n v="0"/>
    <n v="248654935307"/>
  </r>
  <r>
    <n v="2022"/>
    <n v="100"/>
    <x v="8"/>
    <s v="DEPARTAMENTO ADMINISTRATIVO DE SALUD"/>
    <x v="8"/>
    <n v="2021130010156"/>
    <x v="2"/>
    <x v="7"/>
    <x v="16"/>
    <s v="2,3,1906,0300,2021130010156"/>
    <s v="889"/>
    <s v="1,3,3,5,07-93-015 R,B, RECURSOS DEL SISTEMA DE SEGURIDAD SOCIAL INTEGRAL - SALUD COLJUEGOS"/>
    <s v="INV"/>
    <s v="NO"/>
    <s v="AMPLIACION Y CONTINUIDAD DE LA AFILIACION AL REGIMEN SUBSIDIADO EN SALUD EN EL DISTRITO DE  CARTAGENA DE INDIAS"/>
    <x v="247"/>
    <s v="06"/>
    <s v="00"/>
    <n v="0"/>
    <n v="239837483"/>
    <n v="239837483"/>
    <n v="0"/>
    <n v="239837483"/>
    <n v="0"/>
    <n v="0"/>
    <n v="0"/>
    <n v="0"/>
    <n v="239837483"/>
    <n v="0"/>
  </r>
  <r>
    <n v="2022"/>
    <n v="100"/>
    <x v="8"/>
    <s v="DEPARTAMENTO ADMINISTRATIVO DE SALUD"/>
    <x v="8"/>
    <n v="2021130010156"/>
    <x v="2"/>
    <x v="7"/>
    <x v="16"/>
    <s v="2,3,1906,0300,2021130010156"/>
    <s v="891"/>
    <s v="1,3,3,5,07-93-017 R,B, RECURSOS DEL SISTEMA DE SEGURIDAD SOCIAL INTEGRAL - SALUD Rendimientos  Financieros FLS"/>
    <s v="INV"/>
    <s v="NO"/>
    <s v="AMPLIACION Y CONTINUIDAD DE LA AFILIACION AL REGIMEN SUBSIDIADO EN SALUD EN EL DISTRITO DE  CARTAGENA DE INDIAS"/>
    <x v="247"/>
    <s v="06"/>
    <s v="00"/>
    <n v="0"/>
    <n v="30432562"/>
    <n v="30432562"/>
    <n v="0"/>
    <n v="30432562"/>
    <n v="0"/>
    <n v="0"/>
    <n v="0"/>
    <n v="0"/>
    <n v="30432562"/>
    <n v="0"/>
  </r>
  <r>
    <n v="2022"/>
    <n v="100"/>
    <x v="8"/>
    <s v="DEPARTAMENTO ADMINISTRATIVO DE SALUD"/>
    <x v="8"/>
    <n v="2021130010156"/>
    <x v="2"/>
    <x v="7"/>
    <x v="16"/>
    <s v="2,3,1906,0300,2021130010156"/>
    <s v="893"/>
    <s v="1,3,3,5,07-95-015 R,B, RECURSOS DEL SISTEMA DE SEGURIDAD SOCIAL INTEGRAL - SALUD COLJUEGOS"/>
    <s v="INV"/>
    <s v="NO"/>
    <s v="AMPLIACION Y CONTINUIDAD DE LA AFILIACION AL REGIMEN SUBSIDIADO EN SALUD EN EL DISTRITO DE  CARTAGENA DE INDIAS"/>
    <x v="247"/>
    <s v="06"/>
    <s v="00"/>
    <n v="0"/>
    <n v="231308885"/>
    <n v="231308885"/>
    <n v="50000000"/>
    <n v="181308885"/>
    <n v="50000000"/>
    <n v="21.62"/>
    <n v="50000000"/>
    <n v="21.62"/>
    <n v="181308885"/>
    <n v="50000000"/>
  </r>
  <r>
    <n v="2022"/>
    <n v="100"/>
    <x v="8"/>
    <s v="DEPARTAMENTO ADMINISTRATIVO DE SALUD"/>
    <x v="8"/>
    <n v="2021130010156"/>
    <x v="2"/>
    <x v="7"/>
    <x v="16"/>
    <s v="2,3,1906,0300,2021130010156"/>
    <s v="914"/>
    <s v="1,3,3,7,02-93-179 R,B, SGP-SALUD-REGIMEN SUBSIDIADO"/>
    <s v="INV"/>
    <s v="NO"/>
    <s v="AMPLIACION Y CONTINUIDAD DE LA AFILIACION AL REGIMEN SUBSIDIADO EN SALUD EN EL DISTRITO DE  CARTAGENA DE INDIAS"/>
    <x v="247"/>
    <s v="06"/>
    <s v="00"/>
    <n v="0"/>
    <n v="31803562"/>
    <n v="31803562"/>
    <n v="0"/>
    <n v="31803562"/>
    <n v="0"/>
    <n v="0"/>
    <n v="0"/>
    <n v="0"/>
    <n v="31803562"/>
    <n v="0"/>
  </r>
  <r>
    <n v="2022"/>
    <n v="100"/>
    <x v="8"/>
    <s v="DEPARTAMENTO ADMINISTRATIVO DE SALUD"/>
    <x v="8"/>
    <n v="2021130010156"/>
    <x v="2"/>
    <x v="7"/>
    <x v="16"/>
    <s v="2,3,1906,0300,2021130010156"/>
    <s v="189"/>
    <s v="1,3,2,3,01-189 - RF FONDO LOCAL DE SALUD SSF"/>
    <s v="INV"/>
    <s v="NO"/>
    <s v="AMPLIACION Y CONTINUIDAD DE LA AFILIACION AL REGIMEN SUBSIDIADO EN SALUD EN EL DISTRITO DE CARTAGENA DE INDIAS"/>
    <x v="248"/>
    <s v="06"/>
    <s v="00"/>
    <n v="0"/>
    <n v="2437583.31"/>
    <n v="2437583.31"/>
    <n v="2437583.31"/>
    <n v="0"/>
    <n v="2437583.31"/>
    <n v="100"/>
    <n v="2437583.31"/>
    <n v="100"/>
    <n v="0"/>
    <n v="2437583.31"/>
  </r>
  <r>
    <n v="2022"/>
    <n v="100"/>
    <x v="8"/>
    <s v="DEPARTAMENTO ADMINISTRATIVO DE SALUD"/>
    <x v="8"/>
    <n v="2021130010157"/>
    <x v="2"/>
    <x v="7"/>
    <x v="44"/>
    <s v="2,3,1905,0300,2021130010157"/>
    <s v="001"/>
    <s v="1,2,1,0,00-001 - ICLD"/>
    <s v="INV"/>
    <s v="NO"/>
    <s v="FORTALECIMIENTO DE LA PROMOCION SOCIAL EN SALUD DE LOS GRUPOS POBLACIONALES VULNERABLES Y DE LA PARTICIPACION SOCIAL EN SALUD EN EL DISTRITO DE  CARTAGENA DE INDIAS"/>
    <x v="249"/>
    <s v="06"/>
    <s v="00"/>
    <n v="250000000"/>
    <n v="0"/>
    <n v="250000000"/>
    <n v="246800000"/>
    <n v="3200000"/>
    <n v="246800000"/>
    <n v="98.72"/>
    <n v="246328680"/>
    <n v="98.53"/>
    <n v="3200000"/>
    <n v="205800000"/>
  </r>
  <r>
    <n v="2022"/>
    <n v="100"/>
    <x v="8"/>
    <s v="DEPARTAMENTO ADMINISTRATIVO DE SALUD"/>
    <x v="8"/>
    <n v="2021130010157"/>
    <x v="2"/>
    <x v="7"/>
    <x v="44"/>
    <s v="2,3,1905,0300,2021130010157"/>
    <s v="016"/>
    <s v="1,2,3,3,07-016 - RECURSOS DEL SISTEMA DE SEGURIDAD SOCIAL INTEGRAL - SALUD"/>
    <s v="INV"/>
    <s v="NO"/>
    <s v="FORTALECIMIENTO DE LA PROMOCION SOCIAL EN SALUD DE LOS GRUPOS POBLACIONALES VULNERABLES Y DE LA PARTICIPACION SOCIAL EN SALUD EN EL DISTRITO DE  CARTAGENA DE INDIAS"/>
    <x v="249"/>
    <s v="06"/>
    <s v="00"/>
    <n v="135129233"/>
    <n v="176529883"/>
    <n v="311659116"/>
    <n v="98977764"/>
    <n v="212681352"/>
    <n v="98977764"/>
    <n v="31.76"/>
    <n v="0"/>
    <n v="0"/>
    <n v="212681352"/>
    <n v="0"/>
  </r>
  <r>
    <n v="2022"/>
    <n v="100"/>
    <x v="8"/>
    <s v="DEPARTAMENTO ADMINISTRATIVO DE SALUD"/>
    <x v="8"/>
    <n v="2021130010157"/>
    <x v="2"/>
    <x v="7"/>
    <x v="44"/>
    <s v="2,3,1905,0300,2021130010157"/>
    <s v="894"/>
    <s v="1,3,3,5,07-95-016 R,B, RECURSOS DEL SISTEMA DE SEGURIDAD SOCIAL INTEGRAL - SALUD MINISTERIO DE PROTECCION SOCIAL"/>
    <s v="INV"/>
    <s v="NO"/>
    <s v="FORTALECIMIENTO DE LA PROMOCION SOCIAL EN SALUD DE LOS GRUPOS POBLACIONALES VULNERABLES Y DE LA PARTICIPACION SOCIAL EN SALUD EN EL DISTRITO DE  CARTAGENA DE INDIAS"/>
    <x v="249"/>
    <s v="06"/>
    <s v="00"/>
    <n v="0"/>
    <n v="128694508"/>
    <n v="128694508"/>
    <n v="128694508"/>
    <n v="0"/>
    <n v="128694508"/>
    <n v="100"/>
    <n v="128694508"/>
    <n v="100"/>
    <n v="0"/>
    <n v="0"/>
  </r>
  <r>
    <n v="2022"/>
    <n v="100"/>
    <x v="4"/>
    <s v="DESPACHO DEL ALCALDE"/>
    <x v="4"/>
    <n v="2021130010158"/>
    <x v="2"/>
    <x v="9"/>
    <x v="90"/>
    <s v="2,3,4103,1500,2021130010158"/>
    <s v="001"/>
    <s v="1,2,1,0,00-001 - ICLD"/>
    <s v="INV"/>
    <s v="NO"/>
    <s v="APOYO IDENTIFICACION PARA LA SUPERACION DE LA POBREZA Y DESIGUALDAD"/>
    <x v="250"/>
    <s v="06"/>
    <s v="00"/>
    <n v="452152464"/>
    <n v="0"/>
    <n v="452152464"/>
    <n v="449041733"/>
    <n v="3110731"/>
    <n v="448623766"/>
    <n v="99.22"/>
    <n v="338981150"/>
    <n v="74.97"/>
    <n v="3528698"/>
    <n v="321481150"/>
  </r>
  <r>
    <n v="2022"/>
    <n v="100"/>
    <x v="4"/>
    <s v="DESPACHO DEL ALCALDE"/>
    <x v="4"/>
    <n v="2021130010159"/>
    <x v="2"/>
    <x v="9"/>
    <x v="91"/>
    <s v="2,3,4103,1500,2021130010159"/>
    <s v="053"/>
    <s v="1,2,3,2,05-053 - OTRAS TASAS Y DERECHOS ADMINISTRATIVOS CONTRAPRESTACION PORTUARIA"/>
    <s v="INV"/>
    <s v="NO"/>
    <s v="APOYO FORTALECIMIENTO PARA LA SUPERACION DE LA POBREZA EXTREMA Y DEISIGUALDAD "/>
    <x v="251"/>
    <s v="06"/>
    <s v="00"/>
    <n v="338000000"/>
    <n v="0"/>
    <n v="338000000"/>
    <n v="337999964"/>
    <n v="36"/>
    <n v="310389730.67000002"/>
    <n v="91.83"/>
    <n v="48966666.670000002"/>
    <n v="14.49"/>
    <n v="27610269.329999998"/>
    <n v="43700000"/>
  </r>
  <r>
    <n v="2022"/>
    <n v="100"/>
    <x v="4"/>
    <s v="DESPACHO DEL ALCALDE"/>
    <x v="4"/>
    <n v="2021130010159"/>
    <x v="2"/>
    <x v="9"/>
    <x v="91"/>
    <s v="2,3,4103,1500,2021130010159"/>
    <s v="001"/>
    <s v="1,2,1,0,00-001 - ICLD"/>
    <s v="INV"/>
    <s v="NO"/>
    <s v="APOYO FORTALECIMIENTO PARA LA SUPERACION DE LA POBREZA EXTREMA Y DEISIGUALDAD "/>
    <x v="251"/>
    <s v="06"/>
    <s v="00"/>
    <n v="1000000000"/>
    <n v="0"/>
    <n v="1000000000"/>
    <n v="900000000"/>
    <n v="100000000"/>
    <n v="858664336"/>
    <n v="85.87"/>
    <n v="814664336"/>
    <n v="81.47"/>
    <n v="141335664"/>
    <n v="786764336"/>
  </r>
  <r>
    <n v="2022"/>
    <n v="100"/>
    <x v="4"/>
    <s v="DESPACHO DEL ALCALDE"/>
    <x v="4"/>
    <n v="2021130010160"/>
    <x v="2"/>
    <x v="9"/>
    <x v="92"/>
    <s v="2,3,4103,1500,2021130010160"/>
    <s v="001"/>
    <s v="1,2,1,0,00-001 - ICLD"/>
    <s v="INV"/>
    <s v="NO"/>
    <s v="APOYO SEGURIDAD ALIMENTARIA Y NUTRICION PARA LA SUPERACION DE LA POBREZA EXTREMA Y DESIGUALDAD"/>
    <x v="252"/>
    <s v="06"/>
    <s v="00"/>
    <n v="1000000000"/>
    <n v="1706643408.97"/>
    <n v="2706643408.9699998"/>
    <n v="1193118784.96"/>
    <n v="1513524624.01"/>
    <n v="970700000"/>
    <n v="35.86"/>
    <n v="950200000"/>
    <n v="35.11"/>
    <n v="1735943408.97"/>
    <n v="950200000"/>
  </r>
  <r>
    <n v="2022"/>
    <n v="100"/>
    <x v="4"/>
    <s v="DESPACHO DEL ALCALDE"/>
    <x v="4"/>
    <n v="2021130010160"/>
    <x v="2"/>
    <x v="9"/>
    <x v="92"/>
    <s v="2,3,4103,1500,2021130010160"/>
    <s v="053"/>
    <s v="1,2,3,2,05-053 - OTRAS TASAS Y DERECHOS ADMINISTRATIVOS CONTRAPRESTACION PORTUARIA"/>
    <s v="INV"/>
    <s v="NO"/>
    <s v="APOYO SEGURIDAD ALIMENTARIA Y NUTRICION PARA LA SUPERACION DE LA POBREZA EXTREMA Y DESIGUALDAD"/>
    <x v="252"/>
    <s v="06"/>
    <s v="00"/>
    <n v="600000000"/>
    <n v="0"/>
    <n v="600000000"/>
    <n v="574437185.86000001"/>
    <n v="25562814.140000001"/>
    <n v="568728787.17999995"/>
    <n v="94.79"/>
    <n v="568728785.86000001"/>
    <n v="94.79"/>
    <n v="31271212.82"/>
    <n v="197086648"/>
  </r>
  <r>
    <n v="2022"/>
    <n v="100"/>
    <x v="4"/>
    <s v="DESPACHO DEL ALCALDE"/>
    <x v="4"/>
    <n v="2021130010161"/>
    <x v="2"/>
    <x v="9"/>
    <x v="93"/>
    <s v="2,3,4103,1500,2021130010161"/>
    <s v="001"/>
    <s v="1,2,1,0,00-001 - ICLD"/>
    <s v="INV"/>
    <s v="NO"/>
    <s v="APOYO INGRESO Y TRABAJO PARA LA SUPERACION DE LA POBREZA EXTREMA Y DESIGUALDAD"/>
    <x v="253"/>
    <s v="06"/>
    <s v="00"/>
    <n v="1230000000"/>
    <n v="0"/>
    <n v="1230000000"/>
    <n v="1229906295"/>
    <n v="93705"/>
    <n v="1209000000"/>
    <n v="98.29"/>
    <n v="858550000"/>
    <n v="69.8"/>
    <n v="21000000"/>
    <n v="856550000"/>
  </r>
  <r>
    <n v="2022"/>
    <n v="100"/>
    <x v="4"/>
    <s v="DESPACHO DEL ALCALDE"/>
    <x v="4"/>
    <n v="2021130010161"/>
    <x v="2"/>
    <x v="9"/>
    <x v="93"/>
    <s v="2,3,4103,1500,2021130010161"/>
    <s v="869"/>
    <s v="1,3,3,4,16-95-053 RB  OTRAS TASAS Y DERECHOS ADMINISTRATIVOS CONTRAPRESTACION PORTUARIA"/>
    <s v="INV"/>
    <s v="NO"/>
    <s v="APOYO INGRESO Y TRABAJO PARA LA SUPERACION DE LA POBREZA EXTREMA Y DESIGUALDAD"/>
    <x v="253"/>
    <s v="06"/>
    <s v="00"/>
    <n v="0"/>
    <n v="1568523117.5"/>
    <n v="1568523117.5"/>
    <n v="8523000"/>
    <n v="1560000117.5"/>
    <n v="0"/>
    <n v="0"/>
    <n v="0"/>
    <n v="0"/>
    <n v="1568523117.5"/>
    <n v="0"/>
  </r>
  <r>
    <n v="2022"/>
    <n v="100"/>
    <x v="4"/>
    <s v="DESPACHO DEL ALCALDE"/>
    <x v="4"/>
    <n v="2021130010161"/>
    <x v="2"/>
    <x v="9"/>
    <x v="93"/>
    <s v="2,3,4103,1500,2021130010161"/>
    <s v="053"/>
    <s v="1,2,3,2,05-053 - OTRAS TASAS Y DERECHOS ADMINISTRATIVOS CONTRAPRESTACION PORTUARIA"/>
    <s v="INV"/>
    <s v="NO"/>
    <s v="APOYO INGRESO Y TRABAJO PARA LA SUPERACION DE LA POBREZA EXTREMA Y DESIGUALDAD"/>
    <x v="253"/>
    <s v="06"/>
    <s v="00"/>
    <n v="1859408713"/>
    <n v="0"/>
    <n v="1859408713"/>
    <n v="1847666000"/>
    <n v="11742713"/>
    <n v="49500000"/>
    <n v="2.66"/>
    <n v="49500000"/>
    <n v="2.66"/>
    <n v="1809908713"/>
    <n v="49500000"/>
  </r>
  <r>
    <n v="2022"/>
    <n v="100"/>
    <x v="4"/>
    <s v="DESPACHO DEL ALCALDE"/>
    <x v="4"/>
    <n v="2021130010162"/>
    <x v="2"/>
    <x v="9"/>
    <x v="94"/>
    <s v="2,3,4103,1500,2021130010162"/>
    <s v="001"/>
    <s v="1,2,1,0,00-001 - ICLD"/>
    <s v="INV"/>
    <s v="NO"/>
    <s v="APOYO HABITABILIDAD PARA LA SUPERACION DE LA POBREZA Y DESIGUALDAD"/>
    <x v="254"/>
    <s v="06"/>
    <s v="00"/>
    <n v="466720000"/>
    <n v="10000000000"/>
    <n v="10466720000"/>
    <n v="10466720000"/>
    <n v="0"/>
    <n v="10433437958"/>
    <n v="99.68"/>
    <n v="299377411.19"/>
    <n v="2.86"/>
    <n v="33282042"/>
    <n v="297384078.19"/>
  </r>
  <r>
    <n v="2022"/>
    <n v="100"/>
    <x v="4"/>
    <s v="DESPACHO DEL ALCALDE"/>
    <x v="4"/>
    <n v="2021130010162"/>
    <x v="2"/>
    <x v="9"/>
    <x v="94"/>
    <s v="2,3,4103,1500,2021130010162"/>
    <s v="869"/>
    <s v="1,3,3,4,16-95-053 RB  OTRAS TASAS Y DERECHOS ADMINISTRATIVOS CONTRAPRESTACION PORTUARIA"/>
    <s v="INV"/>
    <s v="NO"/>
    <s v="APOYO HABITABILIDAD PARA LA SUPERACION DE LA POBREZA Y DESIGUALDAD"/>
    <x v="254"/>
    <s v="06"/>
    <s v="00"/>
    <n v="0"/>
    <n v="136928227.44999999"/>
    <n v="136928227.44999999"/>
    <n v="0"/>
    <n v="136928227.44999999"/>
    <n v="0"/>
    <n v="0"/>
    <n v="0"/>
    <n v="0"/>
    <n v="136928227.44999999"/>
    <n v="0"/>
  </r>
  <r>
    <n v="2022"/>
    <n v="100"/>
    <x v="4"/>
    <s v="DESPACHO DEL ALCALDE"/>
    <x v="4"/>
    <n v="2021130010162"/>
    <x v="2"/>
    <x v="9"/>
    <x v="94"/>
    <s v="2,3,4103,1500,2021130010162"/>
    <s v="053"/>
    <s v="1,2,3,2,05-053 - OTRAS TASAS Y DERECHOS ADMINISTRATIVOS CONTRAPRESTACION PORTUARIA"/>
    <s v="INV"/>
    <s v="NO"/>
    <s v="APOYO HABITABILIDAD PARA LA SUPERACION DE LA POBREZA Y DESIGUALDAD"/>
    <x v="254"/>
    <s v="06"/>
    <s v="00"/>
    <n v="530000000"/>
    <n v="0"/>
    <n v="530000000"/>
    <n v="530000000"/>
    <n v="0"/>
    <n v="530000000"/>
    <n v="100"/>
    <n v="530000000"/>
    <n v="100"/>
    <n v="0"/>
    <n v="530000000"/>
  </r>
  <r>
    <n v="2022"/>
    <n v="100"/>
    <x v="4"/>
    <s v="DESPACHO DEL ALCALDE"/>
    <x v="4"/>
    <n v="2021130010163"/>
    <x v="2"/>
    <x v="9"/>
    <x v="95"/>
    <s v="2,3,4103,1500,2021130010163"/>
    <s v="001"/>
    <s v="1,2,1,0,00-001 - ICLD"/>
    <s v="INV"/>
    <s v="NO"/>
    <s v="APOYO BANCARIZACION PARA LA SUPERACION DE LA POBREZA EXTREMA Y DESIGUALDAD-0 ESTRUCTURAR EL ACCESO DE LA POBLACION EN POBREZA EXTREMA DEL DISTRITO DE CARTAGENA AL SISTEMA FINANCIERO"/>
    <x v="255"/>
    <s v="06"/>
    <s v="00"/>
    <n v="371957705"/>
    <n v="0"/>
    <n v="371957705"/>
    <n v="371957705"/>
    <n v="0"/>
    <n v="296214389"/>
    <n v="79.64"/>
    <n v="287414389"/>
    <n v="77.27"/>
    <n v="75743316"/>
    <n v="285214389"/>
  </r>
  <r>
    <n v="2022"/>
    <n v="100"/>
    <x v="4"/>
    <s v="DESPACHO DEL ALCALDE"/>
    <x v="4"/>
    <n v="2021130010164"/>
    <x v="2"/>
    <x v="9"/>
    <x v="96"/>
    <s v="2,3,4103,1500,2021130010164"/>
    <s v="001"/>
    <s v="1,2,1,0,00-001 - ICLD"/>
    <s v="INV"/>
    <s v="NO"/>
    <s v=" APOYO ACCESO A LA JUSTICIA PARA LA SUPERACION DE LA POBREZA Y DESIGUALDAD"/>
    <x v="256"/>
    <s v="06"/>
    <s v="00"/>
    <n v="400000000"/>
    <n v="0"/>
    <n v="400000000"/>
    <n v="380000000"/>
    <n v="20000000"/>
    <n v="345800000"/>
    <n v="86.45"/>
    <n v="254220000"/>
    <n v="63.56"/>
    <n v="54200000"/>
    <n v="250820000"/>
  </r>
  <r>
    <n v="2022"/>
    <n v="100"/>
    <x v="4"/>
    <s v="DESPACHO DEL ALCALDE"/>
    <x v="4"/>
    <n v="2021130010165"/>
    <x v="2"/>
    <x v="9"/>
    <x v="97"/>
    <s v="2,3,4103,1500,2021130010165"/>
    <s v="001"/>
    <s v="1,2,1,0,00-001 - ICLD"/>
    <s v="INV"/>
    <s v="NO"/>
    <s v="APOYO SALUD PARA LA SUPERACION DE LA POBREZA Y DESIGUALDAD "/>
    <x v="257"/>
    <s v="06"/>
    <s v="00"/>
    <n v="300000000"/>
    <n v="0"/>
    <n v="300000000"/>
    <n v="257300000"/>
    <n v="42700000"/>
    <n v="256533333"/>
    <n v="85.51"/>
    <n v="256533333"/>
    <n v="85.51"/>
    <n v="43466667"/>
    <n v="214480000"/>
  </r>
  <r>
    <n v="2022"/>
    <n v="100"/>
    <x v="2"/>
    <s v="LOCALIDAD INDUSTRIAL Y DE LA BAHIA"/>
    <x v="2"/>
    <n v="2021130010166"/>
    <x v="0"/>
    <x v="0"/>
    <x v="0"/>
    <s v="2,3,2401,0600,2021130010166"/>
    <s v="001"/>
    <s v="1,2,1,0,00-001 - ICLD"/>
    <s v="INV"/>
    <s v="NO"/>
    <s v="REHABILITACION Y RECONSTRUCCION DE LA MALLA VIAL DE LA LOCALIDAD INDUSTRIAL Y DE LA BAHIA CARTAGENA DE INDIAS"/>
    <x v="258"/>
    <s v="06"/>
    <s v="00"/>
    <n v="0"/>
    <n v="2500000000"/>
    <n v="2500000000"/>
    <n v="0"/>
    <n v="2500000000"/>
    <n v="0"/>
    <n v="0"/>
    <n v="0"/>
    <n v="0"/>
    <n v="2500000000"/>
    <n v="0"/>
  </r>
  <r>
    <n v="2022"/>
    <n v="100"/>
    <x v="10"/>
    <s v="FONDO DE VIVIENDA DE INTERES SOCIAL Y REFORMA URBANA"/>
    <x v="10"/>
    <n v="2021130010167"/>
    <x v="1"/>
    <x v="14"/>
    <x v="98"/>
    <s v="2,3,4001,1400,2021130010167"/>
    <s v="039"/>
    <s v="1,2,2,0,00-039 - ICDE-CORVIVIENDA 15% IPU"/>
    <s v="INV"/>
    <s v="NO"/>
    <s v="ELABORACION DE DTS Y ADQUISICION DE TIERRAS POR ENAJENACION, EXPROPIACION, EXTINCION DE DOMINIO, CESION, DONACION Y/O COMPRAVENTA PARA LA CONSTRUCCION DE VIVIENDA VIS/VIP DEL PROGRAMA UN LUGAR APTO PARA MI HOGAR CARTAGENA DE INDIAS"/>
    <x v="259"/>
    <s v="06"/>
    <s v="00"/>
    <n v="90861993"/>
    <n v="0"/>
    <n v="90861993"/>
    <n v="68000000"/>
    <n v="22861993"/>
    <n v="68000000"/>
    <n v="74.84"/>
    <n v="68000000"/>
    <n v="74.84"/>
    <n v="22861993"/>
    <n v="68000000"/>
  </r>
  <r>
    <n v="2022"/>
    <n v="100"/>
    <x v="8"/>
    <s v="DEPARTAMENTO ADMINISTRATIVO DE SALUD"/>
    <x v="8"/>
    <n v="2021130010168"/>
    <x v="2"/>
    <x v="7"/>
    <x v="16"/>
    <s v="2,3,1905,0300,2021130010168"/>
    <s v="001"/>
    <s v="1,2,1,0,00-001 - ICLD"/>
    <s v="INV"/>
    <s v="NO"/>
    <s v="FORTALECIMIENTO DEL CENTRO DE OPERACIONES Y EMERGENCIAS EN SALUD DEL DISTRITO DE  CARTAGENA DE INDIAS"/>
    <x v="260"/>
    <s v="06"/>
    <s v="00"/>
    <n v="275000000"/>
    <n v="0"/>
    <n v="275000000"/>
    <n v="210000000"/>
    <n v="65000000"/>
    <n v="210000000"/>
    <n v="76.36"/>
    <n v="210000000"/>
    <n v="76.36"/>
    <n v="65000000"/>
    <n v="195000000"/>
  </r>
  <r>
    <n v="2022"/>
    <n v="100"/>
    <x v="8"/>
    <s v="DEPARTAMENTO ADMINISTRATIVO DE SALUD"/>
    <x v="8"/>
    <n v="2021130010169"/>
    <x v="2"/>
    <x v="7"/>
    <x v="99"/>
    <s v="2,3,1905,0300,2021130010169"/>
    <s v="001"/>
    <s v="1,2,1,0,00-001 - ICLD"/>
    <s v="INV"/>
    <s v="NO"/>
    <s v="SERVICIO  DE GESTION INTEGRAL Y RESPUESTA EN SALUD ANTE EMERGENCIAS Y DESASTRES EN EL DISTRITO DE   CARTAGENA DE INDIAS"/>
    <x v="261"/>
    <s v="06"/>
    <s v="00"/>
    <n v="900000000"/>
    <n v="0"/>
    <n v="900000000"/>
    <n v="898900000"/>
    <n v="1100000"/>
    <n v="896250000"/>
    <n v="99.58"/>
    <n v="892400000"/>
    <n v="99.16"/>
    <n v="3750000"/>
    <n v="878650000"/>
  </r>
  <r>
    <n v="2022"/>
    <n v="100"/>
    <x v="8"/>
    <s v="DEPARTAMENTO ADMINISTRATIVO DE SALUD"/>
    <x v="8"/>
    <n v="2021130010169"/>
    <x v="2"/>
    <x v="7"/>
    <x v="99"/>
    <s v="2,3,1905,0300,2021130010169"/>
    <s v="889"/>
    <s v="1,3,3,5,07-93-015 R,B, RECURSOS DEL SISTEMA DE SEGURIDAD SOCIAL INTEGRAL - SALUD COLJUEGOS"/>
    <s v="INV"/>
    <s v="NO"/>
    <s v="SERVICIO  DE GESTION INTEGRAL Y RESPUESTA EN SALUD ANTE EMERGENCIAS Y DESASTRES EN EL DISTRITO DE   CARTAGENA DE INDIAS"/>
    <x v="261"/>
    <s v="06"/>
    <s v="00"/>
    <n v="0"/>
    <n v="191713562"/>
    <n v="191713562"/>
    <n v="100000000"/>
    <n v="91713562"/>
    <n v="47500000"/>
    <n v="24.78"/>
    <n v="47500000"/>
    <n v="24.78"/>
    <n v="144213562"/>
    <n v="10000000"/>
  </r>
  <r>
    <n v="2022"/>
    <n v="100"/>
    <x v="8"/>
    <s v="DEPARTAMENTO ADMINISTRATIVO DE SALUD"/>
    <x v="8"/>
    <n v="2021130010169"/>
    <x v="2"/>
    <x v="7"/>
    <x v="99"/>
    <s v="2,3,1905,0300,2021130010169"/>
    <s v="894"/>
    <s v="1,3,3,5,07-95-016 R,B, RECURSOS DEL SISTEMA DE SEGURIDAD SOCIAL INTEGRAL - SALUD MINISTERIO DE PROTECCION SOCIAL"/>
    <s v="INV"/>
    <s v="NO"/>
    <s v="SERVICIO  DE GESTION INTEGRAL Y RESPUESTA EN SALUD ANTE EMERGENCIAS Y DESASTRES EN EL DISTRITO DE   CARTAGENA DE INDIAS"/>
    <x v="261"/>
    <s v="06"/>
    <s v="00"/>
    <n v="0"/>
    <n v="2086877"/>
    <n v="2086877"/>
    <n v="0"/>
    <n v="2086877"/>
    <n v="0"/>
    <n v="0"/>
    <n v="0"/>
    <n v="0"/>
    <n v="2086877"/>
    <n v="0"/>
  </r>
  <r>
    <n v="2022"/>
    <n v="100"/>
    <x v="8"/>
    <s v="DEPARTAMENTO ADMINISTRATIVO DE SALUD"/>
    <x v="8"/>
    <n v="2021130010169"/>
    <x v="2"/>
    <x v="7"/>
    <x v="99"/>
    <s v="2,3,1905,0300,2021130010169"/>
    <s v="895"/>
    <s v="1,3,3,5,07-95-017 R,B, RECURSOS DEL SISTEMA DE SEGURIDAD SOCIAL INTEGRAL - SALUD Rendimientos  Financieros FLS"/>
    <s v="INV"/>
    <s v="NO"/>
    <s v="SERVICIO  DE GESTION INTEGRAL Y RESPUESTA EN SALUD ANTE EMERGENCIAS Y DESASTRES EN EL DISTRITO DE   CARTAGENA DE INDIAS"/>
    <x v="261"/>
    <s v="06"/>
    <s v="00"/>
    <n v="0"/>
    <n v="14286438"/>
    <n v="14286438"/>
    <n v="0"/>
    <n v="14286438"/>
    <n v="0"/>
    <n v="0"/>
    <n v="0"/>
    <n v="0"/>
    <n v="14286438"/>
    <n v="0"/>
  </r>
  <r>
    <n v="2022"/>
    <n v="100"/>
    <x v="8"/>
    <s v="DEPARTAMENTO ADMINISTRATIVO DE SALUD"/>
    <x v="8"/>
    <n v="2021130010170"/>
    <x v="2"/>
    <x v="7"/>
    <x v="16"/>
    <s v="2,3,1905,0300,2021130010170"/>
    <s v="017"/>
    <s v="1,3,2,3,02-017 - RF SISTEMA DE SEGURIDAD SOCIAL SALUD"/>
    <s v="INV"/>
    <s v="NO"/>
    <s v="FORTALECIMIENTO DE LA GESTION DEL PLAN DE SALUD PUBLICA EN   CARTAGENA DE INDIA"/>
    <x v="262"/>
    <s v="06"/>
    <s v="00"/>
    <n v="50000000"/>
    <n v="0"/>
    <n v="50000000"/>
    <n v="8200000"/>
    <n v="41800000"/>
    <n v="0"/>
    <n v="0"/>
    <n v="0"/>
    <n v="0"/>
    <n v="50000000"/>
    <n v="0"/>
  </r>
  <r>
    <n v="2022"/>
    <n v="100"/>
    <x v="8"/>
    <s v="DEPARTAMENTO ADMINISTRATIVO DE SALUD"/>
    <x v="8"/>
    <n v="2021130010170"/>
    <x v="2"/>
    <x v="7"/>
    <x v="16"/>
    <s v="2,3,1905,0300,2021130010170"/>
    <s v="087"/>
    <s v="1,3,2,2,06-087 - RF SGP SALUD"/>
    <s v="INV"/>
    <s v="NO"/>
    <s v="FORTALECIMIENTO DE LA GESTION DEL PLAN DE SALUD PUBLICA EN   CARTAGENA DE INDIA"/>
    <x v="262"/>
    <s v="06"/>
    <s v="00"/>
    <n v="200000000"/>
    <n v="-50000000"/>
    <n v="150000000"/>
    <n v="143400000"/>
    <n v="6600000"/>
    <n v="125600000"/>
    <n v="83.73"/>
    <n v="125600000"/>
    <n v="83.73"/>
    <n v="24400000"/>
    <n v="125600000"/>
  </r>
  <r>
    <n v="2022"/>
    <n v="100"/>
    <x v="8"/>
    <s v="DEPARTAMENTO ADMINISTRATIVO DE SALUD"/>
    <x v="8"/>
    <n v="2021130010170"/>
    <x v="2"/>
    <x v="7"/>
    <x v="16"/>
    <s v="2,3,1905,0300,2021130010170"/>
    <s v="170"/>
    <s v="1,2,4,2,02-170 - SGP SALUD PUBLICA"/>
    <s v="INV"/>
    <s v="NO"/>
    <s v="FORTALECIMIENTO DE LA GESTION DEL PLAN DE SALUD PUBLICA EN   CARTAGENA DE INDIA"/>
    <x v="262"/>
    <s v="06"/>
    <s v="00"/>
    <n v="257362582"/>
    <n v="0"/>
    <n v="257362582"/>
    <n v="257362582"/>
    <n v="0"/>
    <n v="257362582"/>
    <n v="100"/>
    <n v="246800000"/>
    <n v="95.9"/>
    <n v="0"/>
    <n v="238000000"/>
  </r>
  <r>
    <n v="2022"/>
    <n v="100"/>
    <x v="13"/>
    <s v="SECRETARIA GENERAL"/>
    <x v="13"/>
    <n v="2021130010172"/>
    <x v="2"/>
    <x v="6"/>
    <x v="100"/>
    <s v="2,3,2202,0700,2021130010172"/>
    <s v="001"/>
    <s v="1,2,1,0,00-001 - ICLD"/>
    <s v="INV"/>
    <s v="NO"/>
    <s v="IMPLEMENTACION DEL PROGRAMA DE FORMACION INTEGRAL ESCUELA TALLER CARTAGENA DE INDIAS DEL DISTRITO DE  CARTAGENA DE INDIAS"/>
    <x v="263"/>
    <s v="06"/>
    <s v="00"/>
    <n v="1000000000"/>
    <n v="0"/>
    <n v="1000000000"/>
    <n v="1000000000"/>
    <n v="0"/>
    <n v="1000000000"/>
    <n v="100"/>
    <n v="900000000"/>
    <n v="90"/>
    <n v="0"/>
    <n v="900000000"/>
  </r>
  <r>
    <n v="2022"/>
    <n v="100"/>
    <x v="13"/>
    <s v="SECRETARIA GENERAL"/>
    <x v="13"/>
    <n v="2021130010174"/>
    <x v="1"/>
    <x v="20"/>
    <x v="101"/>
    <s v="2,3,4599,1000,2021130010174"/>
    <s v="882"/>
    <s v="1,3,3,4,21-93-034 R,B, VENTA DE SERVICIOS CEMENTERIOS"/>
    <s v="INV"/>
    <s v="NO"/>
    <s v="ADMINISTRACION Y OPERACION DE LOS CEMENTERIOS PUBLICOS DISTRITALES  POR UNA CARTAGENA LIBRE Y RESILIENTE CARTAGENA DE INDIAS"/>
    <x v="264"/>
    <s v="06"/>
    <s v="00"/>
    <n v="0"/>
    <n v="511889199.95999998"/>
    <n v="511889199.95999998"/>
    <n v="511889199.95999998"/>
    <n v="0"/>
    <n v="511889199.95999998"/>
    <n v="100"/>
    <n v="306656941.60000002"/>
    <n v="59.91"/>
    <n v="0"/>
    <n v="0"/>
  </r>
  <r>
    <n v="2022"/>
    <n v="100"/>
    <x v="13"/>
    <s v="SECRETARIA GENERAL"/>
    <x v="13"/>
    <n v="2021130010174"/>
    <x v="1"/>
    <x v="20"/>
    <x v="101"/>
    <s v="2,3,4599,1000,2021130010174"/>
    <s v="001"/>
    <s v="1,2,1,0,00-001 - ICLD"/>
    <s v="INV"/>
    <s v="NO"/>
    <s v="ADMINISTRACION Y OPERACION DE LOS CEMENTERIOS PUBLICOS DISTRITALES ? POR UNA CARTAGENA LIBRE Y RESILIENTE? CARTAGENA DE INDIAS"/>
    <x v="265"/>
    <s v="06"/>
    <s v="00"/>
    <n v="319471142"/>
    <n v="0"/>
    <n v="319471142"/>
    <n v="319471142"/>
    <n v="0"/>
    <n v="295348154.04000002"/>
    <n v="92.45"/>
    <n v="253351864.25999999"/>
    <n v="79.3"/>
    <n v="24122987.960000001"/>
    <n v="40595000"/>
  </r>
  <r>
    <n v="2022"/>
    <n v="100"/>
    <x v="19"/>
    <s v="DISTRISEGURIDAD"/>
    <x v="19"/>
    <n v="2021130010176"/>
    <x v="0"/>
    <x v="1"/>
    <x v="102"/>
    <s v="2,3,4501,1000,2021130010176"/>
    <s v="001"/>
    <s v="1,2,1,0,00-001 - ICLD"/>
    <s v="INV"/>
    <s v="NO"/>
    <s v="CONSTRUCCION DE CONVIVENCIA PARA LA SEGURIDAD EN CARTAGENA DE INDIAS CARTAGENA DE INDIAS"/>
    <x v="266"/>
    <s v="06"/>
    <s v="00"/>
    <n v="300000000"/>
    <n v="0"/>
    <n v="300000000"/>
    <n v="300000000"/>
    <n v="0"/>
    <n v="300000000"/>
    <n v="100"/>
    <n v="300000000"/>
    <n v="100"/>
    <n v="0"/>
    <n v="300000000"/>
  </r>
  <r>
    <n v="2022"/>
    <n v="100"/>
    <x v="15"/>
    <s v="SECRETARIA DE PLANEACION"/>
    <x v="15"/>
    <n v="2021130010177"/>
    <x v="0"/>
    <x v="0"/>
    <x v="103"/>
    <s v="2,3,4599,1000,2021130010177"/>
    <s v="921"/>
    <s v="1,3,3,8,03-93-075 R,B, SGP-PROPOSITO GENERAL-PROPOSITO GENERAL LIBRE INVERSION"/>
    <s v="INV"/>
    <s v="NO"/>
    <s v="ASISTENCIA TECNICA AL DISE?O DE POLITICAS PUBLICAS INTERSECTORIALES Y CON VISION INTEGRAL DE ENFOQUES BASADOS EN DERECHOS HUMANOS EN EL DISTRITO DE CARTAGENA DE INDIAS"/>
    <x v="267"/>
    <s v="06"/>
    <s v="00"/>
    <n v="0"/>
    <n v="59238247"/>
    <n v="59238247"/>
    <n v="59238247"/>
    <n v="0"/>
    <n v="59238247"/>
    <n v="100"/>
    <n v="0"/>
    <n v="0"/>
    <n v="0"/>
    <n v="0"/>
  </r>
  <r>
    <n v="2022"/>
    <n v="100"/>
    <x v="15"/>
    <s v="SECRETARIA DE PLANEACION"/>
    <x v="15"/>
    <n v="2021130010177"/>
    <x v="0"/>
    <x v="0"/>
    <x v="103"/>
    <s v="2,3,4599,1000,2021130010177"/>
    <s v="816"/>
    <s v="1,3,3,11,03-95-138 R,B, DIVIDENDOS SOCIEDAD PORTUARIA"/>
    <s v="INV"/>
    <s v="NO"/>
    <s v="ASISTENCIA TECNICA AL DISE?O DE POLITICAS PUBLICAS INTERSECTORIALES Y CON VISION INTEGRAL DE ENFOQUES BASADOS EN DERECHOS HUMANOS EN EL DISTRITO DE CARTAGENA DE INDIAS"/>
    <x v="267"/>
    <s v="06"/>
    <s v="00"/>
    <n v="0"/>
    <n v="142300379"/>
    <n v="142300379"/>
    <n v="142300379"/>
    <n v="0"/>
    <n v="142300379"/>
    <n v="100"/>
    <n v="0"/>
    <n v="0"/>
    <n v="0"/>
    <n v="0"/>
  </r>
  <r>
    <n v="2022"/>
    <n v="100"/>
    <x v="15"/>
    <s v="SECRETARIA DE PLANEACION"/>
    <x v="15"/>
    <n v="2021130010177"/>
    <x v="0"/>
    <x v="0"/>
    <x v="103"/>
    <s v="2,3,4599,1000,2021130010177"/>
    <s v="850"/>
    <s v="1,3,3,3,17-93-124 RB IMPUESTO DE TRANSPORTE POR OLEODUCTOS Y GASODUCTOS"/>
    <s v="INV"/>
    <s v="NO"/>
    <s v="ASISTENCIA TECNICA AL DISE?O DE POLITICAS PUBLICAS INTERSECTORIALES Y CON VISION INTEGRAL DE ENFOQUES BASADOS EN DERECHOS HUMANOS EN EL DISTRITO DE CARTAGENA DE INDIAS"/>
    <x v="267"/>
    <s v="06"/>
    <s v="00"/>
    <n v="0"/>
    <n v="41701028"/>
    <n v="41701028"/>
    <n v="41701028"/>
    <n v="0"/>
    <n v="41701028"/>
    <n v="100"/>
    <n v="0"/>
    <n v="0"/>
    <n v="0"/>
    <n v="0"/>
  </r>
  <r>
    <n v="2022"/>
    <n v="100"/>
    <x v="15"/>
    <s v="SECRETARIA DE PLANEACION"/>
    <x v="15"/>
    <n v="2021130010177"/>
    <x v="0"/>
    <x v="0"/>
    <x v="103"/>
    <s v="2,3,4599,1000,2021130010177"/>
    <s v="851"/>
    <s v="1,3,3,3,17-93-126 RB IMPUESTO DE TRANSPORTE POR OLEODUCTOS Y GASODUCTOS"/>
    <s v="INV"/>
    <s v="NO"/>
    <s v="ASISTENCIA TECNICA AL DISE?O DE POLITICAS PUBLICAS INTERSECTORIALES Y CON VISION INTEGRAL DE ENFOQUES BASADOS EN DERECHOS HUMANOS EN EL DISTRITO DE CARTAGENA DE INDIAS"/>
    <x v="267"/>
    <s v="06"/>
    <s v="00"/>
    <n v="0"/>
    <n v="79398870"/>
    <n v="79398870"/>
    <n v="9398870"/>
    <n v="70000000"/>
    <n v="9398870"/>
    <n v="11.84"/>
    <n v="0"/>
    <n v="0"/>
    <n v="70000000"/>
    <n v="0"/>
  </r>
  <r>
    <n v="2022"/>
    <n v="100"/>
    <x v="15"/>
    <s v="SECRETARIA DE PLANEACION"/>
    <x v="15"/>
    <n v="2021130010177"/>
    <x v="0"/>
    <x v="0"/>
    <x v="103"/>
    <s v="2,3,4599,1000,2021130010177"/>
    <s v="922"/>
    <s v="1,3,3,8,03-95-070 R,B, SGP-PROPOSITO GENERAL-PROPOSITO GENERAL LIBRE INVERSION"/>
    <s v="INV"/>
    <s v="NO"/>
    <s v="ASISTENCIA TECNICA AL DISE?O DE POLITICAS PUBLICAS INTERSECTORIALES Y CON VISION INTEGRAL DE ENFOQUES BASADOS EN DERECHOS HUMANOS EN EL DISTRITO DE CARTAGENA DE INDIAS"/>
    <x v="267"/>
    <s v="06"/>
    <s v="00"/>
    <n v="0"/>
    <n v="677361476"/>
    <n v="677361476"/>
    <n v="677361476"/>
    <n v="0"/>
    <n v="677361476"/>
    <n v="100"/>
    <n v="0"/>
    <n v="0"/>
    <n v="0"/>
    <n v="0"/>
  </r>
  <r>
    <n v="2022"/>
    <n v="100"/>
    <x v="15"/>
    <s v="SECRETARIA DE PLANEACION"/>
    <x v="15"/>
    <n v="2021130010177"/>
    <x v="0"/>
    <x v="0"/>
    <x v="103"/>
    <s v="2,3,4599,1000,2021130010177"/>
    <s v="001"/>
    <s v="1,2,1,0,00-001 - ICLD"/>
    <s v="INV"/>
    <s v="NO"/>
    <s v="ASISTENCIA TECNICA AL DISE?O DE POLITICAS PUBLICAS INTERSECTORIALES Y CON VISION INTEGRAL DE ENFOQUES BASADOS EN DERECHOS HUMANOS EN EL DISTRITO DE  CARTAGENA DE INDIAS"/>
    <x v="268"/>
    <s v="06"/>
    <s v="00"/>
    <n v="88000000"/>
    <n v="0"/>
    <n v="88000000"/>
    <n v="85200000"/>
    <n v="2800000"/>
    <n v="67200000"/>
    <n v="76.36"/>
    <n v="67200000"/>
    <n v="76.36"/>
    <n v="20800000"/>
    <n v="67200000"/>
  </r>
  <r>
    <n v="2022"/>
    <n v="100"/>
    <x v="13"/>
    <s v="SECRETARIA GENERAL"/>
    <x v="13"/>
    <n v="2021130010178"/>
    <x v="0"/>
    <x v="19"/>
    <x v="62"/>
    <s v="2,3,4599,1000,2021130010178"/>
    <s v="001"/>
    <s v="1,2,1,0,00-001 - ICLD"/>
    <s v="INV"/>
    <s v="NO"/>
    <s v="GESTION DOCUMENTAL, MEDIANTE EL AVANCE EN LA IMPLEMENTACION DEL PLAN INSTITUCIONAL DE ARCHIVO-PINAR, PARA AUMENTAR LA EFICIENCIA Y EFICACIA EN LOS PROCESOS DOCUMENTALES"/>
    <x v="269"/>
    <s v="06"/>
    <s v="00"/>
    <n v="8000000000"/>
    <n v="-231500000"/>
    <n v="7768500000"/>
    <n v="7768500000"/>
    <n v="0"/>
    <n v="7707652960"/>
    <n v="99.22"/>
    <n v="722352960"/>
    <n v="9.3000000000000007"/>
    <n v="60847040"/>
    <n v="642852960"/>
  </r>
  <r>
    <n v="2022"/>
    <n v="100"/>
    <x v="15"/>
    <s v="SECRETARIA DE PLANEACION"/>
    <x v="15"/>
    <n v="2021130010179"/>
    <x v="2"/>
    <x v="24"/>
    <x v="104"/>
    <s v="2,3,0401,1003,2021130010179"/>
    <s v="857"/>
    <s v="1,3,3,4,03-93-006 R,B, OTRAS CONTRIBUCIONES - ESTRATIFICACION"/>
    <s v="INV"/>
    <s v="NO"/>
    <s v="FORTALECIMIENTO DEL PROCESO DE ESTRATIFICACION SOCIOECONOMICA EN EL DISTRITO DE  CARTAGENA DE INDIAS"/>
    <x v="270"/>
    <s v="06"/>
    <s v="00"/>
    <n v="0"/>
    <n v="179783523.66"/>
    <n v="179783523.66"/>
    <n v="23358525"/>
    <n v="156424998.66"/>
    <n v="19621161"/>
    <n v="10.91"/>
    <n v="19621161"/>
    <n v="10.91"/>
    <n v="160162362.66"/>
    <n v="16818138"/>
  </r>
  <r>
    <n v="2022"/>
    <n v="100"/>
    <x v="15"/>
    <s v="SECRETARIA DE PLANEACION"/>
    <x v="15"/>
    <n v="2021130010179"/>
    <x v="2"/>
    <x v="24"/>
    <x v="104"/>
    <s v="2,3,0401,1003,2021130010179"/>
    <s v="173"/>
    <s v="1,3,2,1,02-173 - RF CONTRIBUCION ESTRATIFICACION"/>
    <s v="INV"/>
    <s v="NO"/>
    <s v="FORTALECIMIENTO DEL PROCESO DE ESTRATIFICACION SOCIOECONOMICA EN EL DISTRITO DE  CARTAGENA DE INDIAS"/>
    <x v="270"/>
    <s v="06"/>
    <s v="00"/>
    <n v="1"/>
    <n v="0"/>
    <n v="1"/>
    <n v="0"/>
    <n v="1"/>
    <n v="0"/>
    <n v="0"/>
    <n v="0"/>
    <n v="0"/>
    <n v="1"/>
    <n v="0"/>
  </r>
  <r>
    <n v="2022"/>
    <n v="100"/>
    <x v="15"/>
    <s v="SECRETARIA DE PLANEACION"/>
    <x v="15"/>
    <n v="2021130010179"/>
    <x v="2"/>
    <x v="24"/>
    <x v="104"/>
    <s v="2,3,0401,1003,2021130010179"/>
    <s v="006"/>
    <s v="1,2,3,2,02-006 - OTRAS CONTRIBUCIONES - ESTRATIFICACION"/>
    <s v="INV"/>
    <s v="NO"/>
    <s v="FORTALECIMIENTO DEL PROCESO DE ESTRATIFICACION SOCIOECONOMICA EN EL DISTRITO DE  CARTAGENA DE INDIAS"/>
    <x v="270"/>
    <s v="06"/>
    <s v="00"/>
    <n v="375966665"/>
    <n v="0"/>
    <n v="375966665"/>
    <n v="299452711.66000003"/>
    <n v="76513953.340000004"/>
    <n v="293798460.77999997"/>
    <n v="78.14"/>
    <n v="293735220.77999997"/>
    <n v="78.13"/>
    <n v="82168204.219999999"/>
    <n v="289935220.77999997"/>
  </r>
  <r>
    <n v="2022"/>
    <n v="100"/>
    <x v="15"/>
    <s v="SECRETARIA DE PLANEACION"/>
    <x v="15"/>
    <n v="2021130010179"/>
    <x v="2"/>
    <x v="24"/>
    <x v="104"/>
    <s v="2,3,0401,1003,2021130010179"/>
    <s v="001"/>
    <s v="1,2,1,0,00-001 - ICLD"/>
    <s v="INV"/>
    <s v="NO"/>
    <s v="FORTALECIMIENTO DEL PROCESO DE ESTRATIFICACION SOCIOECONOMICA EN EL DISTRITO DE  CARTAGENA DE INDIAS"/>
    <x v="270"/>
    <s v="06"/>
    <s v="00"/>
    <n v="76953334"/>
    <n v="0"/>
    <n v="76953334"/>
    <n v="56108231"/>
    <n v="20845103"/>
    <n v="56108231"/>
    <n v="72.91"/>
    <n v="56108231"/>
    <n v="72.91"/>
    <n v="20845103"/>
    <n v="56108231"/>
  </r>
  <r>
    <n v="2022"/>
    <n v="100"/>
    <x v="15"/>
    <s v="SECRETARIA DE PLANEACION"/>
    <x v="15"/>
    <n v="2021130010179"/>
    <x v="2"/>
    <x v="24"/>
    <x v="104"/>
    <s v="2,3,0401,1003,2021130010179"/>
    <s v="860"/>
    <s v="1,3,3,4,03-95-006 R,B, OTRAS CONTRIBUCIONES - ESTRATIFICACION"/>
    <s v="INV"/>
    <s v="NO"/>
    <s v="FORTALECIMIENTO DEL PROCESO DE ESTRATIFICACION SOCIOECONOMICA EN EL DISTRITO DE  CARTAGENA DE INDIAS"/>
    <x v="270"/>
    <s v="06"/>
    <s v="00"/>
    <n v="0"/>
    <n v="258882259.99000001"/>
    <n v="258882259.99000001"/>
    <n v="0"/>
    <n v="258882259.99000001"/>
    <n v="0"/>
    <n v="0"/>
    <n v="0"/>
    <n v="0"/>
    <n v="258882259.99000001"/>
    <n v="0"/>
  </r>
  <r>
    <n v="2022"/>
    <n v="100"/>
    <x v="19"/>
    <s v="DISTRISEGURIDAD"/>
    <x v="19"/>
    <n v="2021130010180"/>
    <x v="0"/>
    <x v="1"/>
    <x v="105"/>
    <s v="2,3,4501,1000,2021130010180"/>
    <s v="939"/>
    <s v="1,3,1,1,02-01 - EXCEDENTES DISTRISEGURIDAD"/>
    <s v="INV"/>
    <s v="NO"/>
    <s v="IMPLEMENTACION Y SOSTENIMIENTO DE HERRAMIENTAS TECCNOLOGICAS PARA SEGURIDAD Y SOCORRO EN CARTAGENA DE INDIAS"/>
    <x v="271"/>
    <s v="06"/>
    <s v="00"/>
    <n v="0"/>
    <n v="1765904776"/>
    <n v="1765904776"/>
    <n v="0"/>
    <n v="1765904776"/>
    <n v="0"/>
    <n v="0"/>
    <n v="0"/>
    <n v="0"/>
    <n v="1765904776"/>
    <n v="0"/>
  </r>
  <r>
    <n v="2022"/>
    <n v="100"/>
    <x v="19"/>
    <s v="DISTRISEGURIDAD"/>
    <x v="19"/>
    <n v="2021130010180"/>
    <x v="0"/>
    <x v="1"/>
    <x v="105"/>
    <s v="2,3,4501,1000,2021130010180"/>
    <s v="085"/>
    <s v="1,2,2,0,00-085 - ICDE DISTRISEGURIDAD 10% DELINEACION URBANA"/>
    <s v="INV"/>
    <s v="NO"/>
    <s v="IMPLEMENTACION Y SOSTENIMIENTO DE HERRAMIENTAS TECNOLOGICAS PARA LA SEGURIDAD Y SOCORRO EN"/>
    <x v="272"/>
    <s v="06"/>
    <s v="00"/>
    <n v="305165968"/>
    <n v="0"/>
    <n v="305165968"/>
    <n v="305165968"/>
    <n v="0"/>
    <n v="305165968"/>
    <n v="100"/>
    <n v="305165968"/>
    <n v="100"/>
    <n v="0"/>
    <n v="305165968"/>
  </r>
  <r>
    <n v="2022"/>
    <n v="100"/>
    <x v="19"/>
    <s v="DISTRISEGURIDAD"/>
    <x v="19"/>
    <n v="2021130010180"/>
    <x v="0"/>
    <x v="1"/>
    <x v="105"/>
    <s v="2,3,4501,1000,2021130010180"/>
    <s v="084"/>
    <s v="1,3,2,3,05-084 - OTROS RENDIMIENTOS FINANCIEROS DISTRISEGURIDAD"/>
    <s v="INV"/>
    <s v="NO"/>
    <s v="IMPLEMENTACION Y SOSTENIMIENTO DE HERRAMIENTAS TECNOLOGICAS PARA LA SEGURIDAD Y SOCORRO EN"/>
    <x v="272"/>
    <s v="06"/>
    <s v="00"/>
    <n v="1307002"/>
    <n v="0"/>
    <n v="1307002"/>
    <n v="0"/>
    <n v="1307002"/>
    <n v="0"/>
    <n v="0"/>
    <n v="0"/>
    <n v="0"/>
    <n v="1307002"/>
    <n v="0"/>
  </r>
  <r>
    <n v="2022"/>
    <n v="100"/>
    <x v="19"/>
    <s v="DISTRISEGURIDAD"/>
    <x v="19"/>
    <n v="2021130010180"/>
    <x v="0"/>
    <x v="1"/>
    <x v="105"/>
    <s v="2,3,4501,1000,2021130010180"/>
    <s v="051"/>
    <s v="1,2,2,0,00-051 - ICDE DISTRISEGURIDAD 1% IPU"/>
    <s v="INV"/>
    <s v="NO"/>
    <s v="IMPLEMENTACION Y SOSTENIMIENTO DE HERRAMIENTAS TECNOLOGICAS PARA LA SEGURIDAD Y SOCORRO EN"/>
    <x v="272"/>
    <s v="06"/>
    <s v="00"/>
    <n v="1722633834"/>
    <n v="0"/>
    <n v="1722633834"/>
    <n v="1695087552.96"/>
    <n v="27546281.039999999"/>
    <n v="1695087552.96"/>
    <n v="98.4"/>
    <n v="1695087552.96"/>
    <n v="98.4"/>
    <n v="27546281.039999999"/>
    <n v="1695087552.96"/>
  </r>
  <r>
    <n v="2022"/>
    <n v="100"/>
    <x v="19"/>
    <s v="DISTRISEGURIDAD"/>
    <x v="19"/>
    <n v="2021130010180"/>
    <x v="0"/>
    <x v="1"/>
    <x v="105"/>
    <s v="2,3,4501,1000,2021130010180"/>
    <s v="037"/>
    <s v="1,3,2,3,05-037 - OTROS RENDIMIENTOS FINANCIEROS ICLD"/>
    <s v="INV"/>
    <s v="NO"/>
    <s v="IMPLEMENTACION Y SOSTENIMIENTO DE HERRAMIENTAS TECNOLOGICAS PARA LA SEGURIDAD Y SOCORRO EN"/>
    <x v="272"/>
    <s v="06"/>
    <s v="00"/>
    <n v="500000000"/>
    <n v="0"/>
    <n v="500000000"/>
    <n v="500000000"/>
    <n v="0"/>
    <n v="500000000"/>
    <n v="100"/>
    <n v="500000000"/>
    <n v="100"/>
    <n v="0"/>
    <n v="500000000"/>
  </r>
  <r>
    <n v="2022"/>
    <n v="100"/>
    <x v="15"/>
    <s v="SECRETARIA DE PLANEACION"/>
    <x v="15"/>
    <n v="2021130010181"/>
    <x v="1"/>
    <x v="17"/>
    <x v="51"/>
    <s v="2,3,2410,0600,2021130010181"/>
    <s v="813"/>
    <s v="1,3,3,11,03-93-138 R,B, DIVIDENDOS SOCIEDAD PORTUARIA"/>
    <s v="INV"/>
    <s v="NO"/>
    <s v="ASISTENCIA TECNICA AL PROYECTO DE ELABORACION DE ESTUDIOS Y DISE?OS AJUSTADOS DE LA VIA PERIMETRAL EN EL MARCO DEL PROGRAMA ORDENACION TERRITORIAL RECUPERACION SOCIAL AMBIENTAL URBANA DE LA CIENAGA DE LA VIRGEN DISTRITO DE CARTAGENA DE INDIAS"/>
    <x v="273"/>
    <s v="06"/>
    <s v="00"/>
    <n v="0"/>
    <n v="0"/>
    <n v="0"/>
    <n v="0"/>
    <n v="0"/>
    <n v="0"/>
    <n v="0"/>
    <n v="0"/>
    <n v="0"/>
    <n v="0"/>
    <n v="0"/>
  </r>
  <r>
    <n v="2022"/>
    <n v="100"/>
    <x v="15"/>
    <s v="SECRETARIA DE PLANEACION"/>
    <x v="15"/>
    <n v="2021130010181"/>
    <x v="1"/>
    <x v="17"/>
    <x v="51"/>
    <s v="2,3,2410,0600,2021130010181"/>
    <s v="001"/>
    <s v="1,2,1,0,00-001 - ICLD"/>
    <s v="INV"/>
    <s v="NO"/>
    <s v="ASISTENCIA TECNICA AL PROYECTO DE ELABORACION DE ESTUDIOS Y DISE?OS AJUSTADOS DE LA VIA PERIMETRAL EN EL MARCO DEL PROGRAMA ORDENACION TERRITORIAL RECUPERACION SOCIAL AMBIENTAL URBANA DE LA CIENAGA DE LA VIRGEN DISTRITO DE CARTAGENA DE INDIAS"/>
    <x v="273"/>
    <s v="06"/>
    <s v="00"/>
    <n v="320100000"/>
    <n v="0"/>
    <n v="320100000"/>
    <n v="320100000"/>
    <n v="0"/>
    <n v="320100000"/>
    <n v="100"/>
    <n v="315700000"/>
    <n v="98.63"/>
    <n v="0"/>
    <n v="307700000"/>
  </r>
  <r>
    <n v="2022"/>
    <n v="100"/>
    <x v="9"/>
    <s v="SECRETARIA DE PARTICIPACION Y DESARROLLO SOCIAL"/>
    <x v="9"/>
    <n v="2021130010182"/>
    <x v="1"/>
    <x v="16"/>
    <x v="106"/>
    <s v="2,3,4501,1000,2021130010182"/>
    <s v="001"/>
    <s v="1,2,1,0,00-001 - ICLD"/>
    <s v="INV"/>
    <s v="NO"/>
    <s v="SERVICIO DE ESTERILIZACION DE CANINOS Y FELINOS EN EL DISTRITO DE CARTAGENA-0 CARTAGENA DE INDIAS"/>
    <x v="274"/>
    <s v="06"/>
    <s v="00"/>
    <n v="105000000"/>
    <n v="0"/>
    <n v="105000000"/>
    <n v="104600000"/>
    <n v="400000"/>
    <n v="104231000"/>
    <n v="99.27"/>
    <n v="52045000"/>
    <n v="49.57"/>
    <n v="769000"/>
    <n v="52045000"/>
  </r>
  <r>
    <n v="2022"/>
    <n v="100"/>
    <x v="9"/>
    <s v="SECRETARIA DE PARTICIPACION Y DESARROLLO SOCIAL"/>
    <x v="9"/>
    <n v="2021130010183"/>
    <x v="3"/>
    <x v="21"/>
    <x v="107"/>
    <s v="2,3,1708,1100,2021130010183"/>
    <s v="001"/>
    <s v="1,2,1,0,00-001 - ICLD"/>
    <s v="INV"/>
    <s v="NO"/>
    <s v="PRESTACION DEL SERVICIO DE EXTENSION RURAL AGROPECUARIA A LOS PEQUE?OS PRODUCTORES ASENTADOS EN LA ZONA RURAL DEL DISTRITO DE CARTAGENA DE INDIAS "/>
    <x v="275"/>
    <s v="06"/>
    <s v="00"/>
    <n v="247796854"/>
    <n v="0"/>
    <n v="247796854"/>
    <n v="243834692"/>
    <n v="3962162"/>
    <n v="204650875"/>
    <n v="82.59"/>
    <n v="204650875"/>
    <n v="82.59"/>
    <n v="43145979"/>
    <n v="204650875"/>
  </r>
  <r>
    <n v="2022"/>
    <n v="100"/>
    <x v="17"/>
    <s v="SECRETARIA DE INFRAESTRUCTURA"/>
    <x v="17"/>
    <n v="2021130010184"/>
    <x v="1"/>
    <x v="18"/>
    <x v="108"/>
    <s v="2,3,3204,0900,2021130010184"/>
    <s v="863"/>
    <s v="1,3,3,4,16-93-002 R,B, OTRAS TASAS Y DERECHOS ADMINISTRATIVOS SOBRETASA ALCANTARILLADO"/>
    <s v="INV"/>
    <s v="NO"/>
    <s v="RECUPERACION Y APROVECHAMIENTO INTEGRAL DEL SISTEMA INTEGRAL DE CA?OS, LAGOS Y CIENAGAS DEL DISTRITO DE CARTAGENA DE INDIAS "/>
    <x v="276"/>
    <s v="06"/>
    <s v="00"/>
    <n v="0"/>
    <n v="797434.61"/>
    <n v="797434.61"/>
    <n v="797434"/>
    <n v="0.61"/>
    <n v="0"/>
    <n v="0"/>
    <n v="0"/>
    <n v="0"/>
    <n v="797434.61"/>
    <n v="0"/>
  </r>
  <r>
    <n v="2022"/>
    <n v="100"/>
    <x v="17"/>
    <s v="SECRETARIA DE INFRAESTRUCTURA"/>
    <x v="17"/>
    <n v="2021130010184"/>
    <x v="1"/>
    <x v="18"/>
    <x v="108"/>
    <s v="2,3,3204,0900,2021130010184"/>
    <s v="869"/>
    <s v="1,3,3,4,16-95-053 RB  OTRAS TASAS Y DERECHOS ADMINISTRATIVOS CONTRAPRESTACION PORTUARIA"/>
    <s v="INV"/>
    <s v="NO"/>
    <s v="RECUPERACION Y APROVECHAMIENTO INTEGRAL DEL SISTEMA INTEGRAL DE CA?OS, LAGOS Y CIENAGAS DEL DISTRITO DE CARTAGENA DE INDIAS"/>
    <x v="277"/>
    <s v="06"/>
    <s v="00"/>
    <n v="0"/>
    <n v="644031299"/>
    <n v="644031299"/>
    <n v="644031299"/>
    <n v="0"/>
    <n v="0"/>
    <n v="0"/>
    <n v="0"/>
    <n v="0"/>
    <n v="644031299"/>
    <n v="0"/>
  </r>
  <r>
    <n v="2022"/>
    <n v="100"/>
    <x v="17"/>
    <s v="SECRETARIA DE INFRAESTRUCTURA"/>
    <x v="17"/>
    <n v="2021130010184"/>
    <x v="1"/>
    <x v="18"/>
    <x v="108"/>
    <s v="2,3,3204,0900,2021130010184"/>
    <s v="814"/>
    <s v="1,3,3,11,03-95-062 - RB DIVIDENDOS ACUACAR"/>
    <s v="INV"/>
    <s v="NO"/>
    <s v="RECUPERACION Y APROVECHAMIENTO INTEGRAL DEL SISTEMA INTEGRAL DE CA?OS, LAGOS Y CIENAGAS DEL DISTRITO DE CARTAGENA DE INDIAS "/>
    <x v="276"/>
    <s v="06"/>
    <s v="00"/>
    <n v="0"/>
    <n v="567844209"/>
    <n v="567844209"/>
    <n v="567844209"/>
    <n v="0"/>
    <n v="0"/>
    <n v="0"/>
    <n v="0"/>
    <n v="0"/>
    <n v="567844209"/>
    <n v="0"/>
  </r>
  <r>
    <n v="2022"/>
    <n v="100"/>
    <x v="17"/>
    <s v="SECRETARIA DE INFRAESTRUCTURA"/>
    <x v="17"/>
    <n v="2021130010184"/>
    <x v="1"/>
    <x v="18"/>
    <x v="108"/>
    <s v="2,3,3204,0900,2021130010184"/>
    <s v="818"/>
    <s v="1,3,3,11,05-91-018 R,B, RECURSOS DE CREDITO INTERNO"/>
    <s v="INV"/>
    <s v="NO"/>
    <s v="RECUPERACION Y APROVECHAMIENTO INTEGRAL DEL SISTEMA INTEGRAL DE CA?OS, LAGOS Y CIENAGAS DEL DISTRITO DE CARTAGENA DE INDIAS "/>
    <x v="276"/>
    <s v="06"/>
    <s v="00"/>
    <n v="0"/>
    <n v="14999983683"/>
    <n v="14999983683"/>
    <n v="14999983683"/>
    <n v="0"/>
    <n v="14999983683"/>
    <n v="100"/>
    <n v="9918779967"/>
    <n v="66.13"/>
    <n v="0"/>
    <n v="9918779967"/>
  </r>
  <r>
    <n v="2022"/>
    <n v="100"/>
    <x v="17"/>
    <s v="SECRETARIA DE INFRAESTRUCTURA"/>
    <x v="17"/>
    <n v="2021130010184"/>
    <x v="1"/>
    <x v="18"/>
    <x v="108"/>
    <s v="2,3,3204,0900,2021130010184"/>
    <s v="138"/>
    <s v="1,3,1,1,03-138 - DIVIDENDOS SOCIEDAD PORTUARIA"/>
    <s v="INV"/>
    <s v="NO"/>
    <s v="RECUPERACION Y APROVECHAMIENTO INTEGRAL DEL SISTEMA INTEGRAL DE CA?OS, LAGOS Y CIENAGAS DEL DISTRITO DE CARTAGENA DE INDIAS "/>
    <x v="276"/>
    <s v="06"/>
    <s v="00"/>
    <n v="1000000000"/>
    <n v="-400000000"/>
    <n v="600000000"/>
    <n v="600000000"/>
    <n v="0"/>
    <n v="932158"/>
    <n v="0.16"/>
    <n v="932158"/>
    <n v="0.16"/>
    <n v="599067842"/>
    <n v="932158"/>
  </r>
  <r>
    <n v="2022"/>
    <n v="100"/>
    <x v="17"/>
    <s v="SECRETARIA DE INFRAESTRUCTURA"/>
    <x v="17"/>
    <n v="2021130010184"/>
    <x v="1"/>
    <x v="18"/>
    <x v="108"/>
    <s v="2,3,3204,0900,2021130010184"/>
    <s v="001"/>
    <s v="1,2,1,0,00-001 - ICLD"/>
    <s v="INV"/>
    <s v="NO"/>
    <s v="RECUPERACION Y APROVECHAMIENTO INTEGRAL DEL SISTEMA INTEGRAL DE CA?OS, LAGOS Y CIENAGAS DEL DISTRITO DE CARTAGENA DE INDIAS "/>
    <x v="276"/>
    <s v="06"/>
    <s v="00"/>
    <n v="1000000000"/>
    <n v="171652768"/>
    <n v="1171652768"/>
    <n v="1171652767.3399999"/>
    <n v="0.66"/>
    <n v="863252936.00999999"/>
    <n v="73.680000000000007"/>
    <n v="519237074.00999999"/>
    <n v="44.32"/>
    <n v="308399831.99000001"/>
    <n v="511287074.00999999"/>
  </r>
  <r>
    <n v="2022"/>
    <n v="100"/>
    <x v="17"/>
    <s v="SECRETARIA DE INFRAESTRUCTURA"/>
    <x v="17"/>
    <n v="2021130010184"/>
    <x v="1"/>
    <x v="18"/>
    <x v="108"/>
    <s v="2,3,3204,0900,2021130010184"/>
    <s v="867"/>
    <s v="1,3,3,4,16-95-002 R,B, OTRAS TASAS Y DERECHOS ADMINISTRATIVOS SOBRETASA ALCANTARILLADO"/>
    <s v="INV"/>
    <s v="NO"/>
    <s v="RECUPERACION Y APROVECHAMIENTO INTEGRAL DEL SISTEMA INTEGRAL DE CA?OS, LAGOS Y CIENAGAS DEL DISTRITO DE CARTAGENA DE INDIAS "/>
    <x v="276"/>
    <s v="06"/>
    <s v="00"/>
    <n v="0"/>
    <n v="106911"/>
    <n v="106911"/>
    <n v="106911"/>
    <n v="0"/>
    <n v="0"/>
    <n v="0"/>
    <n v="0"/>
    <n v="0"/>
    <n v="106911"/>
    <n v="0"/>
  </r>
  <r>
    <n v="2022"/>
    <n v="100"/>
    <x v="9"/>
    <s v="SECRETARIA DE PARTICIPACION Y DESARROLLO SOCIAL"/>
    <x v="9"/>
    <n v="2021130010185"/>
    <x v="1"/>
    <x v="16"/>
    <x v="106"/>
    <s v="2,3,4501,1000,2021130010185"/>
    <s v="001"/>
    <s v="1,2,1,0,00-001 - ICLD"/>
    <s v="INV"/>
    <s v="NO"/>
    <s v="IMPLEMENTACION PROYECTO DE ATENCION Y PROTECCION ANIMAL - VEHICULOS DE TRACCION ANIMAL CARTAGENA DE INDIAS"/>
    <x v="278"/>
    <s v="06"/>
    <s v="00"/>
    <n v="350000000"/>
    <n v="0"/>
    <n v="350000000"/>
    <n v="349790107"/>
    <n v="209893"/>
    <n v="342758966.19"/>
    <n v="97.93"/>
    <n v="246495149.19"/>
    <n v="70.430000000000007"/>
    <n v="7241033.8099999996"/>
    <n v="205245149.19"/>
  </r>
  <r>
    <n v="2022"/>
    <n v="100"/>
    <x v="9"/>
    <s v="SECRETARIA DE PARTICIPACION Y DESARROLLO SOCIAL"/>
    <x v="9"/>
    <n v="2021130010186"/>
    <x v="3"/>
    <x v="11"/>
    <x v="109"/>
    <s v="2,3,1702,1100,2021130010186"/>
    <s v="001"/>
    <s v="1,2,1,0,00-001 - ICLD"/>
    <s v="INV"/>
    <s v="NO"/>
    <s v="ASISTENCIA CARTAGENA EMPRENDEDORA PARA PEQUE?OS PRODUCTORES RURALES CARTAGENA DE INDIAS"/>
    <x v="279"/>
    <s v="06"/>
    <s v="00"/>
    <n v="95000000"/>
    <n v="0"/>
    <n v="95000000"/>
    <n v="90000000"/>
    <n v="5000000"/>
    <n v="87500000"/>
    <n v="92.11"/>
    <n v="15000000"/>
    <n v="15.79"/>
    <n v="7500000"/>
    <n v="15000000"/>
  </r>
  <r>
    <n v="2022"/>
    <n v="100"/>
    <x v="9"/>
    <s v="SECRETARIA DE PARTICIPACION Y DESARROLLO SOCIAL"/>
    <x v="9"/>
    <n v="2021130010187"/>
    <x v="4"/>
    <x v="25"/>
    <x v="110"/>
    <s v="2,3,1702,1100,2021130010187"/>
    <s v="001"/>
    <s v="1,2,1,0,00-001 - ICLD"/>
    <s v="INV"/>
    <s v="NO"/>
    <s v="FORTALECIMIENTO DOTACION Y CAPACITACION A ORGANIZADORES DE PESCADORES PERTENECIENTES A GRUPOS ETNICOS AFRO CARTAGENA DE INDIAS "/>
    <x v="280"/>
    <s v="06"/>
    <s v="00"/>
    <n v="64000000"/>
    <n v="0"/>
    <n v="64000000"/>
    <n v="64000000"/>
    <n v="0"/>
    <n v="64000000"/>
    <n v="100"/>
    <n v="64000000"/>
    <n v="100"/>
    <n v="0"/>
    <n v="64000000"/>
  </r>
  <r>
    <n v="2022"/>
    <n v="100"/>
    <x v="9"/>
    <s v="SECRETARIA DE PARTICIPACION Y DESARROLLO SOCIAL"/>
    <x v="9"/>
    <n v="2021130010188"/>
    <x v="4"/>
    <x v="23"/>
    <x v="111"/>
    <s v="2,3,4104,1500,2021130010188"/>
    <s v="001"/>
    <s v="1,2,1,0,00-001 - ICLD"/>
    <s v="INV"/>
    <s v="NO"/>
    <s v="APOYO INTEGRAL PARA EL DESARROLLO HUMANO A LAS PERSONAS HABITANTES DE CALLE EN CARTAGENA DE INDIAS"/>
    <x v="281"/>
    <s v="06"/>
    <s v="00"/>
    <n v="500000000"/>
    <n v="0"/>
    <n v="500000000"/>
    <n v="485155964"/>
    <n v="14844036"/>
    <n v="443562200"/>
    <n v="88.71"/>
    <n v="442512200"/>
    <n v="88.5"/>
    <n v="56437800"/>
    <n v="327328000"/>
  </r>
  <r>
    <n v="2022"/>
    <n v="100"/>
    <x v="13"/>
    <s v="SECRETARIA GENERAL"/>
    <x v="13"/>
    <n v="2021130010189"/>
    <x v="0"/>
    <x v="27"/>
    <x v="112"/>
    <s v="2,3,4599,1000,2021130010189"/>
    <s v="001"/>
    <s v="1,2,1,0,00-001 - ICLD"/>
    <s v="INV"/>
    <s v="NO"/>
    <s v="TRANSFORMACION DIGITAL PARA UNA CARTAGENA INTELIGENTE CON TODOS Y PARA TODOS CARTAGENA DE INDIAS"/>
    <x v="282"/>
    <s v="06"/>
    <s v="00"/>
    <n v="615384616"/>
    <n v="0"/>
    <n v="615384616"/>
    <n v="608918000"/>
    <n v="6466616"/>
    <n v="538865005"/>
    <n v="87.57"/>
    <n v="363166333"/>
    <n v="59.01"/>
    <n v="76519611"/>
    <n v="325033000"/>
  </r>
  <r>
    <n v="2022"/>
    <n v="100"/>
    <x v="13"/>
    <s v="SECRETARIA GENERAL"/>
    <x v="13"/>
    <n v="2021130010190"/>
    <x v="3"/>
    <x v="11"/>
    <x v="113"/>
    <s v="2,3,4599,1000,2021130010190"/>
    <s v="883"/>
    <s v="1,3,3,4,21-93-041 R,B, VENTA DE SERVICIOS MERCADO BAZURTO"/>
    <s v="INV"/>
    <s v="NO"/>
    <s v="FORTALECIMIENTO DEL SISTEMA INTEGRADO DE MERCADOS PUBLICOS MEDIANTE EL DESARROLLO DE ACTIVIDADES Y/O ACTUACIONES ADMINISTRATIVAS, OPERATIVAS, JURIDICAS, CONTRACTUALES Y AMBIENTALES EN EL DISTRITO DE CARTAGENA DE INDIAS"/>
    <x v="283"/>
    <s v="06"/>
    <s v="00"/>
    <n v="0"/>
    <n v="10544269.199999999"/>
    <n v="10544269.199999999"/>
    <n v="10544269"/>
    <n v="0.2"/>
    <n v="0"/>
    <n v="0"/>
    <n v="0"/>
    <n v="0"/>
    <n v="10544269.199999999"/>
    <n v="0"/>
  </r>
  <r>
    <n v="2022"/>
    <n v="100"/>
    <x v="13"/>
    <s v="SECRETARIA GENERAL"/>
    <x v="13"/>
    <n v="2021130010190"/>
    <x v="3"/>
    <x v="11"/>
    <x v="113"/>
    <s v="2,3,4599,1000,2021130010190"/>
    <s v="887"/>
    <s v="1,3,3,4,21-95-041 R,B, VENTA DE SERVICIOS MERCADO BAZURTO"/>
    <s v="INV"/>
    <s v="NO"/>
    <s v="FORTALECIMIENTO DEL SISTEMA INTEGRADO DE MERCADOS PUBLICOS MEDIANTE EL DESARROLLO DE ACTIVIDADES Y/O ACTUACIONES ADMINISTRATIVAS, OPERATIVAS, JURIDICAS, CONTRACTUALES Y AMBIENTALES EN EL DISTRITO DE CARTAGENA DE INDIAS"/>
    <x v="283"/>
    <s v="06"/>
    <s v="00"/>
    <n v="0"/>
    <n v="22316024.690000001"/>
    <n v="22316024.690000001"/>
    <n v="22316024.690000001"/>
    <n v="0"/>
    <n v="0"/>
    <n v="0"/>
    <n v="0"/>
    <n v="0"/>
    <n v="22316024.690000001"/>
    <n v="0"/>
  </r>
  <r>
    <n v="2022"/>
    <n v="100"/>
    <x v="13"/>
    <s v="SECRETARIA GENERAL"/>
    <x v="13"/>
    <n v="2021130010190"/>
    <x v="3"/>
    <x v="11"/>
    <x v="113"/>
    <s v="2,3,4599,1000,2021130010190"/>
    <s v="922"/>
    <s v="1,3,3,8,03-95-070 R,B, SGP-PROPOSITO GENERAL-PROPOSITO GENERAL LIBRE INVERSION"/>
    <s v="INV"/>
    <s v="NO"/>
    <s v="FORTALECIMIENTO DEL SISTEMA INTEGRADO DE MERCADOS PUBLICOS MEDIANTE EL DESARROLLO DE ACTIVIDADES Y/O ACTUACIONES ADMINISTRATIVAS, OPERATIVAS, JURIDICAS, CONTRACTUALES Y AMBIENTALES EN EL DISTRITO DE CARTAGENA DE INDIAS"/>
    <x v="283"/>
    <s v="06"/>
    <s v="00"/>
    <n v="0"/>
    <n v="2694835"/>
    <n v="2694835"/>
    <n v="0"/>
    <n v="2694835"/>
    <n v="0"/>
    <n v="0"/>
    <n v="0"/>
    <n v="0"/>
    <n v="2694835"/>
    <n v="0"/>
  </r>
  <r>
    <n v="2022"/>
    <n v="100"/>
    <x v="13"/>
    <s v="SECRETARIA GENERAL"/>
    <x v="13"/>
    <n v="2021130010190"/>
    <x v="3"/>
    <x v="11"/>
    <x v="113"/>
    <s v="2,3,4599,1000,2021130010190"/>
    <s v="070"/>
    <s v="1,2,4,3,03-070 - SGP LIBRE INVERSION"/>
    <s v="INV"/>
    <s v="NO"/>
    <s v="FORTALECIMIENTO DEL SISTEMA INTEGRADO DE MERCADOS PUBLICOS MEDIANTE EL DESARROLLO DE ACTIVIDADES Y/O ACTUACIONES ADMINISTRATIVAS, OPERATIVAS, JURIDICAS, CONTRACTUALES Y AMBIENTALES EN EL DISTRITO DE CARTAGENA DE INDIAS"/>
    <x v="283"/>
    <s v="06"/>
    <s v="00"/>
    <n v="1026000000"/>
    <n v="0"/>
    <n v="1026000000"/>
    <n v="1017277335.3099999"/>
    <n v="8722664.6899999995"/>
    <n v="983605805"/>
    <n v="95.87"/>
    <n v="756619850"/>
    <n v="73.739999999999995"/>
    <n v="42394195"/>
    <n v="680957865"/>
  </r>
  <r>
    <n v="2022"/>
    <n v="100"/>
    <x v="13"/>
    <s v="SECRETARIA GENERAL"/>
    <x v="13"/>
    <n v="2021130010190"/>
    <x v="3"/>
    <x v="11"/>
    <x v="113"/>
    <s v="2,3,4599,1000,2021130010190"/>
    <s v="001"/>
    <s v="1,2,1,0,00-001 - ICLD"/>
    <s v="INV"/>
    <s v="NO"/>
    <s v="FORTALECIMIENTO DEL SISTEMA INTEGRADO DE MERCADOS PUBLICOS MEDIANTE EL DESARROLLO DE ACTIVIDADES Y/O ACTUACIONES ADMINISTRATIVAS, OPERATIVAS, JURIDICAS, CONTRACTUALES Y AMBIENTALES EN EL DISTRITO DE CARTAGENA DE INDIAS"/>
    <x v="283"/>
    <s v="06"/>
    <s v="00"/>
    <n v="1100000000"/>
    <n v="0"/>
    <n v="1100000000"/>
    <n v="1100000000"/>
    <n v="0"/>
    <n v="1041583333"/>
    <n v="94.69"/>
    <n v="1032583333"/>
    <n v="93.87"/>
    <n v="58416667"/>
    <n v="1022913333"/>
  </r>
  <r>
    <n v="2022"/>
    <n v="100"/>
    <x v="11"/>
    <s v="ESTABLECIMIENTO PUBLICO AMBIENTAL-EPA"/>
    <x v="11"/>
    <n v="2021130010191"/>
    <x v="1"/>
    <x v="16"/>
    <x v="55"/>
    <s v="2,3,3202,0900,2021130010191"/>
    <s v="935"/>
    <s v="1,3,3,4,02-93-031- R,B, CONTRIBUCION DEL SECTOR ELECTRICO"/>
    <s v="INV"/>
    <s v="NO"/>
    <s v="IMPLEMENTACION DE UN SISTEMA DE ARBOLADO URBANO EN LA CIUDAD DE CARTAGENA DE INDIAS,"/>
    <x v="284"/>
    <s v="06"/>
    <s v="00"/>
    <n v="0"/>
    <n v="320944284.29000002"/>
    <n v="320944284.29000002"/>
    <n v="0"/>
    <n v="320944284.29000002"/>
    <n v="0"/>
    <n v="0"/>
    <n v="0"/>
    <n v="0"/>
    <n v="320944284.29000002"/>
    <n v="0"/>
  </r>
  <r>
    <n v="2022"/>
    <n v="100"/>
    <x v="11"/>
    <s v="ESTABLECIMIENTO PUBLICO AMBIENTAL-EPA"/>
    <x v="11"/>
    <n v="2021130010191"/>
    <x v="1"/>
    <x v="16"/>
    <x v="55"/>
    <s v="2,3,3202,0900,2021130010191"/>
    <s v="001"/>
    <s v="1,2,1,0,00-001 - ICLD"/>
    <s v="INV"/>
    <s v="NO"/>
    <s v="IMPLEMENTACION DE UN SISTEMA DE ARBOLADO URBANO EN LA CIUDAD DE  CARTAGENA DE INDIAS"/>
    <x v="285"/>
    <s v="06"/>
    <s v="00"/>
    <n v="1000000000"/>
    <n v="0"/>
    <n v="1000000000"/>
    <n v="1000000000"/>
    <n v="0"/>
    <n v="1000000000"/>
    <n v="100"/>
    <n v="1000000000"/>
    <n v="100"/>
    <n v="0"/>
    <n v="1000000000"/>
  </r>
  <r>
    <n v="2022"/>
    <n v="100"/>
    <x v="19"/>
    <s v="DISTRISEGURIDAD"/>
    <x v="19"/>
    <n v="2021130010192"/>
    <x v="0"/>
    <x v="1"/>
    <x v="114"/>
    <s v="2,3,4501,1000,2021130010192"/>
    <s v="932"/>
    <s v="1,3,3,1,00-95-001 RB DE LIBRE DESTINACION"/>
    <s v="INV"/>
    <s v="NO"/>
    <s v="FORTALECIMIENTO LOGISTICO PARA LA SEGURIDAD, CONVIVENCIA, JUSTICIA Y SOCORRO EN CARTAGENA DE INDIAS"/>
    <x v="286"/>
    <s v="06"/>
    <s v="00"/>
    <n v="0"/>
    <n v="25100000"/>
    <n v="25100000"/>
    <n v="0"/>
    <n v="25100000"/>
    <n v="0"/>
    <n v="0"/>
    <n v="0"/>
    <n v="0"/>
    <n v="25100000"/>
    <n v="0"/>
  </r>
  <r>
    <n v="2022"/>
    <n v="100"/>
    <x v="19"/>
    <s v="DISTRISEGURIDAD"/>
    <x v="19"/>
    <n v="2021130010192"/>
    <x v="0"/>
    <x v="1"/>
    <x v="114"/>
    <s v="2,3,4501,1000,2021130010192"/>
    <s v="838"/>
    <s v="1,3,3,2,00-95-051 RB ICDE DISTRISEGURIDAD 1% IPU"/>
    <s v="INV"/>
    <s v="NO"/>
    <s v="FORTALECIMIENTO LOGISTICO PARA LA SEGURIDAD, CONVIVENCIA, JUSTICIA Y SOCORRO EN CARTAGENA DE INDIAS"/>
    <x v="286"/>
    <s v="06"/>
    <s v="00"/>
    <n v="0"/>
    <n v="61574978"/>
    <n v="61574978"/>
    <n v="0"/>
    <n v="61574978"/>
    <n v="0"/>
    <n v="0"/>
    <n v="0"/>
    <n v="0"/>
    <n v="61574978"/>
    <n v="0"/>
  </r>
  <r>
    <n v="2022"/>
    <n v="100"/>
    <x v="19"/>
    <s v="DISTRISEGURIDAD"/>
    <x v="19"/>
    <n v="2021130010192"/>
    <x v="0"/>
    <x v="1"/>
    <x v="114"/>
    <s v="2,3,4501,1000,2021130010192"/>
    <s v="836"/>
    <s v="1,3,3,2,00-95-037 RECURSOS DEL BALANCE DE DESTINACION ESPECIFICA POR ACTO ADMINISTRATIVO RF ICLD"/>
    <s v="INV"/>
    <s v="NO"/>
    <s v="FORTALECIMIENTO LOGISTICO PARA LA SEGURIDAD, CONVIVENCIA, JUSTICIA Y SOCORRO EN CARTAGENA DE INDIAS CARTAGENA DE INDIAS"/>
    <x v="287"/>
    <s v="06"/>
    <s v="00"/>
    <n v="0"/>
    <n v="1813487101"/>
    <n v="1813487101"/>
    <n v="1813487101"/>
    <n v="0"/>
    <n v="1813487101"/>
    <n v="100"/>
    <n v="1813487101"/>
    <n v="100"/>
    <n v="0"/>
    <n v="1813487101"/>
  </r>
  <r>
    <n v="2022"/>
    <n v="100"/>
    <x v="19"/>
    <s v="DISTRISEGURIDAD"/>
    <x v="19"/>
    <n v="2021130010192"/>
    <x v="0"/>
    <x v="1"/>
    <x v="114"/>
    <s v="2,3,4501,1000,2021130010192"/>
    <s v="816"/>
    <s v="1,3,3,11,03-95-138 R,B, DIVIDENDOS SOCIEDAD PORTUARIA"/>
    <s v="INV"/>
    <s v="NO"/>
    <s v="FORTALECIMIENTO LOGISTICO PARA LA SEGURIDAD, CONVIVENCIA, JUSTICIA Y SOCORRO EN CARTAGENA DE INDIAS"/>
    <x v="286"/>
    <s v="06"/>
    <s v="00"/>
    <n v="0"/>
    <n v="1123458631"/>
    <n v="1123458631"/>
    <n v="0"/>
    <n v="1123458631"/>
    <n v="0"/>
    <n v="0"/>
    <n v="0"/>
    <n v="0"/>
    <n v="1123458631"/>
    <n v="0"/>
  </r>
  <r>
    <n v="2022"/>
    <n v="100"/>
    <x v="19"/>
    <s v="DISTRISEGURIDAD"/>
    <x v="19"/>
    <n v="2021130010192"/>
    <x v="0"/>
    <x v="1"/>
    <x v="114"/>
    <s v="2,3,4501,1000,2021130010192"/>
    <s v="085"/>
    <s v="1,2,2,0,00-085 - ICDE DISTRISEGURIDAD 10% DELINEACION URBANA"/>
    <s v="INV"/>
    <s v="NO"/>
    <s v="FORTALECIMIENTO LOGISTICO PARA LA SEGURIDAD, CONVIVENCIA, JUSTICIA Y SOCORRO EN  CARTAGENA DE INDIAS  CARTAGENA DE INDIAS"/>
    <x v="288"/>
    <s v="06"/>
    <s v="00"/>
    <n v="218458917"/>
    <n v="0"/>
    <n v="218458917"/>
    <n v="218458917"/>
    <n v="0"/>
    <n v="218458917"/>
    <n v="100"/>
    <n v="218458917"/>
    <n v="100"/>
    <n v="0"/>
    <n v="218458917"/>
  </r>
  <r>
    <n v="2022"/>
    <n v="100"/>
    <x v="19"/>
    <s v="DISTRISEGURIDAD"/>
    <x v="19"/>
    <n v="2021130010192"/>
    <x v="0"/>
    <x v="1"/>
    <x v="114"/>
    <s v="2,3,4501,1000,2021130010192"/>
    <s v="051"/>
    <s v="1,2,2,0,00-051 - ICDE DISTRISEGURIDAD 1% IPU"/>
    <s v="INV"/>
    <s v="NO"/>
    <s v="FORTALECIMIENTO LOGISTICO PARA LA SEGURIDAD, CONVIVENCIA, JUSTICIA Y SOCORRO EN  CARTAGENA DE INDIAS  CARTAGENA DE INDIAS"/>
    <x v="288"/>
    <s v="06"/>
    <s v="00"/>
    <n v="672057018"/>
    <n v="0"/>
    <n v="672057018"/>
    <n v="519662073.18000001"/>
    <n v="152394944.81999999"/>
    <n v="517159093.57999998"/>
    <n v="76.95"/>
    <n v="517159093.57999998"/>
    <n v="76.95"/>
    <n v="154897924.41999999"/>
    <n v="517159093.57999998"/>
  </r>
  <r>
    <n v="2022"/>
    <n v="100"/>
    <x v="19"/>
    <s v="DISTRISEGURIDAD"/>
    <x v="19"/>
    <n v="2021130010192"/>
    <x v="0"/>
    <x v="1"/>
    <x v="114"/>
    <s v="2,3,4501,1000,2021130010192"/>
    <s v="037"/>
    <s v="1,3,2,3,05-037 - OTROS RENDIMIENTOS FINANCIEROS ICLD"/>
    <s v="INV"/>
    <s v="NO"/>
    <s v="FORTALECIMIENTO LOGISTICO PARA LA SEGURIDAD, CONVIVENCIA, JUSTICIA Y SOCORRO EN  CARTAGENA DE INDIAS  CARTAGENA DE INDIAS"/>
    <x v="288"/>
    <s v="06"/>
    <s v="00"/>
    <n v="767651528"/>
    <n v="0"/>
    <n v="767651528"/>
    <n v="767651518.04999995"/>
    <n v="9.9499999999999993"/>
    <n v="767651518.04999995"/>
    <n v="100"/>
    <n v="767651518.04999995"/>
    <n v="100"/>
    <n v="9.9499999999999993"/>
    <n v="767651518.04999995"/>
  </r>
  <r>
    <n v="2022"/>
    <n v="100"/>
    <x v="13"/>
    <s v="SECRETARIA GENERAL"/>
    <x v="13"/>
    <n v="2021130010193"/>
    <x v="3"/>
    <x v="11"/>
    <x v="115"/>
    <s v="2,3,4599,1000,2021130010193"/>
    <s v="001"/>
    <s v="1,2,1,0,00-001 - ICLD"/>
    <s v="INV"/>
    <s v="NO"/>
    <s v="FORMULACION PLAN DE INTERNACIONALIZACION DE CARTAGENA DE INDIAS"/>
    <x v="289"/>
    <s v="06"/>
    <s v="00"/>
    <n v="11974651"/>
    <n v="0"/>
    <n v="11974651"/>
    <n v="10000000"/>
    <n v="1974651"/>
    <n v="0"/>
    <n v="0"/>
    <n v="0"/>
    <n v="0"/>
    <n v="11974651"/>
    <n v="0"/>
  </r>
  <r>
    <n v="2022"/>
    <n v="100"/>
    <x v="15"/>
    <s v="SECRETARIA DE PLANEACION"/>
    <x v="15"/>
    <n v="2021130010194"/>
    <x v="1"/>
    <x v="18"/>
    <x v="108"/>
    <s v="2,3,3205,0900,2021130010194"/>
    <s v="816"/>
    <s v="1,3,3,11,03-95-138 R,B, DIVIDENDOS SOCIEDAD PORTUARIA"/>
    <s v="INV"/>
    <s v="NO"/>
    <s v="ASISTENCIA NUEVO PROYECTO DE CA?OS LAGOS LAGUNAS Y CIENAGAS DEL DISTRITO DE  CARTAGENA DE INDIAS"/>
    <x v="290"/>
    <s v="06"/>
    <s v="00"/>
    <n v="0"/>
    <n v="0.44"/>
    <n v="0.44"/>
    <n v="0"/>
    <n v="0.44"/>
    <n v="0"/>
    <n v="0"/>
    <n v="0"/>
    <n v="0"/>
    <n v="0.44"/>
    <n v="0"/>
  </r>
  <r>
    <n v="2022"/>
    <n v="100"/>
    <x v="15"/>
    <s v="SECRETARIA DE PLANEACION"/>
    <x v="15"/>
    <n v="2021130010194"/>
    <x v="1"/>
    <x v="18"/>
    <x v="108"/>
    <s v="2,3,3205,0900,2021130010194"/>
    <s v="070"/>
    <s v="1,2,4,3,03-070 - SGP LIBRE INVERSION"/>
    <s v="INV"/>
    <s v="NO"/>
    <s v="ASISTENCIA NUEVO PROYECTO DE CA?OS LAGOS LAGUNAS Y CIENAGAS DEL DISTRITO DE  CARTAGENA DE INDIAS"/>
    <x v="290"/>
    <s v="06"/>
    <s v="00"/>
    <n v="5369584259"/>
    <n v="-69584258"/>
    <n v="5300000001"/>
    <n v="2000000000"/>
    <n v="3300000001"/>
    <n v="2000000000"/>
    <n v="37.74"/>
    <n v="0"/>
    <n v="0"/>
    <n v="3300000001"/>
    <n v="0"/>
  </r>
  <r>
    <n v="2022"/>
    <n v="100"/>
    <x v="15"/>
    <s v="SECRETARIA DE PLANEACION"/>
    <x v="15"/>
    <n v="2021130010194"/>
    <x v="1"/>
    <x v="18"/>
    <x v="108"/>
    <s v="2,3,3205,0900,2021130010194"/>
    <s v="001"/>
    <s v="1,2,1,0,00-001 - ICLD"/>
    <s v="INV"/>
    <s v="NO"/>
    <s v="ASISTENCIA NUEVO PROYECTO DE CA?OS LAGOS LAGUNAS Y CIENAGAS DEL DISTRITO DE  CARTAGENA DE INDIAS"/>
    <x v="290"/>
    <s v="06"/>
    <s v="00"/>
    <n v="2086215741"/>
    <n v="-1850815741"/>
    <n v="235400000"/>
    <n v="194200000"/>
    <n v="41200000"/>
    <n v="194200000"/>
    <n v="82.5"/>
    <n v="188400000"/>
    <n v="80.03"/>
    <n v="41200000"/>
    <n v="176800000"/>
  </r>
  <r>
    <n v="2022"/>
    <n v="100"/>
    <x v="13"/>
    <s v="SECRETARIA GENERAL"/>
    <x v="13"/>
    <n v="2021130010195"/>
    <x v="1"/>
    <x v="20"/>
    <x v="116"/>
    <s v="2,3,2102,1900,2021130010195"/>
    <s v="162"/>
    <s v="1,3,2,3,05-162 - OTROS RENDIMIENTOS FINANCIEROS ALUMBRADO PUBLICO"/>
    <s v="INV"/>
    <s v="NO"/>
    <s v="IMPLEMENTACION DE LA OPTIMIZACION DEL SERVICIO DE ALUMBRADO PUBLICO Y EL SUMINISTRO DE ENERGIA PARA EL SISTEMA, EN EL DISTRITO DE CARTAGENA DE INDIAS"/>
    <x v="291"/>
    <s v="06"/>
    <s v="00"/>
    <n v="1"/>
    <n v="0"/>
    <n v="1"/>
    <n v="0"/>
    <n v="1"/>
    <n v="0"/>
    <n v="0"/>
    <n v="0"/>
    <n v="0"/>
    <n v="1"/>
    <n v="0"/>
  </r>
  <r>
    <n v="2022"/>
    <n v="100"/>
    <x v="13"/>
    <s v="SECRETARIA GENERAL"/>
    <x v="13"/>
    <n v="2021130010195"/>
    <x v="1"/>
    <x v="20"/>
    <x v="116"/>
    <s v="2,3,2102,1900,2021130010195"/>
    <s v="900"/>
    <s v="1,3,3,3,14-95-121 R,B, IMPUESTO DE ALUMBRADO PUBLICO"/>
    <s v="INV"/>
    <s v="NO"/>
    <s v="IMPLEMENTACION DE LA OPTIMIZACION DEL SERVICIO DE ALUMBRADO PUBLICO Y EL SUMINISTRO DE ENERGIA PARA EL SISTEMA, EN EL DISTRITO DE CARTAGENA DE INDIAS "/>
    <x v="292"/>
    <s v="06"/>
    <s v="00"/>
    <n v="0"/>
    <n v="8628392708.4300003"/>
    <n v="8628392708.4300003"/>
    <n v="8628392708.2600002"/>
    <n v="0.17"/>
    <n v="8628392708.2600002"/>
    <n v="100"/>
    <n v="5072959648.2600002"/>
    <n v="58.79"/>
    <n v="0.17"/>
    <n v="5072959648.2600002"/>
  </r>
  <r>
    <n v="2022"/>
    <n v="100"/>
    <x v="13"/>
    <s v="SECRETARIA GENERAL"/>
    <x v="13"/>
    <n v="2021130010195"/>
    <x v="1"/>
    <x v="20"/>
    <x v="116"/>
    <s v="2,3,2102,1900,2021130010195"/>
    <s v="121"/>
    <s v="1,2,3,1,14-121 - IMPUESTO DE ALUMBRADO PUBLICO"/>
    <s v="INV"/>
    <s v="NO"/>
    <s v="IMPLEMENTACION DE LA OPTIMIZACION DEL SERVICIO DE ALUMBRADO PUBLICO Y EL SUMINISTRO DE ENERGIA PARA EL SISTEMA, EN EL DISTRITO DE CARTAGENA DE INDIAS"/>
    <x v="291"/>
    <s v="06"/>
    <s v="00"/>
    <n v="42938198436"/>
    <n v="22641269780"/>
    <n v="65579468216"/>
    <n v="52860936876"/>
    <n v="12718531340"/>
    <n v="52796742504.739998"/>
    <n v="80.510000000000005"/>
    <n v="45448250211.739998"/>
    <n v="69.3"/>
    <n v="12782725711.26"/>
    <n v="40299757918.739998"/>
  </r>
  <r>
    <n v="2022"/>
    <n v="100"/>
    <x v="13"/>
    <s v="SECRETARIA GENERAL"/>
    <x v="13"/>
    <n v="2021130010196"/>
    <x v="1"/>
    <x v="20"/>
    <x v="63"/>
    <s v="2,3,4003,1400,2021130010196"/>
    <s v="180"/>
    <s v="1,2,3,1,18-180 - SOBRETASA DE SOLIDARIDAD SERVICIOS PUBLICOS ACUEDUCTO, ASEO Y ALCANTARILLADO"/>
    <s v="INV"/>
    <s v="NO"/>
    <s v="ADMINISTRACION DEL FONDO DE SOLIDARIDAD Y REDISTRIBUCION DEL INGRESOS PARA LOS SERVICIOS PUBLICOS DOMICILIARIOS DE ACUEDUCTO, ALCANTARILLADO Y ASEO EN EL DISTRITO DE CARTAGENA DE INDIAS"/>
    <x v="293"/>
    <s v="06"/>
    <s v="00"/>
    <n v="71585470658"/>
    <n v="0"/>
    <n v="71585470658"/>
    <n v="71585470657.259995"/>
    <n v="0.74"/>
    <n v="71585470656.350006"/>
    <n v="100"/>
    <n v="61669298108.639999"/>
    <n v="86.15"/>
    <n v="1.65"/>
    <n v="61669298108.639999"/>
  </r>
  <r>
    <n v="2022"/>
    <n v="100"/>
    <x v="13"/>
    <s v="SECRETARIA GENERAL"/>
    <x v="13"/>
    <n v="2021130010196"/>
    <x v="1"/>
    <x v="20"/>
    <x v="63"/>
    <s v="2,3,4003,1400,2021130010196"/>
    <s v="804"/>
    <s v="1,3,1,1,11-001 - REINTEGRO ICLD"/>
    <s v="INV"/>
    <s v="NO"/>
    <s v="ADMINISTRACION DEL FONDO DE SOLIDARIDAD Y REDISTRIBUCION DEL INGRESOS PARA LOS SERVICIOS PUBLICOS DOMICILIARIOS DE ACUEDUCTO, ALCANTARILLADO Y ASEO EN EL DISTRITO DE CARTAGENA DE INDIAS"/>
    <x v="293"/>
    <s v="06"/>
    <s v="00"/>
    <n v="0"/>
    <n v="8609950282"/>
    <n v="8609950282"/>
    <n v="8609950282"/>
    <n v="0"/>
    <n v="8609950282"/>
    <n v="100"/>
    <n v="8609950282"/>
    <n v="100"/>
    <n v="0"/>
    <n v="8609950282"/>
  </r>
  <r>
    <n v="2022"/>
    <n v="100"/>
    <x v="13"/>
    <s v="SECRETARIA GENERAL"/>
    <x v="13"/>
    <n v="2021130010196"/>
    <x v="1"/>
    <x v="20"/>
    <x v="63"/>
    <s v="2,3,4003,1400,2021130010196"/>
    <s v="805"/>
    <s v="1,3,3,1,00-93-001 RB DE LIBRE DESTINACION"/>
    <s v="INV"/>
    <s v="NO"/>
    <s v="ADMINISTRACION DEL FONDO DE SOLIDARIDAD Y REDISTRIBUCION DEL INGRESOS PARA LOS SERVICIOS PUBLICOS DOMICILIARIOS DE ACUEDUCTO, ALCANTARILLADO Y ASEO EN EL DISTRITO DE CARTAGENA DE INDIAS"/>
    <x v="293"/>
    <s v="06"/>
    <s v="00"/>
    <n v="0"/>
    <n v="8470702815.7600002"/>
    <n v="8470702815.7600002"/>
    <n v="8470702815.7600002"/>
    <n v="0"/>
    <n v="8470702815.7600002"/>
    <n v="100"/>
    <n v="8470702815.7600002"/>
    <n v="100"/>
    <n v="0"/>
    <n v="8470702815.7600002"/>
  </r>
  <r>
    <n v="2022"/>
    <n v="100"/>
    <x v="13"/>
    <s v="SECRETARIA GENERAL"/>
    <x v="13"/>
    <n v="2021130010196"/>
    <x v="1"/>
    <x v="20"/>
    <x v="63"/>
    <s v="2,3,4003,1400,2021130010196"/>
    <s v="808"/>
    <s v="1,3,3,10,00-95-055 RB  SGP APSB"/>
    <s v="INV"/>
    <s v="NO"/>
    <s v="ADMINISTRACION DEL FONDO DE SOLIDARIDAD Y REDISTRIBUCION DEL INGRESOS PARA LOS SERVICIOS PUBLICOS DOMICILIARIOS DE ACUEDUCTO, ALCANTARILLADO Y ASEO EN EL DISTRITO DE CARTAGENA DE INDIAS"/>
    <x v="293"/>
    <s v="06"/>
    <s v="00"/>
    <n v="0"/>
    <n v="1959270324.03"/>
    <n v="1959270324.03"/>
    <n v="1959270324"/>
    <n v="0.03"/>
    <n v="1959270324"/>
    <n v="100"/>
    <n v="1959270324"/>
    <n v="100"/>
    <n v="0.03"/>
    <n v="1959270324"/>
  </r>
  <r>
    <n v="2022"/>
    <n v="100"/>
    <x v="13"/>
    <s v="SECRETARIA GENERAL"/>
    <x v="13"/>
    <n v="2021130010196"/>
    <x v="1"/>
    <x v="20"/>
    <x v="63"/>
    <s v="2,3,4003,1400,2021130010196"/>
    <s v="809"/>
    <s v="1,3,3,10,00-95-111 RB  SGP APSB"/>
    <s v="INV"/>
    <s v="NO"/>
    <s v="ADMINISTRACION DEL FONDO DE SOLIDARIDAD Y REDISTRIBUCION DEL INGRESOS PARA LOS SERVICIOS PUBLICOS DOMICILIARIOS DE ACUEDUCTO, ALCANTARILLADO Y ASEO EN EL DISTRITO DE CARTAGENA DE INDIAS"/>
    <x v="293"/>
    <s v="06"/>
    <s v="00"/>
    <n v="0"/>
    <n v="70343770"/>
    <n v="70343770"/>
    <n v="70343770"/>
    <n v="0"/>
    <n v="70343770"/>
    <n v="100"/>
    <n v="70343770"/>
    <n v="100"/>
    <n v="0"/>
    <n v="70343770"/>
  </r>
  <r>
    <n v="2022"/>
    <n v="100"/>
    <x v="13"/>
    <s v="SECRETARIA GENERAL"/>
    <x v="13"/>
    <n v="2021130010196"/>
    <x v="1"/>
    <x v="20"/>
    <x v="63"/>
    <s v="2,3,4003,1400,2021130010196"/>
    <s v="055"/>
    <s v="1,2,4,6,00-055 - SGP APSB"/>
    <s v="INV"/>
    <s v="NO"/>
    <s v="ADMINISTRACION DEL FONDO DE SOLIDARIDAD Y REDISTRIBUCION DEL INGRESOS PARA LOS SERVICIOS PUBLICOS DOMICILIARIOS DE ACUEDUCTO, ALCANTARILLADO Y ASEO EN EL DISTRITO DE CARTAGENA DE INDIAS"/>
    <x v="293"/>
    <s v="06"/>
    <s v="00"/>
    <n v="30872593416"/>
    <n v="-169445132"/>
    <n v="30703148284"/>
    <n v="28000674983"/>
    <n v="2702473301"/>
    <n v="27313076879"/>
    <n v="88.96"/>
    <n v="23926330089"/>
    <n v="77.930000000000007"/>
    <n v="3390071405"/>
    <n v="22434230074"/>
  </r>
  <r>
    <n v="2022"/>
    <n v="100"/>
    <x v="13"/>
    <s v="SECRETARIA GENERAL"/>
    <x v="13"/>
    <n v="2021130010196"/>
    <x v="1"/>
    <x v="20"/>
    <x v="63"/>
    <s v="2,3,4003,1400,2021130010196"/>
    <s v="062"/>
    <s v="1,3,1,1,03-062 - DIVIDENDOS ACUACAR"/>
    <s v="INV"/>
    <s v="NO"/>
    <s v="ADMINISTRACION DEL FONDO DE SOLIDARIDAD Y REDISTRIBUCION DEL INGRESOS PARA LOS SERVICIOS PUBLICOS DOMICILIARIOS DE ACUEDUCTO, ALCANTARILLADO Y ASEO EN EL DISTRITO DE CARTAGENA DE INDIAS"/>
    <x v="293"/>
    <s v="06"/>
    <s v="00"/>
    <n v="8662789238"/>
    <n v="0"/>
    <n v="8662789238"/>
    <n v="8487891697"/>
    <n v="174897541"/>
    <n v="8487891697"/>
    <n v="97.98"/>
    <n v="8487891697"/>
    <n v="97.98"/>
    <n v="174897541"/>
    <n v="8074088656"/>
  </r>
  <r>
    <n v="2022"/>
    <n v="100"/>
    <x v="13"/>
    <s v="SECRETARIA GENERAL"/>
    <x v="13"/>
    <n v="2021130010196"/>
    <x v="1"/>
    <x v="20"/>
    <x v="63"/>
    <s v="2,3,4003,1400,2021130010196"/>
    <s v="111"/>
    <s v="1,3,2,2,13-111 - RF SGP APSB"/>
    <s v="INV"/>
    <s v="NO"/>
    <s v="ADMINISTRACION DEL FONDO DE SOLIDARIDAD Y REDISTRIBUCION DEL INGRESOS PARA LOS SERVICIOS PUBLICOS DOMICILIARIOS DE ACUEDUCTO, ALCANTARILLADO Y ASEO EN EL DISTRITO DE CARTAGENA DE INDIAS"/>
    <x v="293"/>
    <s v="06"/>
    <s v="00"/>
    <n v="89171393"/>
    <n v="0"/>
    <n v="89171393"/>
    <n v="0"/>
    <n v="89171393"/>
    <n v="0"/>
    <n v="0"/>
    <n v="0"/>
    <n v="0"/>
    <n v="89171393"/>
    <n v="0"/>
  </r>
  <r>
    <n v="2022"/>
    <n v="100"/>
    <x v="13"/>
    <s v="SECRETARIA GENERAL"/>
    <x v="13"/>
    <n v="2021130010196"/>
    <x v="1"/>
    <x v="20"/>
    <x v="63"/>
    <s v="2,3,4003,1400,2021130010196"/>
    <s v="001"/>
    <s v="1,2,1,0,00-001 - ICLD"/>
    <s v="INV"/>
    <s v="NO"/>
    <s v="ADMINISTRACION DEL FONDO DE SOLIDARIDAD Y REDISTRIBUCION DEL INGRESOS PARA LOS SERVICIOS PUBLICOS DOMICILIARIOS DE ACUEDUCTO, ALCANTARILLADO Y ASEO EN EL DISTRITO DE CARTAGENA DE INDIAS"/>
    <x v="293"/>
    <s v="06"/>
    <s v="00"/>
    <n v="4196469199"/>
    <n v="14977479880.32"/>
    <n v="19173949079.32"/>
    <n v="19173949079.32"/>
    <n v="0"/>
    <n v="19173949079.32"/>
    <n v="100"/>
    <n v="13964053695.27"/>
    <n v="72.83"/>
    <n v="0"/>
    <n v="13964053695.27"/>
  </r>
  <r>
    <n v="2022"/>
    <n v="100"/>
    <x v="11"/>
    <s v="ESTABLECIMIENTO PUBLICO AMBIENTAL-EPA"/>
    <x v="11"/>
    <n v="2021130010197"/>
    <x v="1"/>
    <x v="16"/>
    <x v="55"/>
    <s v="2,3,3202,0900,2021130010197"/>
    <s v="935"/>
    <s v="1,3,3,4,02-93-031- R,B, CONTRIBUCION DEL SECTOR ELECTRICO"/>
    <s v="INV"/>
    <s v="NO"/>
    <s v="RECUPERACION DE AREAS AMBIENTALES DEGRADADAS CARTAGENA DE INDIAS"/>
    <x v="294"/>
    <s v="06"/>
    <s v="00"/>
    <n v="0"/>
    <n v="40000000"/>
    <n v="40000000"/>
    <n v="0"/>
    <n v="40000000"/>
    <n v="0"/>
    <n v="0"/>
    <n v="0"/>
    <n v="0"/>
    <n v="40000000"/>
    <n v="0"/>
  </r>
  <r>
    <n v="2022"/>
    <n v="100"/>
    <x v="11"/>
    <s v="ESTABLECIMIENTO PUBLICO AMBIENTAL-EPA"/>
    <x v="11"/>
    <n v="2021130010197"/>
    <x v="1"/>
    <x v="16"/>
    <x v="55"/>
    <s v="2,3,3202,0900,2021130010197"/>
    <s v="001"/>
    <s v="1,2,1,0,00-001 - ICLD"/>
    <s v="INV"/>
    <s v="NO"/>
    <s v="RECUPERACION DE AREAS AMBIENTALMENTE DEGRADADAS  CARTAGENA DE INDIAS"/>
    <x v="295"/>
    <s v="06"/>
    <s v="00"/>
    <n v="1000000000"/>
    <n v="0"/>
    <n v="1000000000"/>
    <n v="1000000000"/>
    <n v="0"/>
    <n v="1000000000"/>
    <n v="100"/>
    <n v="1000000000"/>
    <n v="100"/>
    <n v="0"/>
    <n v="1000000000"/>
  </r>
  <r>
    <n v="2022"/>
    <n v="100"/>
    <x v="11"/>
    <s v="ESTABLECIMIENTO PUBLICO AMBIENTAL-EPA"/>
    <x v="11"/>
    <n v="2021130010198"/>
    <x v="1"/>
    <x v="16"/>
    <x v="117"/>
    <s v="2,3,3203,0900,2021130010198"/>
    <s v="935"/>
    <s v="1,3,3,4,02-93-031- R,B, CONTRIBUCION DEL SECTOR ELECTRICO"/>
    <s v="INV"/>
    <s v="NO"/>
    <s v="IMPLEMENTACION DE LA GESTION INTEGRAL DEL RECUSROS HIDRICO CARTAGENA DE INDIAS"/>
    <x v="296"/>
    <s v="06"/>
    <s v="00"/>
    <n v="0"/>
    <n v="1171112281.8499999"/>
    <n v="1171112281.8499999"/>
    <n v="0"/>
    <n v="1171112281.8499999"/>
    <n v="0"/>
    <n v="0"/>
    <n v="0"/>
    <n v="0"/>
    <n v="1171112281.8499999"/>
    <n v="0"/>
  </r>
  <r>
    <n v="2022"/>
    <n v="100"/>
    <x v="11"/>
    <s v="ESTABLECIMIENTO PUBLICO AMBIENTAL-EPA"/>
    <x v="11"/>
    <n v="2021130010198"/>
    <x v="1"/>
    <x v="16"/>
    <x v="117"/>
    <s v="2,3,3203,0900,2021130010198"/>
    <s v="014"/>
    <s v="1,2,3,2,03-014 - TASA RETRIBUTIVA"/>
    <s v="INV"/>
    <s v="NO"/>
    <s v="IMPLEMENTACION DE LA GESTION INTEGRAL DEL RECURSO HIDRICO  CARTAGENA DE INDIAS"/>
    <x v="297"/>
    <s v="06"/>
    <s v="00"/>
    <n v="1"/>
    <n v="0"/>
    <n v="1"/>
    <n v="0"/>
    <n v="1"/>
    <n v="0"/>
    <n v="0"/>
    <n v="0"/>
    <n v="0"/>
    <n v="1"/>
    <n v="0"/>
  </r>
  <r>
    <n v="2022"/>
    <n v="100"/>
    <x v="11"/>
    <s v="ESTABLECIMIENTO PUBLICO AMBIENTAL-EPA"/>
    <x v="11"/>
    <n v="2021130010198"/>
    <x v="1"/>
    <x v="16"/>
    <x v="117"/>
    <s v="2,3,3203,0900,2021130010198"/>
    <s v="031"/>
    <s v="1,2,3,2,12-031 - CONTRIBUCCION DEL SECTOR ELECTRICO - GENERAL "/>
    <s v="INV"/>
    <s v="NO"/>
    <s v="IMPLEMENTACION DE LA GESTION INTEGRAL DEL RECURSO HIDRICO  CARTAGENA DE INDIAS"/>
    <x v="297"/>
    <s v="06"/>
    <s v="00"/>
    <n v="900000000"/>
    <n v="0"/>
    <n v="900000000"/>
    <n v="0"/>
    <n v="900000000"/>
    <n v="0"/>
    <n v="0"/>
    <n v="0"/>
    <n v="0"/>
    <n v="900000000"/>
    <n v="0"/>
  </r>
  <r>
    <n v="2022"/>
    <n v="100"/>
    <x v="11"/>
    <s v="ESTABLECIMIENTO PUBLICO AMBIENTAL-EPA"/>
    <x v="11"/>
    <n v="2021130010198"/>
    <x v="1"/>
    <x v="16"/>
    <x v="117"/>
    <s v="2,3,3203,0900,2021130010198"/>
    <s v="094"/>
    <s v="1,2,3,2,05-094 - OTRAS TASAS Y DERECHOS ADMINISTRATIVOS SOBRETASA PEAJE"/>
    <s v="INV"/>
    <s v="NO"/>
    <s v="IMPLEMENTACION DE LA GESTION INTEGRAL DEL RECURSO HIDRICO  CARTAGENA DE INDIAS"/>
    <x v="297"/>
    <s v="06"/>
    <s v="00"/>
    <n v="500000000"/>
    <n v="0"/>
    <n v="500000000"/>
    <n v="0"/>
    <n v="500000000"/>
    <n v="0"/>
    <n v="0"/>
    <n v="0"/>
    <n v="0"/>
    <n v="500000000"/>
    <n v="0"/>
  </r>
  <r>
    <n v="2022"/>
    <n v="100"/>
    <x v="13"/>
    <s v="SECRETARIA GENERAL"/>
    <x v="13"/>
    <n v="2021130010199"/>
    <x v="0"/>
    <x v="27"/>
    <x v="118"/>
    <s v="2,3,4599,1000,2021130010199"/>
    <s v="001"/>
    <s v="1,2,1,0,00-001 - ICLD"/>
    <s v="INV"/>
    <s v="NO"/>
    <s v="MODERNIZACION CARTAGENA HACIA LA MODERNIDAD  CARTAGENA DE INDIAS"/>
    <x v="298"/>
    <s v="06"/>
    <s v="00"/>
    <n v="640000000"/>
    <n v="-46000000"/>
    <n v="594000000"/>
    <n v="594000000"/>
    <n v="0"/>
    <n v="593866668"/>
    <n v="99.98"/>
    <n v="593866668"/>
    <n v="99.98"/>
    <n v="133332"/>
    <n v="575366668"/>
  </r>
  <r>
    <n v="2022"/>
    <n v="100"/>
    <x v="11"/>
    <s v="ESTABLECIMIENTO PUBLICO AMBIENTAL-EPA"/>
    <x v="11"/>
    <n v="2021130010200"/>
    <x v="1"/>
    <x v="16"/>
    <x v="119"/>
    <s v="2,3,3202,0900,2021130010200"/>
    <s v="001"/>
    <s v="1,2,1,0,00-001 - ICLD"/>
    <s v="INV"/>
    <s v="NO"/>
    <s v="IMPLEMENTACION DE UN ORDENAMIENTO PARA EL DESARROLLO AMBIENTAL EN EL AREA DE JURISDICCION DEL ESTABLECIMIENTO PUBLICO AMBIENTAL DE   CARTAGENA DE INDIAS"/>
    <x v="299"/>
    <s v="06"/>
    <s v="00"/>
    <n v="250000000"/>
    <n v="0"/>
    <n v="250000000"/>
    <n v="183000000"/>
    <n v="67000000"/>
    <n v="183000000"/>
    <n v="73.2"/>
    <n v="183000000"/>
    <n v="73.2"/>
    <n v="67000000"/>
    <n v="183000000"/>
  </r>
  <r>
    <n v="2022"/>
    <n v="100"/>
    <x v="11"/>
    <s v="ESTABLECIMIENTO PUBLICO AMBIENTAL-EPA"/>
    <x v="11"/>
    <n v="2021130010201"/>
    <x v="1"/>
    <x v="16"/>
    <x v="119"/>
    <s v="2,3,3206,0900,2021130010201"/>
    <s v="001"/>
    <s v="1,2,1,0,00-001 - ICLD"/>
    <s v="INV"/>
    <s v="NO"/>
    <s v="FORMULACION Y ADOPCION DEL PLAN INTEGRAL DE GESTION DEL CAMBIO CLIMATICO PIACC DEL DISTRITO DE CARTAGENA DE INDIAS EN EL MARCO DE LO DISPUESTO POR LA LEY 1931 DEL 2018 BOLIVAR"/>
    <x v="300"/>
    <s v="06"/>
    <s v="00"/>
    <n v="178834818"/>
    <n v="0"/>
    <n v="178834818"/>
    <n v="178834818"/>
    <n v="0"/>
    <n v="178834818"/>
    <n v="100"/>
    <n v="178834818"/>
    <n v="100"/>
    <n v="0"/>
    <n v="178834818"/>
  </r>
  <r>
    <n v="2022"/>
    <n v="100"/>
    <x v="13"/>
    <s v="SECRETARIA GENERAL"/>
    <x v="13"/>
    <n v="2021130010202"/>
    <x v="1"/>
    <x v="20"/>
    <x v="116"/>
    <s v="2,3,2102,1900,2021130010202"/>
    <s v="001"/>
    <s v="1,2,1,0,00-001 - ICLD"/>
    <s v="INV"/>
    <s v="NO"/>
    <s v="IMPLEMENTACION DE LA GARANTIA AL ACCESO A UNA ENERGIA LIMPIA, ASEQUIBLE, SEGURA, SOSTENIBLE, MODERNA Y EFICIENTE PARA LAS ZONAS RURAL E INSULAR DE CARTAGENA DE INDIAS"/>
    <x v="301"/>
    <s v="06"/>
    <s v="00"/>
    <n v="200000000"/>
    <n v="-200000000"/>
    <n v="0"/>
    <n v="0"/>
    <n v="0"/>
    <n v="0"/>
    <n v="0"/>
    <n v="0"/>
    <n v="0"/>
    <n v="0"/>
    <n v="0"/>
  </r>
  <r>
    <n v="2022"/>
    <n v="100"/>
    <x v="13"/>
    <s v="SECRETARIA GENERAL"/>
    <x v="13"/>
    <n v="2021130010203"/>
    <x v="3"/>
    <x v="26"/>
    <x v="120"/>
    <s v="2,3,3502,0200,2021130010203"/>
    <s v="001"/>
    <s v="1,2,1,0,00-001 - ICLD"/>
    <s v="INV"/>
    <s v="NO"/>
    <s v="DESARROLLO DEL TURISMO COMPETITIVO Y SOSTENIBLE PARA CARTAGENA DE INDIAS"/>
    <x v="302"/>
    <s v="06"/>
    <s v="00"/>
    <n v="102600000"/>
    <n v="0"/>
    <n v="102600000"/>
    <n v="102600000"/>
    <n v="0"/>
    <n v="102600000"/>
    <n v="100"/>
    <n v="0"/>
    <n v="0"/>
    <n v="0"/>
    <n v="0"/>
  </r>
  <r>
    <n v="2022"/>
    <n v="100"/>
    <x v="13"/>
    <s v="SECRETARIA GENERAL"/>
    <x v="13"/>
    <n v="2021130010204"/>
    <x v="3"/>
    <x v="26"/>
    <x v="84"/>
    <s v="2,3,3502,0200,2021130010204"/>
    <s v="001"/>
    <s v="1,2,1,0,00-001 - ICLD"/>
    <s v="INV"/>
    <s v="NO"/>
    <s v="CONSOLIDACION DE LA CONECTIVIDAD PARA CARTAGENA DE INDIAS"/>
    <x v="303"/>
    <s v="06"/>
    <s v="00"/>
    <n v="51300000"/>
    <n v="0"/>
    <n v="51300000"/>
    <n v="51300000"/>
    <n v="0"/>
    <n v="51300000"/>
    <n v="100"/>
    <n v="0"/>
    <n v="0"/>
    <n v="0"/>
    <n v="0"/>
  </r>
  <r>
    <n v="2022"/>
    <n v="100"/>
    <x v="13"/>
    <s v="SECRETARIA GENERAL"/>
    <x v="13"/>
    <n v="2021130010205"/>
    <x v="3"/>
    <x v="26"/>
    <x v="121"/>
    <s v="2,3,3502,0200,2021130010205"/>
    <s v="001"/>
    <s v="1,2,1,0,00-001 - ICLD"/>
    <s v="INV"/>
    <s v="NO"/>
    <s v="CONSOLIDACION DE LA PROMOCION NACIONAL E INTERNACIONAL DE CARTAGENA DE INDIAS"/>
    <x v="304"/>
    <s v="06"/>
    <s v="00"/>
    <n v="102600000"/>
    <n v="0"/>
    <n v="102600000"/>
    <n v="102600000"/>
    <n v="0"/>
    <n v="102600000"/>
    <n v="100"/>
    <n v="0"/>
    <n v="0"/>
    <n v="0"/>
    <n v="0"/>
  </r>
  <r>
    <n v="2022"/>
    <n v="100"/>
    <x v="13"/>
    <s v="SECRETARIA GENERAL"/>
    <x v="13"/>
    <n v="2021130010208"/>
    <x v="1"/>
    <x v="20"/>
    <x v="63"/>
    <s v="2,3,4003,1400,2021130010208"/>
    <s v="816"/>
    <s v="1,3,3,11,03-95-138 R,B, DIVIDENDOS SOCIEDAD PORTUARIA"/>
    <s v="INV"/>
    <s v="NO"/>
    <s v=" ACTUALIZACION EXTENSION DE REDES DE ACUEDUCTO EN EL DISTRITO DE CARTAGENA  DE INDIAS"/>
    <x v="305"/>
    <s v="06"/>
    <s v="00"/>
    <n v="0"/>
    <n v="250000000"/>
    <n v="250000000"/>
    <n v="0"/>
    <n v="250000000"/>
    <n v="0"/>
    <n v="0"/>
    <n v="0"/>
    <n v="0"/>
    <n v="250000000"/>
    <n v="0"/>
  </r>
  <r>
    <n v="2022"/>
    <n v="100"/>
    <x v="13"/>
    <s v="SECRETARIA GENERAL"/>
    <x v="13"/>
    <n v="2021130010208"/>
    <x v="1"/>
    <x v="20"/>
    <x v="63"/>
    <s v="2,3,4003,1400,2021130010208"/>
    <s v="055"/>
    <s v="1,2,4,6,00-055 - SGP APSB"/>
    <s v="INV"/>
    <s v="NO"/>
    <s v=" ACTUALIZACION EXTENSION DE REDES DE ACUEDUCTO EN EL DISTRITO DE CARTAGENA CARTAGENA DE INDIAS"/>
    <x v="306"/>
    <s v="06"/>
    <s v="00"/>
    <n v="567275082"/>
    <n v="-467275082"/>
    <n v="100000000"/>
    <n v="0"/>
    <n v="100000000"/>
    <n v="0"/>
    <n v="0"/>
    <n v="0"/>
    <n v="0"/>
    <n v="100000000"/>
    <n v="0"/>
  </r>
  <r>
    <n v="2022"/>
    <n v="100"/>
    <x v="9"/>
    <s v="SECRETARIA DE PARTICIPACION Y DESARROLLO SOCIAL"/>
    <x v="9"/>
    <n v="2021130010209"/>
    <x v="4"/>
    <x v="28"/>
    <x v="122"/>
    <s v="2,3,4104,1500,2021130010209"/>
    <s v="001"/>
    <s v="1,2,1,0,00-001 - ICLD"/>
    <s v="INV"/>
    <s v="NO"/>
    <s v="ASISTENCIA EN LA GESTION SOCIAL INTEGRAL Y ARTICULADORA POR LA PROTECCION DE LAS PERSONAS CON DISCAPACIDAD Y/O SU FAMILIA O CUIDADOR-0 CARTAGENA DE INDIAS"/>
    <x v="307"/>
    <s v="06"/>
    <s v="00"/>
    <n v="300000000"/>
    <n v="0"/>
    <n v="300000000"/>
    <n v="277015243"/>
    <n v="22984757"/>
    <n v="254883100.74000001"/>
    <n v="84.96"/>
    <n v="159492600.74000001"/>
    <n v="53.16"/>
    <n v="45116899.259999998"/>
    <n v="124860600.73999999"/>
  </r>
  <r>
    <n v="2022"/>
    <n v="100"/>
    <x v="9"/>
    <s v="SECRETARIA DE PARTICIPACION Y DESARROLLO SOCIAL"/>
    <x v="9"/>
    <n v="2021130010210"/>
    <x v="4"/>
    <x v="28"/>
    <x v="123"/>
    <s v="2,3,4502,1000,2021130010210"/>
    <s v="001"/>
    <s v="1,2,1,0,00-001 - ICLD"/>
    <s v="INV"/>
    <s v="NO"/>
    <s v="DESARROLLO LOCAL INCLUSIVO DE LAS PERSONAS CON DISCAPACIDAD: RECONOCIMIENTO DE CAPACIDADES, DIFERENCIAS Y DIVERSIDAD EN CARTAGENA DE INDIAS"/>
    <x v="308"/>
    <s v="06"/>
    <s v="00"/>
    <n v="150000000"/>
    <n v="59400000"/>
    <n v="209400000"/>
    <n v="203100000"/>
    <n v="6300000"/>
    <n v="197200000"/>
    <n v="94.17"/>
    <n v="87700000"/>
    <n v="41.88"/>
    <n v="12200000"/>
    <n v="87700000"/>
  </r>
  <r>
    <n v="2022"/>
    <n v="100"/>
    <x v="9"/>
    <s v="SECRETARIA DE PARTICIPACION Y DESARROLLO SOCIAL"/>
    <x v="9"/>
    <n v="2021130010211"/>
    <x v="4"/>
    <x v="28"/>
    <x v="124"/>
    <s v="2,3,4502,1000,2021130010211"/>
    <s v="001"/>
    <s v="1,2,1,0,00-001 - ICLD"/>
    <s v="INV"/>
    <s v="NO"/>
    <s v="CONTRIBUCION PACTO O ALIANZA POR LA INCLUSION SOCIAL Y PRODUCTIVA DE LAS PERSONAS CON DISCAPACIDAD EN CARTAGENA DE INDIA"/>
    <x v="309"/>
    <s v="06"/>
    <s v="00"/>
    <n v="300000000"/>
    <n v="-59400000"/>
    <n v="240600000"/>
    <n v="219099943"/>
    <n v="21500057"/>
    <n v="212999943"/>
    <n v="88.53"/>
    <n v="140000000"/>
    <n v="58.19"/>
    <n v="27600057"/>
    <n v="140000000"/>
  </r>
  <r>
    <n v="2022"/>
    <n v="100"/>
    <x v="13"/>
    <s v="SECRETARIA GENERAL"/>
    <x v="13"/>
    <n v="2021130010212"/>
    <x v="1"/>
    <x v="20"/>
    <x v="125"/>
    <s v="2,3,4003,1400,2021130010212"/>
    <s v="B185"/>
    <s v="1,3,3,4,16-185 - RB INCENTIVO AL APROVECHAMIENTO Y TRATAMIENTO DE RESIDUOS SOLIDOS (IAT)"/>
    <s v="INV"/>
    <s v="NO"/>
    <s v="ACTUALIZACION IMPLEMENTACION DEL PLAN DE GESTION INTEGRAL DE RESIDUOS SOLIDOS (PGIRS) EN EL DISTRITO DE CARTAGENA DE INDIAS CARTAGENA DE INDIAS"/>
    <x v="310"/>
    <s v="06"/>
    <s v="00"/>
    <n v="0"/>
    <n v="1072119702"/>
    <n v="1072119702"/>
    <n v="1071014716"/>
    <n v="1104986"/>
    <n v="1071014716"/>
    <n v="99.9"/>
    <n v="0"/>
    <n v="0"/>
    <n v="1104986"/>
    <n v="0"/>
  </r>
  <r>
    <n v="2022"/>
    <n v="100"/>
    <x v="13"/>
    <s v="SECRETARIA GENERAL"/>
    <x v="13"/>
    <n v="2021130010212"/>
    <x v="1"/>
    <x v="20"/>
    <x v="125"/>
    <s v="2,3,4003,1400,2021130010212"/>
    <s v="B195"/>
    <s v="1,3,3,4,16-195 - RB RF INCENTIVO AL APROVECHAMIENTO Y TRATAMIENTO DE RESIDUOS SOLIDOS (IAT)"/>
    <s v="INV"/>
    <s v="NO"/>
    <s v="ACTUALIZACION IMPLEMENTACION DEL PLAN DE GESTION INTEGRAL DE RESIDUOS SOLIDOS (PGIRS) EN EL DISTRITO DE CARTAGENA DE INDIAS CARTAGENA DE INDIAS"/>
    <x v="310"/>
    <s v="06"/>
    <s v="00"/>
    <n v="0"/>
    <n v="60021.68"/>
    <n v="60021.68"/>
    <n v="0"/>
    <n v="60021.68"/>
    <n v="0"/>
    <n v="0"/>
    <n v="0"/>
    <n v="0"/>
    <n v="60021.68"/>
    <n v="0"/>
  </r>
  <r>
    <n v="2022"/>
    <n v="100"/>
    <x v="13"/>
    <s v="SECRETARIA GENERAL"/>
    <x v="13"/>
    <n v="2021130010212"/>
    <x v="1"/>
    <x v="20"/>
    <x v="125"/>
    <s v="2,3,4003,1400,2021130010212"/>
    <s v="185"/>
    <s v="1,2,3,2,22-185 - INCENTIVO AL APROVECHAMIENTO Y TRATAMIENTO DE RESIDUOS SOLIDOS (IAT)"/>
    <s v="INV"/>
    <s v="NO"/>
    <s v="ACTUALIZACION IMPLEMENTACION DEL PLAN DE GESTION INTEGRAL DE RESIDUOS SOLIDOS (PGIRS) EN EL DISTRITO DE CARTAGENA DE INDIAS CARTAGENA DE INDIAS"/>
    <x v="310"/>
    <s v="06"/>
    <s v="00"/>
    <n v="0"/>
    <n v="2598985152"/>
    <n v="2598985152"/>
    <n v="2598985152"/>
    <n v="0"/>
    <n v="2598985152"/>
    <n v="100"/>
    <n v="0"/>
    <n v="0"/>
    <n v="0"/>
    <n v="0"/>
  </r>
  <r>
    <n v="2022"/>
    <n v="100"/>
    <x v="13"/>
    <s v="SECRETARIA GENERAL"/>
    <x v="13"/>
    <n v="2021130010212"/>
    <x v="1"/>
    <x v="20"/>
    <x v="125"/>
    <s v="2,3,4003,1400,2021130010212"/>
    <s v="195"/>
    <s v="1,3,2,1,22-195 - RF INCENTIVO AL APROVECHAMIENTO Y TRATAMIENTO DE RESIDUOS SOLIDOS (IAT)"/>
    <s v="INV"/>
    <s v="NO"/>
    <s v="ACTUALIZACION IMPLEMENTACION DEL PLAN DE GESTION INTEGRAL DE RESIDUOS SOLIDOS (PGIRS) EN EL DISTRITO DE CARTAGENA DE INDIAS CARTAGENA DE INDIAS"/>
    <x v="310"/>
    <s v="06"/>
    <s v="00"/>
    <n v="0"/>
    <n v="157562.45000000001"/>
    <n v="157562.45000000001"/>
    <n v="0"/>
    <n v="157562.45000000001"/>
    <n v="0"/>
    <n v="0"/>
    <n v="0"/>
    <n v="0"/>
    <n v="157562.45000000001"/>
    <n v="0"/>
  </r>
  <r>
    <n v="2022"/>
    <n v="100"/>
    <x v="13"/>
    <s v="SECRETARIA GENERAL"/>
    <x v="13"/>
    <n v="2021130010212"/>
    <x v="1"/>
    <x v="20"/>
    <x v="125"/>
    <s v="2,3,4003,1400,2021130010212"/>
    <s v="001"/>
    <s v="1,2,1,0,00-001 - ICLD"/>
    <s v="INV"/>
    <s v="NO"/>
    <s v="ACTUALIZACION IMPLEMENTACION DEL PLAN DE GESTION INTEGRAL DE RESIDUOS SOLIDOS (PGIRS) EN EL DISTRITO DE CARTAGENA DE INDIAS CARTAGENA DE INDIAS"/>
    <x v="310"/>
    <s v="06"/>
    <s v="00"/>
    <n v="1000000000"/>
    <n v="90000000"/>
    <n v="1090000000"/>
    <n v="1090000000"/>
    <n v="0"/>
    <n v="1087300000"/>
    <n v="99.75"/>
    <n v="963500000"/>
    <n v="88.39"/>
    <n v="2700000"/>
    <n v="963500000"/>
  </r>
  <r>
    <n v="2022"/>
    <n v="100"/>
    <x v="9"/>
    <s v="SECRETARIA DE PARTICIPACION Y DESARROLLO SOCIAL"/>
    <x v="9"/>
    <n v="2021130010213"/>
    <x v="4"/>
    <x v="29"/>
    <x v="126"/>
    <s v="2,3,4502,1000,2021130010213"/>
    <s v="001"/>
    <s v="1,2,1,0,00-001 - ICLD"/>
    <s v="INV"/>
    <s v="NO"/>
    <s v="ACTUALIZACION LAS MUJERES DECIDIMOS SOBRE EL EJERCICIO DEL PODER CARTAGENA DE INDIAS"/>
    <x v="311"/>
    <s v="06"/>
    <s v="00"/>
    <n v="65000000"/>
    <n v="0"/>
    <n v="65000000"/>
    <n v="64996600"/>
    <n v="3400"/>
    <n v="64995485"/>
    <n v="99.99"/>
    <n v="56400000"/>
    <n v="86.77"/>
    <n v="4515"/>
    <n v="56400000"/>
  </r>
  <r>
    <n v="2022"/>
    <n v="100"/>
    <x v="9"/>
    <s v="SECRETARIA DE PARTICIPACION Y DESARROLLO SOCIAL"/>
    <x v="9"/>
    <n v="2021130010214"/>
    <x v="4"/>
    <x v="29"/>
    <x v="126"/>
    <s v="2,3,4502,1000,2021130010214"/>
    <s v="001"/>
    <s v="1,2,1,0,00-001 - ICLD"/>
    <s v="INV"/>
    <s v="NO"/>
    <s v="ACTUALIZACION Y REFORMULACION DE LA POLITICA PUBLICA DE MUJER CARTAGENA DE INDIAS"/>
    <x v="312"/>
    <s v="06"/>
    <s v="00"/>
    <n v="25000000"/>
    <n v="-25000000"/>
    <n v="0"/>
    <n v="0"/>
    <n v="0"/>
    <n v="0"/>
    <n v="0"/>
    <n v="0"/>
    <n v="0"/>
    <n v="0"/>
    <n v="0"/>
  </r>
  <r>
    <n v="2022"/>
    <n v="100"/>
    <x v="17"/>
    <s v="SECRETARIA DE INFRAESTRUCTURA"/>
    <x v="17"/>
    <n v="2021130010215"/>
    <x v="1"/>
    <x v="18"/>
    <x v="89"/>
    <s v="2,3,4503,1000,2021130010215"/>
    <s v="124"/>
    <s v="1,2,3,1,17-124 - IMPUESTO DE TRANSPORTE POR OLEODUCTOS Y GASODUCTOS"/>
    <s v="INV"/>
    <s v="NO"/>
    <s v="ESTUDIOS TECNICOS, DISE?OS Y OBRAS CONTINGENTES DERIVADAS DE SENTENCIAS JUDICIALES Y OBRAS DE EMERGENCIA EN INFRAESTRUCTURA DIFERENTES A VIAS EN EL DISTRITO DE CARTAGENA DE INDIAS"/>
    <x v="313"/>
    <s v="06"/>
    <s v="00"/>
    <n v="0"/>
    <n v="296615906"/>
    <n v="296615906"/>
    <n v="296615905"/>
    <n v="1"/>
    <n v="296615905"/>
    <n v="100"/>
    <n v="0"/>
    <n v="0"/>
    <n v="1"/>
    <n v="0"/>
  </r>
  <r>
    <n v="2022"/>
    <n v="100"/>
    <x v="17"/>
    <s v="SECRETARIA DE INFRAESTRUCTURA"/>
    <x v="17"/>
    <n v="2021130010215"/>
    <x v="1"/>
    <x v="18"/>
    <x v="89"/>
    <s v="2,3,4503,1000,2021130010215"/>
    <s v="001"/>
    <s v="1,2,1,0,00-001 - ICLD"/>
    <s v="INV"/>
    <s v="NO"/>
    <s v="ESTUDIOS TECNICOS, DISE?OS Y OBRAS CONTINGENTES DERIVADAS DE SENTENCIAS JUDICIALES Y OBRAS DE EMERGENCIA EN INFRAESTRUCTURA DIFERENTES A VIAS EN EL DISTRITO DE CARTAGENA DE INDIAS"/>
    <x v="313"/>
    <s v="06"/>
    <s v="00"/>
    <n v="0"/>
    <n v="2384290325.2800002"/>
    <n v="2384290325.2800002"/>
    <n v="2384290325.2399998"/>
    <n v="0.04"/>
    <n v="2365699549.2399998"/>
    <n v="99.22"/>
    <n v="2190528151.8000002"/>
    <n v="91.87"/>
    <n v="18590776.039999999"/>
    <n v="2190528151.8000002"/>
  </r>
  <r>
    <n v="2022"/>
    <n v="100"/>
    <x v="13"/>
    <s v="SECRETARIA GENERAL"/>
    <x v="13"/>
    <n v="2021130010216"/>
    <x v="3"/>
    <x v="11"/>
    <x v="115"/>
    <s v="2,3,4599,1000,2021130010216"/>
    <s v="001"/>
    <s v="1,2,1,0,00-001 - ICLD"/>
    <s v="INV"/>
    <s v="NO"/>
    <s v="FORTALECIMIENTO DEL ECOSISTEMA DE COOPERACION DEL DISTRITO DE CARTAGENA DE INDIAS"/>
    <x v="314"/>
    <s v="06"/>
    <s v="00"/>
    <n v="109000000"/>
    <n v="0"/>
    <n v="109000000"/>
    <n v="15000000"/>
    <n v="94000000"/>
    <n v="15000000"/>
    <n v="13.76"/>
    <n v="15000000"/>
    <n v="13.76"/>
    <n v="94000000"/>
    <n v="15000000"/>
  </r>
  <r>
    <n v="2022"/>
    <n v="100"/>
    <x v="11"/>
    <s v="ESTABLECIMIENTO PUBLICO AMBIENTAL-EPA"/>
    <x v="11"/>
    <n v="2021130010217"/>
    <x v="1"/>
    <x v="16"/>
    <x v="127"/>
    <s v="2,3,3204,0900,2021130010217"/>
    <s v="936"/>
    <s v="1,3,3,4,18-93-010- R,B, MULTAS AMBIENTALES EPA"/>
    <s v="INV"/>
    <s v="NO"/>
    <s v="FORTALECIMIENTO DE EPA MODERNA EFICIENTE Y TRANSPARENTE EN EL DISTRITO DE CARTAGENA DE INDIAS"/>
    <x v="315"/>
    <s v="06"/>
    <s v="00"/>
    <n v="0"/>
    <n v="637499471.25"/>
    <n v="637499471.25"/>
    <n v="0"/>
    <n v="637499471.25"/>
    <n v="0"/>
    <n v="0"/>
    <n v="0"/>
    <n v="0"/>
    <n v="637499471.25"/>
    <n v="0"/>
  </r>
  <r>
    <n v="2022"/>
    <n v="100"/>
    <x v="11"/>
    <s v="ESTABLECIMIENTO PUBLICO AMBIENTAL-EPA"/>
    <x v="11"/>
    <n v="2021130010217"/>
    <x v="1"/>
    <x v="16"/>
    <x v="127"/>
    <s v="2,3,3204,0900,2021130010217"/>
    <s v="001"/>
    <s v="1,2,1,0,00-001 - ICLD"/>
    <s v="INV"/>
    <s v="NO"/>
    <s v="FORTALECIMIENTO DE EPA MODERNA EFICIENTE Y TRANSPARENTE EN EL DISTRITO DE  CARTAGENA DE INDIAS"/>
    <x v="316"/>
    <s v="06"/>
    <s v="00"/>
    <n v="250000000"/>
    <n v="0"/>
    <n v="250000000"/>
    <n v="250000000"/>
    <n v="0"/>
    <n v="250000000"/>
    <n v="100"/>
    <n v="250000000"/>
    <n v="100"/>
    <n v="0"/>
    <n v="250000000"/>
  </r>
  <r>
    <n v="2022"/>
    <n v="100"/>
    <x v="11"/>
    <s v="ESTABLECIMIENTO PUBLICO AMBIENTAL-EPA"/>
    <x v="11"/>
    <n v="2021130010217"/>
    <x v="1"/>
    <x v="16"/>
    <x v="127"/>
    <s v="2,3,3204,0900,2021130010217"/>
    <s v="935"/>
    <s v="1,3,3,4,02-93-031- R,B, CONTRIBUCION DEL SECTOR ELECTRICO"/>
    <s v="INV"/>
    <s v="NO"/>
    <s v="FORTALECIMIENTO DE EPA MODERNA EFICIENTE Y TRANSPARENTE EN EL DISTRITO DE CARTAGENA DE INDIAS"/>
    <x v="315"/>
    <s v="06"/>
    <s v="00"/>
    <n v="0"/>
    <n v="286222456.35000002"/>
    <n v="286222456.35000002"/>
    <n v="0"/>
    <n v="286222456.35000002"/>
    <n v="0"/>
    <n v="0"/>
    <n v="0"/>
    <n v="0"/>
    <n v="286222456.35000002"/>
    <n v="0"/>
  </r>
  <r>
    <n v="2022"/>
    <n v="100"/>
    <x v="13"/>
    <s v="SECRETARIA GENERAL"/>
    <x v="13"/>
    <n v="2021130010218"/>
    <x v="1"/>
    <x v="20"/>
    <x v="63"/>
    <s v="2,3,3202,0900,2021130010218"/>
    <s v="001"/>
    <s v="1,2,1,0,00-001 - ICLD"/>
    <s v="INV"/>
    <s v="NO"/>
    <s v="PROTECCION DE PREDIOS QUE CONSITUYEN AREAS DE IMPORTANCIA ESTRATEGICA AIE PARA EL SISTEMA DE ACUEDUCTO DEFINIDO EN EL POMCA EN EL DISTRITO DE CARTAGENA DE INDIAS,"/>
    <x v="317"/>
    <s v="06"/>
    <s v="00"/>
    <n v="6020741727"/>
    <n v="974572155"/>
    <n v="6995313882"/>
    <n v="3361323500"/>
    <n v="3633990382"/>
    <n v="3353823500"/>
    <n v="47.94"/>
    <n v="1992690166"/>
    <n v="28.49"/>
    <n v="3641490382"/>
    <n v="1746578416"/>
  </r>
  <r>
    <n v="2022"/>
    <n v="100"/>
    <x v="9"/>
    <s v="SECRETARIA DE PARTICIPACION Y DESARROLLO SOCIAL"/>
    <x v="9"/>
    <n v="2021130010219"/>
    <x v="0"/>
    <x v="0"/>
    <x v="128"/>
    <s v="2,3,4502,1000,2021130010219"/>
    <s v="001"/>
    <s v="1,2,1,0,00-001 - ICLD"/>
    <s v="INV"/>
    <s v="NO"/>
    <s v="FORTALECIMIENTO DE LA CAPACIDAD ADMINISTRATIVA, OPERATIVA Y TECNOLOGICA DE LAS ORGANIZACIONES COMUNALES DEL DISTRITO DE CARTAGENA DE INDIAS"/>
    <x v="318"/>
    <s v="06"/>
    <s v="00"/>
    <n v="75000000"/>
    <n v="0"/>
    <n v="75000000"/>
    <n v="73876666"/>
    <n v="1123334"/>
    <n v="73845000"/>
    <n v="98.46"/>
    <n v="0"/>
    <n v="0"/>
    <n v="1155000"/>
    <n v="0"/>
  </r>
  <r>
    <n v="2022"/>
    <n v="100"/>
    <x v="9"/>
    <s v="SECRETARIA DE PARTICIPACION Y DESARROLLO SOCIAL"/>
    <x v="9"/>
    <n v="2021130010220"/>
    <x v="0"/>
    <x v="0"/>
    <x v="128"/>
    <s v="2,3,4502,1000,2021130010220"/>
    <s v="001"/>
    <s v="1,2,1,0,00-001 - ICLD"/>
    <s v="INV"/>
    <s v="NO"/>
    <s v="FORTALECIMIENTO DE LA INCIDENCIA DE LOS CIUDADANOS EN LOS PROCESOS DE PARTICIPACION PARA LA CONSTRUCCION DE LO PUBLICO EN EL DISTRITO DE CARTAGENA DE INDIAS"/>
    <x v="319"/>
    <s v="06"/>
    <s v="00"/>
    <n v="100000000"/>
    <n v="0"/>
    <n v="100000000"/>
    <n v="99941187"/>
    <n v="58813"/>
    <n v="97821853"/>
    <n v="97.82"/>
    <n v="77300000"/>
    <n v="77.3"/>
    <n v="2178147"/>
    <n v="63500000"/>
  </r>
  <r>
    <n v="2022"/>
    <n v="100"/>
    <x v="9"/>
    <s v="SECRETARIA DE PARTICIPACION Y DESARROLLO SOCIAL"/>
    <x v="9"/>
    <n v="2021130010221"/>
    <x v="0"/>
    <x v="0"/>
    <x v="128"/>
    <s v="2,3,4502,1000,2021130010221"/>
    <s v="001"/>
    <s v="1,2,1,0,00-001 - ICLD"/>
    <s v="INV"/>
    <s v="NO"/>
    <s v="FORTALECIMIENTO DE LA GESTION ADMINISTRATIVA Y LABOR SOCIAL DE LOS ORGANISMOS COMUNALES DEL DISTRITO DE CARTAGENA DE INDIAS"/>
    <x v="320"/>
    <s v="06"/>
    <s v="00"/>
    <n v="325000000"/>
    <n v="0"/>
    <n v="325000000"/>
    <n v="307886665"/>
    <n v="17113335"/>
    <n v="305633033.23000002"/>
    <n v="94.04"/>
    <n v="182600000"/>
    <n v="56.18"/>
    <n v="19366966.77"/>
    <n v="155000000"/>
  </r>
  <r>
    <n v="2022"/>
    <n v="100"/>
    <x v="9"/>
    <s v="SECRETARIA DE PARTICIPACION Y DESARROLLO SOCIAL"/>
    <x v="9"/>
    <n v="2021130010222"/>
    <x v="4"/>
    <x v="29"/>
    <x v="129"/>
    <s v="2,3,4502,1000,2021130010222"/>
    <s v="001"/>
    <s v="1,2,1,0,00-001 - ICLD"/>
    <s v="INV"/>
    <s v="NO"/>
    <s v="ADECUACION CARTAGENA LIBRE DE UNA CULTURA MACHISTA CARTAGENA DE INDIAS CARTAGENA DE INDIAS"/>
    <x v="321"/>
    <s v="06"/>
    <s v="00"/>
    <n v="44000000"/>
    <n v="0"/>
    <n v="44000000"/>
    <n v="44000000"/>
    <n v="0"/>
    <n v="43999930"/>
    <n v="100"/>
    <n v="35100000"/>
    <n v="79.77"/>
    <n v="70"/>
    <n v="35100000"/>
  </r>
  <r>
    <n v="2022"/>
    <n v="100"/>
    <x v="11"/>
    <s v="ESTABLECIMIENTO PUBLICO AMBIENTAL-EPA"/>
    <x v="11"/>
    <n v="2021130010223"/>
    <x v="1"/>
    <x v="16"/>
    <x v="50"/>
    <s v="2,3,3204,0900,2021130010223"/>
    <s v="063"/>
    <s v="1,3,2,3,05-063 - OTROS RENDIMIENTOS FINANCIEROS EPA"/>
    <s v="INV"/>
    <s v="NO"/>
    <s v="FORTALECIMIENTO DE LA INVESTIGACION E INNOVACION PARA LA GESTION AMBIENTAL SOSTENIBLE EN EL DISTRITO DE  CARTAGENA DE INDIAS"/>
    <x v="322"/>
    <s v="06"/>
    <s v="00"/>
    <n v="1"/>
    <n v="0"/>
    <n v="1"/>
    <n v="0"/>
    <n v="1"/>
    <n v="0"/>
    <n v="0"/>
    <n v="0"/>
    <n v="0"/>
    <n v="1"/>
    <n v="0"/>
  </r>
  <r>
    <n v="2022"/>
    <n v="100"/>
    <x v="11"/>
    <s v="ESTABLECIMIENTO PUBLICO AMBIENTAL-EPA"/>
    <x v="11"/>
    <n v="2021130010223"/>
    <x v="1"/>
    <x v="16"/>
    <x v="50"/>
    <s v="2,3,3204,0900,2021130010223"/>
    <s v="934"/>
    <s v="1,3,1,1,02-05 -EXCEDENTES FINANCIEROS EPA"/>
    <s v="INV"/>
    <s v="NO"/>
    <s v="FORTALECIMIENTO DE LA INVESTIGACION E INNOVACION PARA LA GESTION AMBIENTAL SOSTENIBLE EN EL DISTRITO DE CARTAGENA DE INDIAS"/>
    <x v="323"/>
    <s v="06"/>
    <s v="00"/>
    <n v="0"/>
    <n v="2879107.41"/>
    <n v="2879107.41"/>
    <n v="0"/>
    <n v="2879107.41"/>
    <n v="0"/>
    <n v="0"/>
    <n v="0"/>
    <n v="0"/>
    <n v="2879107.41"/>
    <n v="0"/>
  </r>
  <r>
    <n v="2022"/>
    <n v="100"/>
    <x v="11"/>
    <s v="ESTABLECIMIENTO PUBLICO AMBIENTAL-EPA"/>
    <x v="11"/>
    <n v="2021130010223"/>
    <x v="1"/>
    <x v="16"/>
    <x v="50"/>
    <s v="2,3,3204,0900,2021130010223"/>
    <s v="935"/>
    <s v="1,3,3,4,02-93-031- R,B, CONTRIBUCION DEL SECTOR ELECTRICO"/>
    <s v="INV"/>
    <s v="NO"/>
    <s v="FORTALECIMIENTO DE LA INVESTIGACION E INNOVACION PARA LA GESTION AMBIENTAL SOSTENIBLE EN EL DISTRITO DE CARTAGENA DE INDIAS"/>
    <x v="323"/>
    <s v="06"/>
    <s v="00"/>
    <n v="0"/>
    <n v="20000000"/>
    <n v="20000000"/>
    <n v="0"/>
    <n v="20000000"/>
    <n v="0"/>
    <n v="0"/>
    <n v="0"/>
    <n v="0"/>
    <n v="20000000"/>
    <n v="0"/>
  </r>
  <r>
    <n v="2022"/>
    <n v="100"/>
    <x v="7"/>
    <s v="SECRETARIA DE EDUCACION"/>
    <x v="7"/>
    <n v="2021130010224"/>
    <x v="2"/>
    <x v="6"/>
    <x v="58"/>
    <s v="2,3,2201,0700,2021130010224"/>
    <s v="001"/>
    <s v="1,2,1,0,00-001 - ICLD"/>
    <s v="INV"/>
    <s v="NO"/>
    <s v="FORTALECIMIENTO DE LA EDUCACION INTEGRAL DESDE LA PARTICIPACION, DEMOCRACIA Y AUTONOMIA  EN LAS INSTITUCIONES EDUCATIVAS OFICIALES DEL DISTRITO DE CARTAGENA?"/>
    <x v="324"/>
    <s v="06"/>
    <s v="00"/>
    <n v="945693727"/>
    <n v="563000000"/>
    <n v="1508693727"/>
    <n v="1508156624"/>
    <n v="537103"/>
    <n v="1508156624"/>
    <n v="99.96"/>
    <n v="1475013291"/>
    <n v="97.77"/>
    <n v="537103"/>
    <n v="1445035970.7"/>
  </r>
  <r>
    <n v="2022"/>
    <n v="100"/>
    <x v="9"/>
    <s v="SECRETARIA DE PARTICIPACION Y DESARROLLO SOCIAL"/>
    <x v="9"/>
    <n v="2021130010225"/>
    <x v="1"/>
    <x v="16"/>
    <x v="106"/>
    <s v="2,3,4501,1000,2021130010225"/>
    <s v="001"/>
    <s v="1,2,1,0,00-001 - ICLD"/>
    <s v="INV"/>
    <s v="NO"/>
    <s v="ELABORACION POLITICA PUBLICA Y REGLAMENTACION PROYECTOS PROTECCION ANIMAL CARTAGENA DE INDIAS"/>
    <x v="325"/>
    <s v="06"/>
    <s v="00"/>
    <n v="15000000"/>
    <n v="0"/>
    <n v="15000000"/>
    <n v="15000000"/>
    <n v="0"/>
    <n v="15000000"/>
    <n v="100"/>
    <n v="14999999.98"/>
    <n v="100"/>
    <n v="0"/>
    <n v="14999999.98"/>
  </r>
  <r>
    <n v="2022"/>
    <n v="100"/>
    <x v="7"/>
    <s v="SECRETARIA DE EDUCACION"/>
    <x v="7"/>
    <n v="2021130010226"/>
    <x v="2"/>
    <x v="6"/>
    <x v="130"/>
    <s v="2,3,2201,0700,2021130010226"/>
    <s v="908"/>
    <s v="1,3,3,6,01-95-071 R,B, SGP-EDUCACION-PRESTACION DE SERVICIOS"/>
    <s v="INV"/>
    <s v="NO"/>
    <s v="TRANSFORMACION DEL APRENDIZAJE, INSPIRANDO, CREANDO Y DISE?ANDO CON LAS TECNOLOGIAS DE LA INFORMACION Y LAS COMUNICACIOONES EN LAS IEO Y SED DEL DISTRITO DE CARTAGENA DE INDIAS"/>
    <x v="326"/>
    <s v="06"/>
    <s v="00"/>
    <n v="0"/>
    <n v="0"/>
    <n v="0"/>
    <n v="0"/>
    <n v="0"/>
    <n v="0"/>
    <n v="0"/>
    <n v="0"/>
    <n v="0"/>
    <n v="0"/>
    <n v="0"/>
  </r>
  <r>
    <n v="2022"/>
    <n v="100"/>
    <x v="7"/>
    <s v="SECRETARIA DE EDUCACION"/>
    <x v="7"/>
    <n v="2021130010226"/>
    <x v="2"/>
    <x v="6"/>
    <x v="130"/>
    <s v="2,3,2201,0700,2021130010226"/>
    <s v="901"/>
    <s v="1,3,3,6,03-95-171 - R,B, SGP - EDUCACION - CALIDAD  POR MATRICULA OFICIAL"/>
    <s v="INV"/>
    <s v="NO"/>
    <s v="TRANSFORMACION DEL APRENDIZAJE, INSPIRANDO, CREANDO Y DISE?ANDO CON LAS TECNOLOGIAS DE LA INFORMACION Y LAS COMUNICACIOONES EN LAS IEO Y SED DEL DISTRITO DE CARTAGENA DE INDIAS"/>
    <x v="326"/>
    <s v="06"/>
    <s v="00"/>
    <n v="0"/>
    <n v="330597760"/>
    <n v="330597760"/>
    <n v="330597760"/>
    <n v="0"/>
    <n v="0"/>
    <n v="0"/>
    <n v="0"/>
    <n v="0"/>
    <n v="330597760"/>
    <n v="0"/>
  </r>
  <r>
    <n v="2022"/>
    <n v="100"/>
    <x v="7"/>
    <s v="SECRETARIA DE EDUCACION"/>
    <x v="7"/>
    <n v="2021130010226"/>
    <x v="2"/>
    <x v="6"/>
    <x v="130"/>
    <s v="2,3,2201,0700,2021130010226"/>
    <s v="071"/>
    <s v="1,2,4,1,01-071 - SGP PRESTACION EDUCATIVO"/>
    <s v="INV"/>
    <s v="NO"/>
    <s v="TRANSFORMACION DEL APRENDIZAJE, INSPIRANDO, CREANDO Y DISE?ANDO CON LAS TECNOLOGIAS DE LA INFORMACION Y LAS COMUNICACIOONES EN LAS IEO Y SED DEL DISTRITO DE CARTAGENA DE INDIAS"/>
    <x v="326"/>
    <s v="06"/>
    <s v="00"/>
    <n v="2459416000"/>
    <n v="-775999430"/>
    <n v="1683416570"/>
    <n v="1682914029.6300001"/>
    <n v="502540.37"/>
    <n v="635460000"/>
    <n v="37.75"/>
    <n v="393393220"/>
    <n v="23.37"/>
    <n v="1047956570"/>
    <n v="128303959"/>
  </r>
  <r>
    <n v="2022"/>
    <n v="100"/>
    <x v="7"/>
    <s v="SECRETARIA DE EDUCACION"/>
    <x v="7"/>
    <n v="2021130010226"/>
    <x v="2"/>
    <x v="6"/>
    <x v="130"/>
    <s v="2,3,2201,0700,2021130010226"/>
    <s v="001"/>
    <s v="1,2,1,0,00-001 - ICLD"/>
    <s v="INV"/>
    <s v="NO"/>
    <s v="TRANSFORMACION DEL APRENDIZAJE, INSPIRANDO, CREANDO Y DISE?ANDO CON LAS TECNOLOGIAS DE LA INFORMACION Y LAS COMUNICACIOONES EN LAS IEO Y SED DEL DISTRITO DE CARTAGENA DE INDIAS"/>
    <x v="326"/>
    <s v="06"/>
    <s v="00"/>
    <n v="711035700"/>
    <n v="1533520000"/>
    <n v="2244555700"/>
    <n v="2222672001"/>
    <n v="21883699"/>
    <n v="625052001"/>
    <n v="27.85"/>
    <n v="625052001"/>
    <n v="27.85"/>
    <n v="1619503699"/>
    <n v="625052001"/>
  </r>
  <r>
    <n v="2022"/>
    <n v="100"/>
    <x v="7"/>
    <s v="SECRETARIA DE EDUCACION"/>
    <x v="7"/>
    <n v="2021130010227"/>
    <x v="2"/>
    <x v="6"/>
    <x v="47"/>
    <s v="2,3,2201,0700,2021130010227"/>
    <s v="171"/>
    <s v="1,2,4,1,03-171 - SGP CALIDAD MATRICULA"/>
    <s v="INV"/>
    <s v="NO"/>
    <s v="FORTALECIMIENTO DE LOS PROCESOS FORMATIVOS EN LAS INSTITUCIONES EDUCATIVAS OFICIALES DEL DISTRITO DE CARTAGENA: DESARROLLO DE POTENCIALIDADES"/>
    <x v="327"/>
    <s v="06"/>
    <s v="00"/>
    <n v="4020000000"/>
    <n v="-3387562090"/>
    <n v="632437910"/>
    <n v="627224218"/>
    <n v="5213692"/>
    <n v="491236585"/>
    <n v="77.67"/>
    <n v="491236585"/>
    <n v="77.67"/>
    <n v="141201325"/>
    <n v="220000000"/>
  </r>
  <r>
    <n v="2022"/>
    <n v="100"/>
    <x v="7"/>
    <s v="SECRETARIA DE EDUCACION"/>
    <x v="7"/>
    <n v="2021130010227"/>
    <x v="2"/>
    <x v="6"/>
    <x v="47"/>
    <s v="2,3,2201,0700,2021130010227"/>
    <s v="901"/>
    <s v="1,3,3,6,03-95-171 - R,B, SGP - EDUCACION - CALIDAD  POR MATRICULA OFICIAL"/>
    <s v="INV"/>
    <s v="NO"/>
    <s v="FORTALECIMIENTO DE LOS PROCESOS FORMATIVOS EN LAS INSTITUCIONES EDUCATIVAS OFICIALES DEL DISTRITO DE CARTAGENA: DESARROLLO DE POTENCIALIDADES"/>
    <x v="327"/>
    <s v="06"/>
    <s v="00"/>
    <n v="0"/>
    <n v="293146534"/>
    <n v="293146534"/>
    <n v="293146534"/>
    <n v="0"/>
    <n v="293146534"/>
    <n v="100"/>
    <n v="293146534"/>
    <n v="100"/>
    <n v="0"/>
    <n v="0"/>
  </r>
  <r>
    <n v="2022"/>
    <n v="100"/>
    <x v="7"/>
    <s v="SECRETARIA DE EDUCACION"/>
    <x v="7"/>
    <n v="2021130010227"/>
    <x v="2"/>
    <x v="6"/>
    <x v="47"/>
    <s v="2,3,2201,0700,2021130010227"/>
    <s v="001"/>
    <s v="1,2,1,0,00-001 - ICLD"/>
    <s v="INV"/>
    <s v="NO"/>
    <s v="FORTALECIMIENTO DE LOS PROCESOS FORMATIVOS EN LAS INSTITUCIONES EDUCATIVAS OFICIALES DEL DISTRITO DE CARTAGENA: DESARROLLO DE POTENCIALIDADES"/>
    <x v="327"/>
    <s v="06"/>
    <s v="00"/>
    <n v="88000000"/>
    <n v="0"/>
    <n v="88000000"/>
    <n v="82500000"/>
    <n v="5500000"/>
    <n v="82500000"/>
    <n v="93.75"/>
    <n v="82500000"/>
    <n v="93.75"/>
    <n v="5500000"/>
    <n v="79000000"/>
  </r>
  <r>
    <n v="2022"/>
    <n v="100"/>
    <x v="9"/>
    <s v="SECRETARIA DE PARTICIPACION Y DESARROLLO SOCIAL"/>
    <x v="9"/>
    <n v="2021130010228"/>
    <x v="4"/>
    <x v="29"/>
    <x v="131"/>
    <s v="2,3,4103,1500,2021130010228"/>
    <s v="001"/>
    <s v="1,2,1,0,00-001 - ICLD"/>
    <s v="INV"/>
    <s v="NO"/>
    <s v="ACTUALIZACION MUJERES CONSTRUCTORAS DE PAZ-0  CARTAGENA DE INDIAS"/>
    <x v="328"/>
    <s v="06"/>
    <s v="00"/>
    <n v="65000000"/>
    <n v="0"/>
    <n v="65000000"/>
    <n v="64997800"/>
    <n v="2200"/>
    <n v="16500000"/>
    <n v="25.38"/>
    <n v="16500000"/>
    <n v="25.38"/>
    <n v="48500000"/>
    <n v="16500000"/>
  </r>
  <r>
    <n v="2022"/>
    <n v="100"/>
    <x v="9"/>
    <s v="SECRETARIA DE PARTICIPACION Y DESARROLLO SOCIAL"/>
    <x v="9"/>
    <n v="2021130010229"/>
    <x v="4"/>
    <x v="29"/>
    <x v="132"/>
    <s v="2,3,4103,1500,2021130010229"/>
    <s v="001"/>
    <s v="1,2,1,0,00-001 - ICLD"/>
    <s v="INV"/>
    <s v="NO"/>
    <s v="ACTUALIZACION UNA VIDA LIBRE DE VIOLENCIAS PARA LAS MUJERES  CARTAGENA DE INDIAS"/>
    <x v="329"/>
    <s v="06"/>
    <s v="00"/>
    <n v="290000000"/>
    <n v="54000000"/>
    <n v="344000000"/>
    <n v="343287378"/>
    <n v="712622"/>
    <n v="342718829"/>
    <n v="99.63"/>
    <n v="166740000"/>
    <n v="48.47"/>
    <n v="1281171"/>
    <n v="166740000"/>
  </r>
  <r>
    <n v="2022"/>
    <n v="100"/>
    <x v="5"/>
    <s v="INSTITUTO DE DEPORTE Y RECREACION"/>
    <x v="5"/>
    <n v="2021130010230"/>
    <x v="2"/>
    <x v="4"/>
    <x v="133"/>
    <s v="2,3,4301,1604,2021130010230"/>
    <s v="918"/>
    <s v="1,3,3,8,01-95-059 - R,B, SGP DEPORTE"/>
    <s v="INV"/>
    <s v="NO"/>
    <s v="RECREACION COMUNITARIA Y APROVECHAMIENTO DEL TIEMPO LIBRE, COMO MECANISMO DE COHESION E INTEGRACION SOCIAL EN EL DISTRITO DE   CARTAGENA DE INDIAS"/>
    <x v="330"/>
    <s v="06"/>
    <s v="00"/>
    <n v="0"/>
    <n v="228599327.72"/>
    <n v="228599327.72"/>
    <n v="0"/>
    <n v="228599327.72"/>
    <n v="0"/>
    <n v="0"/>
    <n v="0"/>
    <n v="0"/>
    <n v="228599327.72"/>
    <n v="0"/>
  </r>
  <r>
    <n v="2022"/>
    <n v="100"/>
    <x v="5"/>
    <s v="INSTITUTO DE DEPORTE Y RECREACION"/>
    <x v="5"/>
    <n v="2021130010230"/>
    <x v="2"/>
    <x v="4"/>
    <x v="133"/>
    <s v="2,3,4301,1604,2021130010230"/>
    <s v="933"/>
    <s v="1,3,1,1,02-03 -EXCEDENTES FINANCIEROS IDER"/>
    <s v="INV"/>
    <s v="NO"/>
    <s v="RECREACION COMUNITARIA Y APROVECHAMIENTO DEL TIEMPO LIBRE, COMO MECANISMO DE COHESION E INTEGRACION SOCIAL EN EL DISTRITO DE   CARTAGENA DE INDIAS - DEFICIT"/>
    <x v="331"/>
    <s v="06"/>
    <s v="00"/>
    <n v="0"/>
    <n v="6000000"/>
    <n v="6000000"/>
    <n v="0"/>
    <n v="6000000"/>
    <n v="0"/>
    <n v="0"/>
    <n v="0"/>
    <n v="0"/>
    <n v="6000000"/>
    <n v="0"/>
  </r>
  <r>
    <n v="2022"/>
    <n v="100"/>
    <x v="5"/>
    <s v="INSTITUTO DE DEPORTE Y RECREACION"/>
    <x v="5"/>
    <n v="2021130010230"/>
    <x v="2"/>
    <x v="4"/>
    <x v="133"/>
    <s v="2,3,4301,1604,2021130010230"/>
    <s v="059"/>
    <s v="1,2,4,3,01-059 - SGP DEPORTE"/>
    <s v="INV"/>
    <s v="NO"/>
    <s v="RECREACION COMUNITARIA Y APROVECHAMIENTO DEL TIEMPO LIBRE, COMO MECANISMO DE COHESION E INTEGRACION SOCIAL EN EL DISTRITO DE   CARTAGENA DE INDIAS"/>
    <x v="330"/>
    <s v="06"/>
    <s v="00"/>
    <n v="582610022"/>
    <n v="0"/>
    <n v="582610022"/>
    <n v="581599454.23000002"/>
    <n v="1010567.77"/>
    <n v="581599454.23000002"/>
    <n v="99.83"/>
    <n v="581599454.23000002"/>
    <n v="99.83"/>
    <n v="1010567.77"/>
    <n v="581599454.23000002"/>
  </r>
  <r>
    <n v="2022"/>
    <n v="100"/>
    <x v="5"/>
    <s v="INSTITUTO DE DEPORTE Y RECREACION"/>
    <x v="5"/>
    <n v="2021130010230"/>
    <x v="2"/>
    <x v="4"/>
    <x v="133"/>
    <s v="2,3,4301,1604,2021130010230"/>
    <s v="097"/>
    <s v="1,2,2,0,00-097 - ICDE IDER 3% ICA"/>
    <s v="INV"/>
    <s v="NO"/>
    <s v="RECREACION COMUNITARIA Y APROVECHAMIENTO DEL TIEMPO LIBRE, COMO MECANISMO DE COHESION E INTEGRACION SOCIAL EN EL DISTRITO DE   CARTAGENA DE INDIAS"/>
    <x v="330"/>
    <s v="06"/>
    <s v="00"/>
    <n v="655836118"/>
    <n v="0"/>
    <n v="655836118"/>
    <n v="605477424"/>
    <n v="50358694"/>
    <n v="605477424"/>
    <n v="92.32"/>
    <n v="605477424"/>
    <n v="92.32"/>
    <n v="50358694"/>
    <n v="585551674"/>
  </r>
  <r>
    <n v="2022"/>
    <n v="100"/>
    <x v="5"/>
    <s v="INSTITUTO DE DEPORTE Y RECREACION"/>
    <x v="5"/>
    <n v="2021130010230"/>
    <x v="2"/>
    <x v="4"/>
    <x v="133"/>
    <s v="2,3,4301,1604,2021130010230"/>
    <s v="024"/>
    <s v="1,2,3,1,12-024 - IMPUESTO DE ESPECTACULOS PUBLICOS NACIONAL IDER"/>
    <s v="INV"/>
    <s v="NO"/>
    <s v="RECREACION COMUNITARIA Y APROVECHAMIENTO DEL TIEMPO LIBRE, COMO MECANISMO DE COHESION E INTEGRACION SOCIAL EN EL DISTRITO DE   CARTAGENA DE INDIAS"/>
    <x v="330"/>
    <s v="06"/>
    <s v="00"/>
    <n v="40791692"/>
    <n v="0"/>
    <n v="40791692"/>
    <n v="0"/>
    <n v="40791692"/>
    <n v="0"/>
    <n v="0"/>
    <n v="0"/>
    <n v="0"/>
    <n v="40791692"/>
    <n v="0"/>
  </r>
  <r>
    <n v="2022"/>
    <n v="100"/>
    <x v="5"/>
    <s v="INSTITUTO DE DEPORTE Y RECREACION"/>
    <x v="5"/>
    <n v="2021130010230"/>
    <x v="2"/>
    <x v="4"/>
    <x v="133"/>
    <s v="2,3,4301,1604,2021130010230"/>
    <s v="025"/>
    <s v="1,2,3,2,05-025 - OTRAS TASAS Y DERECHOS ADMINISTRATIVOS TASA PRODEPORTE"/>
    <s v="INV"/>
    <s v="NO"/>
    <s v="RECREACION COMUNITARIA Y APROVECHAMIENTO DEL TIEMPO LIBRE, COMO MECANISMO DE COHESION E INTEGRACION SOCIAL EN EL DISTRITO DE   CARTAGENA DE INDIAS"/>
    <x v="330"/>
    <s v="06"/>
    <s v="00"/>
    <n v="333333331"/>
    <n v="0"/>
    <n v="333333331"/>
    <n v="314191328.06"/>
    <n v="19142002.940000001"/>
    <n v="314191328.06"/>
    <n v="94.26"/>
    <n v="314191328.06"/>
    <n v="94.26"/>
    <n v="19142002.940000001"/>
    <n v="166513328.06"/>
  </r>
  <r>
    <n v="2022"/>
    <n v="100"/>
    <x v="20"/>
    <s v="ESCUELA DE GOBIERNO"/>
    <x v="20"/>
    <n v="2021130010231"/>
    <x v="0"/>
    <x v="30"/>
    <x v="134"/>
    <s v="2,3,4502,1000,2021130010231"/>
    <s v="001"/>
    <s v="1,2,1,0,00-001 - ICLD"/>
    <s v="INV"/>
    <s v="NO"/>
    <s v="FORMACION DE LA CIUDADANIA LIBRE INCLUYENTE Y TRANSFORMADORA PARA LA DEMOCRACIA 2022 2023"/>
    <x v="332"/>
    <s v="06"/>
    <s v="00"/>
    <n v="148128322"/>
    <n v="0"/>
    <n v="148128322"/>
    <n v="148128322"/>
    <n v="0"/>
    <n v="147128322"/>
    <n v="99.32"/>
    <n v="147128322"/>
    <n v="99.32"/>
    <n v="1000000"/>
    <n v="147128322"/>
  </r>
  <r>
    <n v="2022"/>
    <n v="100"/>
    <x v="20"/>
    <s v="ESCUELA DE GOBIERNO"/>
    <x v="20"/>
    <n v="2021130010232"/>
    <x v="0"/>
    <x v="30"/>
    <x v="135"/>
    <s v="2,3,4599,1000,2021130010232"/>
    <s v="001"/>
    <s v="1,2,1,0,00-001 - ICLD"/>
    <s v="INV"/>
    <s v="NO"/>
    <s v="FORMACION DESARROLLO DE LAS COMPETENCIAS DE LOS SERVIDORES Y SERVIDORAS PUBLICAS DEL DISTRITO DE CARTAGENA DE INDIAS"/>
    <x v="333"/>
    <s v="06"/>
    <s v="00"/>
    <n v="150695542"/>
    <n v="0"/>
    <n v="150695542"/>
    <n v="150695542"/>
    <n v="0"/>
    <n v="125000000"/>
    <n v="82.95"/>
    <n v="125000000"/>
    <n v="82.95"/>
    <n v="25695542"/>
    <n v="125000000"/>
  </r>
  <r>
    <n v="2022"/>
    <n v="100"/>
    <x v="9"/>
    <s v="SECRETARIA DE PARTICIPACION Y DESARROLLO SOCIAL"/>
    <x v="9"/>
    <n v="2021130010233"/>
    <x v="4"/>
    <x v="29"/>
    <x v="126"/>
    <s v="2,3,4502,1000,2021130010233"/>
    <s v="001"/>
    <s v="1,2,1,0,00-001 - ICLD"/>
    <s v="INV"/>
    <s v="NO"/>
    <s v="ACTUALIZACION INSTANCIA RECTORA DE LA POLITICA PUBLICA DE MUJERES CARTAGENA DE INDIAS"/>
    <x v="334"/>
    <s v="06"/>
    <s v="00"/>
    <n v="25000000"/>
    <n v="-11000000"/>
    <n v="14000000"/>
    <n v="14000000"/>
    <n v="0"/>
    <n v="14000000"/>
    <n v="100"/>
    <n v="14000000"/>
    <n v="100"/>
    <n v="0"/>
    <n v="14000000"/>
  </r>
  <r>
    <n v="2022"/>
    <n v="100"/>
    <x v="9"/>
    <s v="SECRETARIA DE PARTICIPACION Y DESARROLLO SOCIAL"/>
    <x v="9"/>
    <n v="2021130010234"/>
    <x v="4"/>
    <x v="31"/>
    <x v="136"/>
    <s v="2,3,4502,1000,2021130010234"/>
    <s v="001"/>
    <s v="1,2,1,0,00-001 - ICLD"/>
    <s v="INV"/>
    <s v="NO"/>
    <s v="ACTUALIZACION DIVERSIDAD SEXUAL E IDENTIDADES DE GENERO CARTAGENA DE INDIAS"/>
    <x v="335"/>
    <s v="06"/>
    <s v="00"/>
    <n v="37500000"/>
    <n v="0"/>
    <n v="37500000"/>
    <n v="37460000"/>
    <n v="40000"/>
    <n v="37460000"/>
    <n v="99.89"/>
    <n v="12500000"/>
    <n v="33.33"/>
    <n v="40000"/>
    <n v="12500000"/>
  </r>
  <r>
    <n v="2022"/>
    <n v="100"/>
    <x v="9"/>
    <s v="SECRETARIA DE PARTICIPACION Y DESARROLLO SOCIAL"/>
    <x v="9"/>
    <n v="2021130010235"/>
    <x v="4"/>
    <x v="31"/>
    <x v="136"/>
    <s v="2,3,4502,1000,2021130010235"/>
    <s v="001"/>
    <s v="1,2,1,0,00-001 - ICLD"/>
    <s v="INV"/>
    <s v="NO"/>
    <s v="FORMULACION DE LA POLITICA PUBLICA DE DIVERSIDAD SEXUAL E IDENTIDADES DE GENERO CARTAGENA DE INDIAS"/>
    <x v="336"/>
    <s v="06"/>
    <s v="00"/>
    <n v="37500000"/>
    <n v="0"/>
    <n v="37500000"/>
    <n v="37380000"/>
    <n v="120000"/>
    <n v="36796666.670000002"/>
    <n v="98.12"/>
    <n v="30416666.670000002"/>
    <n v="81.11"/>
    <n v="703333.33"/>
    <n v="30416666.670000002"/>
  </r>
  <r>
    <n v="2022"/>
    <n v="100"/>
    <x v="9"/>
    <s v="SECRETARIA DE PARTICIPACION Y DESARROLLO SOCIAL"/>
    <x v="9"/>
    <n v="2021130010237"/>
    <x v="4"/>
    <x v="25"/>
    <x v="137"/>
    <s v="2,3,1702,1100,2021130010237"/>
    <s v="001"/>
    <s v="1,2,1,0,00-001 - ICLD"/>
    <s v="INV"/>
    <s v="NO"/>
    <s v="ASISTENCIA EMPODERAMIENTO DEL LIDERAZGO DE LAS MUJERES NI?EZ JOVENES FAMILIA Y GENERACION INDIGENA  CARTAGENA DE INDIAS"/>
    <x v="337"/>
    <s v="06"/>
    <s v="00"/>
    <n v="80000000"/>
    <n v="0"/>
    <n v="80000000"/>
    <n v="80000000"/>
    <n v="0"/>
    <n v="80000000"/>
    <n v="100"/>
    <n v="72350000"/>
    <n v="90.44"/>
    <n v="0"/>
    <n v="72350000"/>
  </r>
  <r>
    <n v="2022"/>
    <n v="100"/>
    <x v="20"/>
    <s v="ESCUELA DE GOBIERNO"/>
    <x v="20"/>
    <n v="2021130010238"/>
    <x v="0"/>
    <x v="30"/>
    <x v="138"/>
    <s v="2,3,4599,1000,2021130010238"/>
    <s v="001"/>
    <s v="1,2,1,0,00-001 - ICLD"/>
    <s v="INV"/>
    <s v="NO"/>
    <s v="FORMULACION AGENDA PROSPECTIVA DE CIUDAD NUESTRA CARTAGENA SO?ADA CARTAGENA DE INDIAS"/>
    <x v="338"/>
    <s v="06"/>
    <s v="00"/>
    <n v="414374881"/>
    <n v="0"/>
    <n v="414374881"/>
    <n v="414374880"/>
    <n v="1"/>
    <n v="405256666.66000003"/>
    <n v="97.8"/>
    <n v="55256666.659999996"/>
    <n v="13.33"/>
    <n v="9118214.3399999999"/>
    <n v="49866666.659999996"/>
  </r>
  <r>
    <n v="2022"/>
    <n v="100"/>
    <x v="14"/>
    <s v="SECRETARIA DE HACIENDA PUBLICA"/>
    <x v="14"/>
    <n v="2021130010239"/>
    <x v="0"/>
    <x v="30"/>
    <x v="139"/>
    <s v="2,3,4599,1000,2021130010239"/>
    <s v="001"/>
    <s v="1,2,1,0,00-001 - ICLD"/>
    <s v="INV"/>
    <s v="NO"/>
    <s v="IMPLEMENTACION PLAN DECENAL DE CULTURA CIUDADANA Y CARTAGENEIDAD"/>
    <x v="339"/>
    <s v="06"/>
    <s v="00"/>
    <n v="0"/>
    <n v="0"/>
    <n v="0"/>
    <n v="0"/>
    <n v="0"/>
    <n v="0"/>
    <n v="0"/>
    <n v="0"/>
    <n v="0"/>
    <n v="0"/>
    <n v="0"/>
  </r>
  <r>
    <n v="2022"/>
    <n v="100"/>
    <x v="20"/>
    <s v="ESCUELA DE GOBIERNO"/>
    <x v="20"/>
    <n v="2021130010239"/>
    <x v="0"/>
    <x v="30"/>
    <x v="139"/>
    <s v="2,3,4599,1000,2021130010239"/>
    <s v="001"/>
    <s v="1,2,1,0,00-001 - ICLD"/>
    <s v="INV"/>
    <s v="NO"/>
    <s v="IMPLEMENTACION PLAN DECENAL DE CULTURA CIUDADANA Y CARTAGENEIDAD"/>
    <x v="339"/>
    <s v="06"/>
    <s v="00"/>
    <n v="923703820"/>
    <n v="0"/>
    <n v="923703820"/>
    <n v="920323876"/>
    <n v="3379944"/>
    <n v="919207147.32000005"/>
    <n v="99.51"/>
    <n v="782720496.01999998"/>
    <n v="84.74"/>
    <n v="4496672.68"/>
    <n v="782720496.01999998"/>
  </r>
  <r>
    <n v="2022"/>
    <n v="100"/>
    <x v="20"/>
    <s v="ESCUELA DE GOBIERNO"/>
    <x v="20"/>
    <n v="2021130010240"/>
    <x v="0"/>
    <x v="27"/>
    <x v="140"/>
    <s v="2,3,4502,1000,2021130010240"/>
    <s v="001"/>
    <s v="1,2,1,0,00-001 - ICLD"/>
    <s v="INV"/>
    <s v="NO"/>
    <s v="FORMACION INVESTIGACION PREMIOS JORGE PIEDRAHITA ADUEN"/>
    <x v="340"/>
    <s v="06"/>
    <s v="00"/>
    <n v="184955732"/>
    <n v="0"/>
    <n v="184955732"/>
    <n v="184815739"/>
    <n v="139993"/>
    <n v="181669072.66"/>
    <n v="98.22"/>
    <n v="162954591.46000001"/>
    <n v="88.1"/>
    <n v="3286659.34"/>
    <n v="88096666.659999996"/>
  </r>
  <r>
    <n v="2022"/>
    <n v="100"/>
    <x v="20"/>
    <s v="ESCUELA DE GOBIERNO"/>
    <x v="20"/>
    <n v="2021130010241"/>
    <x v="0"/>
    <x v="30"/>
    <x v="141"/>
    <s v="2,3,4599,1000,2021130010241"/>
    <s v="001"/>
    <s v="1,2,1,0,00-001 - ICLD"/>
    <s v="INV"/>
    <s v="NO"/>
    <s v="DESARROLLO E IMPLEMENTACION DEL CURSO DE FORMACION VIRTUAL EN LA ESCUELA DE GOBIERNO DEL DISTRITO DE CARTAGENA DE INDIAS "/>
    <x v="341"/>
    <s v="06"/>
    <s v="00"/>
    <n v="70433856"/>
    <n v="0"/>
    <n v="70433856"/>
    <n v="70433855"/>
    <n v="1"/>
    <n v="65880000"/>
    <n v="93.53"/>
    <n v="65880000"/>
    <n v="93.53"/>
    <n v="4553856"/>
    <n v="65880000"/>
  </r>
  <r>
    <n v="2022"/>
    <n v="100"/>
    <x v="20"/>
    <s v="ESCUELA DE GOBIERNO"/>
    <x v="20"/>
    <n v="2021130010242"/>
    <x v="0"/>
    <x v="30"/>
    <x v="142"/>
    <s v="2,3,4599,1000,2021130010242"/>
    <s v="001"/>
    <s v="1,2,1,0,00-001 - ICLD"/>
    <s v="INV"/>
    <s v="NO"/>
    <s v="FORMACION MI ORGULLO ES CARTAGENA"/>
    <x v="342"/>
    <s v="06"/>
    <s v="00"/>
    <n v="107707847"/>
    <n v="0"/>
    <n v="107707847"/>
    <n v="107707847"/>
    <n v="0"/>
    <n v="107307847"/>
    <n v="99.63"/>
    <n v="43600000"/>
    <n v="40.479999999999997"/>
    <n v="400000"/>
    <n v="43600000"/>
  </r>
  <r>
    <n v="2022"/>
    <n v="100"/>
    <x v="15"/>
    <s v="SECRETARIA DE PLANEACION"/>
    <x v="15"/>
    <n v="2021130010244"/>
    <x v="2"/>
    <x v="24"/>
    <x v="104"/>
    <s v="2,3,0401,1003,2021130010244"/>
    <s v="922"/>
    <s v="1,3,3,8,03-95-070 R,B, SGP-PROPOSITO GENERAL-PROPOSITO GENERAL LIBRE INVERSION"/>
    <s v="INV"/>
    <s v="NO"/>
    <s v="ACTUALIZACION Y OPTIMIZACION DEL SISTEMAS DE INFORMACION GEOGRAFICA PARA LA PLANEACION SOCIAL Y TOMA DE DECISIONES DEL TERRITORIO EN  CARTAGENA DE INDIAS"/>
    <x v="343"/>
    <s v="06"/>
    <s v="00"/>
    <n v="0"/>
    <n v="217026666.66"/>
    <n v="217026666.66"/>
    <n v="32000000"/>
    <n v="185026666.66"/>
    <n v="32000000"/>
    <n v="14.74"/>
    <n v="0"/>
    <n v="0"/>
    <n v="185026666.66"/>
    <n v="0"/>
  </r>
  <r>
    <n v="2022"/>
    <n v="100"/>
    <x v="15"/>
    <s v="SECRETARIA DE PLANEACION"/>
    <x v="15"/>
    <n v="2021130010244"/>
    <x v="2"/>
    <x v="24"/>
    <x v="104"/>
    <s v="2,3,0401,1003,2021130010244"/>
    <s v="001"/>
    <s v="1,2,1,0,00-001 - ICLD"/>
    <s v="INV"/>
    <s v="NO"/>
    <s v="ACTUALIZACION Y OPTIMIZACION DEL SISTEMAS DE INFORMACION GEOGRAFICA PARA LA PLANEACION SOCIAL Y TOMA DE DECISIONES DEL TERRITORIO EN  CARTAGENA DE INDIAS"/>
    <x v="343"/>
    <s v="06"/>
    <s v="00"/>
    <n v="328600000"/>
    <n v="0"/>
    <n v="328600000"/>
    <n v="326642740.32999998"/>
    <n v="1957259.67"/>
    <n v="257638732"/>
    <n v="78.400000000000006"/>
    <n v="257638732"/>
    <n v="78.400000000000006"/>
    <n v="70961268"/>
    <n v="253538732"/>
  </r>
  <r>
    <n v="2022"/>
    <n v="100"/>
    <x v="15"/>
    <s v="SECRETARIA DE PLANEACION"/>
    <x v="15"/>
    <n v="2021130010245"/>
    <x v="3"/>
    <x v="22"/>
    <x v="143"/>
    <s v="2,3,4599,1000,2021130010245"/>
    <s v="001"/>
    <s v="1,2,1,0,00-001 - ICLD"/>
    <s v="INV"/>
    <s v="NO"/>
    <s v="ACTUALIZACION DEL AREA METROPOLITANA DE CARTAGENA DE INDIAS BUSCANDO FORTALECER LA CONSOLIDACION DEL AREA DE INTEGRACION COMO UN ESQUEMA ASOCIATIVO QUE FAVOREZCA EL SURGIMIENTO DE PROYECTOS TERRITORIALES  CARTAGENA DE INDIAS"/>
    <x v="344"/>
    <s v="06"/>
    <s v="00"/>
    <n v="239800000"/>
    <n v="0"/>
    <n v="239800000"/>
    <n v="198586666"/>
    <n v="41213334"/>
    <n v="198586666"/>
    <n v="82.81"/>
    <n v="198586666"/>
    <n v="82.81"/>
    <n v="41213334"/>
    <n v="191586666"/>
  </r>
  <r>
    <n v="2022"/>
    <n v="100"/>
    <x v="16"/>
    <s v="DEPARTAMENTO ADMINISTRATIVO DE TRANSITO Y TRANSPORTE"/>
    <x v="16"/>
    <n v="2021130010246"/>
    <x v="1"/>
    <x v="10"/>
    <x v="144"/>
    <s v="2,3,2409,0600,2021130010246"/>
    <s v="846"/>
    <s v="1,3,3,3,03-95-022 R,B, IMPUESTO SOBRE VEHICULOS AUTOMOTORES"/>
    <s v="INV"/>
    <s v="NO"/>
    <s v="FORTALECIMIENTO DE LA EDUCACION CULTURA Y SEGURIDAD VIAL EN EL DISTRITO DE   CARTAGENA DE INDIAS"/>
    <x v="345"/>
    <s v="06"/>
    <s v="00"/>
    <n v="0"/>
    <n v="230149618"/>
    <n v="230149618"/>
    <n v="178276253.50999999"/>
    <n v="51873364.490000002"/>
    <n v="151321358.09999999"/>
    <n v="65.75"/>
    <n v="70778090.349999994"/>
    <n v="30.75"/>
    <n v="78828259.900000006"/>
    <n v="35848000"/>
  </r>
  <r>
    <n v="2022"/>
    <n v="100"/>
    <x v="16"/>
    <s v="DEPARTAMENTO ADMINISTRATIVO DE TRANSITO Y TRANSPORTE"/>
    <x v="16"/>
    <n v="2021130010246"/>
    <x v="1"/>
    <x v="10"/>
    <x v="144"/>
    <s v="2,3,2409,0600,2021130010246"/>
    <s v="862"/>
    <s v="1,3,3,4,15-95-021 R,B, SERVICIOS DE TRANSITO Y TRANSPORTE"/>
    <s v="INV"/>
    <s v="NO"/>
    <s v="FORTALECIMIENTO DE LA EDUCACION CULTURA Y SEGURIDAD VIAL EN EL DISTRITO DE   CARTAGENA DE INDIAS"/>
    <x v="345"/>
    <s v="06"/>
    <s v="00"/>
    <n v="0"/>
    <n v="23350199.600000001"/>
    <n v="23350199.600000001"/>
    <n v="11465494.359999999"/>
    <n v="11884705.24"/>
    <n v="8588126.2799999993"/>
    <n v="36.78"/>
    <n v="0"/>
    <n v="0"/>
    <n v="14762073.32"/>
    <n v="0"/>
  </r>
  <r>
    <n v="2022"/>
    <n v="100"/>
    <x v="16"/>
    <s v="DEPARTAMENTO ADMINISTRATIVO DE TRANSITO Y TRANSPORTE"/>
    <x v="16"/>
    <n v="2021130010246"/>
    <x v="1"/>
    <x v="10"/>
    <x v="144"/>
    <s v="2,3,2409,0600,2021130010246"/>
    <s v="168"/>
    <s v="1,2,3,2,07-168 - OTRAS MULTAS, SANCIONES E INTERESES DE MORA (MULTAS TRANSITO Y TRANSPORTE)"/>
    <s v="INV"/>
    <s v="NO"/>
    <s v="FORTALECIMIENTO DE LA EDUCACION CULTURA Y SEGURIDAD VIAL EN EL DISTRITO DE   CARTAGENA DE INDIAS"/>
    <x v="345"/>
    <s v="06"/>
    <s v="00"/>
    <n v="1569400000"/>
    <n v="-62101923.07"/>
    <n v="1507298076.9300001"/>
    <n v="1500723905"/>
    <n v="6574171.9299999997"/>
    <n v="1500723905"/>
    <n v="99.56"/>
    <n v="1479075666"/>
    <n v="98.13"/>
    <n v="6574171.9299999997"/>
    <n v="1439374333"/>
  </r>
  <r>
    <n v="2022"/>
    <n v="100"/>
    <x v="16"/>
    <s v="DEPARTAMENTO ADMINISTRATIVO DE TRANSITO Y TRANSPORTE"/>
    <x v="16"/>
    <n v="2021130010246"/>
    <x v="1"/>
    <x v="10"/>
    <x v="144"/>
    <s v="2,3,2409,0600,2021130010246"/>
    <s v="861"/>
    <s v="1,3,3,4,15-93-021 R,B, SERVICIOS DE TRANSITO Y TRANSPORTE"/>
    <s v="INV"/>
    <s v="NO"/>
    <s v="FORTALECIMIENTO DE LA EDUCACION CULTURA Y SEGURIDAD VIAL EN EL DISTRITO DE   CARTAGENA DE INDIAS"/>
    <x v="345"/>
    <s v="06"/>
    <s v="00"/>
    <n v="0"/>
    <n v="586276137.63999999"/>
    <n v="586276137.63999999"/>
    <n v="586276137.63999999"/>
    <n v="0"/>
    <n v="486632777.63999999"/>
    <n v="83"/>
    <n v="443882338"/>
    <n v="75.709999999999994"/>
    <n v="99643360"/>
    <n v="388421004"/>
  </r>
  <r>
    <n v="2022"/>
    <n v="100"/>
    <x v="16"/>
    <s v="DEPARTAMENTO ADMINISTRATIVO DE TRANSITO Y TRANSPORTE"/>
    <x v="16"/>
    <n v="2021130010246"/>
    <x v="1"/>
    <x v="10"/>
    <x v="144"/>
    <s v="2,3,2409,0600,2021130010246"/>
    <s v="022"/>
    <s v="1,2,3,3,01-022 - PARTICIPACIONES DISTINTAS DEL SGP (PARTICIPACION IMPUESTO DE VEHICULO AUTOMOTOR)"/>
    <s v="INV"/>
    <s v="NO"/>
    <s v="FORTALECIMIENTO DE LA EDUCACION CULTURA Y SEGURIDAD VIAL EN EL DISTRITO DE   CARTAGENA DE INDIAS"/>
    <x v="345"/>
    <s v="06"/>
    <s v="00"/>
    <n v="103885892"/>
    <n v="-103885889"/>
    <n v="3"/>
    <n v="0"/>
    <n v="3"/>
    <n v="0"/>
    <n v="0"/>
    <n v="0"/>
    <n v="0"/>
    <n v="3"/>
    <n v="0"/>
  </r>
  <r>
    <n v="2022"/>
    <n v="100"/>
    <x v="16"/>
    <s v="DEPARTAMENTO ADMINISTRATIVO DE TRANSITO Y TRANSPORTE"/>
    <x v="16"/>
    <n v="2021130010247"/>
    <x v="1"/>
    <x v="10"/>
    <x v="144"/>
    <s v="2,3,2409,0600,2021130010247"/>
    <s v="846"/>
    <s v="1,3,3,3,03-95-022 R,B, IMPUESTO SOBRE VEHICULOS AUTOMOTORES"/>
    <s v="INV"/>
    <s v="NO"/>
    <s v="AMPLIACION Y MANTENIMIENTO DE LA SE?ALIZACION VIAL EN EL DISTRITO DE CARTAGENA DE INDIAS"/>
    <x v="346"/>
    <s v="06"/>
    <s v="00"/>
    <n v="0"/>
    <n v="407989845"/>
    <n v="407989845"/>
    <n v="407989844"/>
    <n v="1"/>
    <n v="372331137"/>
    <n v="91.26"/>
    <n v="0"/>
    <n v="0"/>
    <n v="35658708"/>
    <n v="0"/>
  </r>
  <r>
    <n v="2022"/>
    <n v="100"/>
    <x v="16"/>
    <s v="DEPARTAMENTO ADMINISTRATIVO DE TRANSITO Y TRANSPORTE"/>
    <x v="16"/>
    <n v="2021130010247"/>
    <x v="1"/>
    <x v="10"/>
    <x v="144"/>
    <s v="2,3,2409,0600,2021130010247"/>
    <s v="079"/>
    <s v="1,3,2,3,05-079 - OTROS RENDIMIENTOS FINANCIEROS DATT"/>
    <s v="INV"/>
    <s v="NO"/>
    <s v="AMPLIACION Y MANTENIMIENTO DE LA SE?ALIZACION VIAL EN EL DISTRITO DE  CARTAGENA DE INDIAS"/>
    <x v="347"/>
    <s v="06"/>
    <s v="00"/>
    <n v="14829657"/>
    <n v="0"/>
    <n v="14829657"/>
    <n v="14829657"/>
    <n v="0"/>
    <n v="14786594"/>
    <n v="99.71"/>
    <n v="0"/>
    <n v="0"/>
    <n v="43063"/>
    <n v="0"/>
  </r>
  <r>
    <n v="2022"/>
    <n v="100"/>
    <x v="16"/>
    <s v="DEPARTAMENTO ADMINISTRATIVO DE TRANSITO Y TRANSPORTE"/>
    <x v="16"/>
    <n v="2021130010247"/>
    <x v="1"/>
    <x v="10"/>
    <x v="144"/>
    <s v="2,3,2409,0600,2021130010247"/>
    <s v="164"/>
    <s v="1,2,3,2,07-164 - OTRAS MULTAS, SANCIONES E INTERESES DE MORA (Participacion de intereses de mora sobre el impuesto sobre vehiculos automotores)"/>
    <s v="INV"/>
    <s v="NO"/>
    <s v="AMPLIACION Y MANTENIMIENTO DE LA SE?ALIZACION VIAL EN EL DISTRITO DE  CARTAGENA DE INDIAS"/>
    <x v="347"/>
    <s v="06"/>
    <s v="00"/>
    <n v="203337558"/>
    <n v="0"/>
    <n v="203337558"/>
    <n v="203337558"/>
    <n v="0"/>
    <n v="203337558"/>
    <n v="100"/>
    <n v="0"/>
    <n v="0"/>
    <n v="0"/>
    <n v="0"/>
  </r>
  <r>
    <n v="2022"/>
    <n v="100"/>
    <x v="16"/>
    <s v="DEPARTAMENTO ADMINISTRATIVO DE TRANSITO Y TRANSPORTE"/>
    <x v="16"/>
    <n v="2021130010247"/>
    <x v="1"/>
    <x v="10"/>
    <x v="144"/>
    <s v="2,3,2409,0600,2021130010247"/>
    <s v="165"/>
    <s v="1,2,3,2,07-165 - OTRAS MULTAS, SANCIONES E INTERESES DE MORA (Participacion de sanciones del impuesto sobre vehiculos automotores)"/>
    <s v="INV"/>
    <s v="NO"/>
    <s v="AMPLIACION Y MANTENIMIENTO DE LA SE?ALIZACION VIAL EN EL DISTRITO DE  CARTAGENA DE INDIAS"/>
    <x v="347"/>
    <s v="06"/>
    <s v="00"/>
    <n v="203337558"/>
    <n v="0"/>
    <n v="203337558"/>
    <n v="203337558"/>
    <n v="0"/>
    <n v="203337558"/>
    <n v="100"/>
    <n v="0"/>
    <n v="0"/>
    <n v="0"/>
    <n v="0"/>
  </r>
  <r>
    <n v="2022"/>
    <n v="100"/>
    <x v="16"/>
    <s v="DEPARTAMENTO ADMINISTRATIVO DE TRANSITO Y TRANSPORTE"/>
    <x v="16"/>
    <n v="2021130010247"/>
    <x v="1"/>
    <x v="10"/>
    <x v="144"/>
    <s v="2,3,2409,0600,2021130010247"/>
    <s v="168"/>
    <s v="1,2,3,2,07-168 - OTRAS MULTAS, SANCIONES E INTERESES DE MORA (MULTAS TRANSITO Y TRANSPORTE)"/>
    <s v="INV"/>
    <s v="NO"/>
    <s v="AMPLIACION Y MANTENIMIENTO DE LA SE?ALIZACION VIAL EN EL DISTRITO DE  CARTAGENA DE INDIAS"/>
    <x v="347"/>
    <s v="06"/>
    <s v="00"/>
    <n v="385170342.56"/>
    <n v="0"/>
    <n v="385170342.56"/>
    <n v="385170342"/>
    <n v="0.56000000000000005"/>
    <n v="291894048"/>
    <n v="75.78"/>
    <n v="0"/>
    <n v="0"/>
    <n v="93276294.560000002"/>
    <n v="0"/>
  </r>
  <r>
    <n v="2022"/>
    <n v="100"/>
    <x v="16"/>
    <s v="DEPARTAMENTO ADMINISTRATIVO DE TRANSITO Y TRANSPORTE"/>
    <x v="16"/>
    <n v="2021130010247"/>
    <x v="1"/>
    <x v="10"/>
    <x v="144"/>
    <s v="2,3,2409,0600,2021130010247"/>
    <s v="861"/>
    <s v="1,3,3,4,15-93-021 R,B, SERVICIOS DE TRANSITO Y TRANSPORTE"/>
    <s v="INV"/>
    <s v="NO"/>
    <s v="AMPLIACION Y MANTENIMIENTO DE LA SE?ALIZACION VIAL EN EL DISTRITO DE  CARTAGENA DE INDIAS"/>
    <x v="347"/>
    <s v="06"/>
    <s v="00"/>
    <n v="0"/>
    <n v="1283595654.6900001"/>
    <n v="1283595654.6900001"/>
    <n v="918244439.91999996"/>
    <n v="365351214.76999998"/>
    <n v="388506528.86000001"/>
    <n v="30.27"/>
    <n v="0"/>
    <n v="0"/>
    <n v="895089125.83000004"/>
    <n v="0"/>
  </r>
  <r>
    <n v="2022"/>
    <n v="100"/>
    <x v="16"/>
    <s v="DEPARTAMENTO ADMINISTRATIVO DE TRANSITO Y TRANSPORTE"/>
    <x v="16"/>
    <n v="2021130010247"/>
    <x v="1"/>
    <x v="10"/>
    <x v="144"/>
    <s v="2,3,2409,0600,2021130010247"/>
    <s v="001"/>
    <s v="1,2,1,0,00-001 - ICLD"/>
    <s v="INV"/>
    <s v="NO"/>
    <s v="AMPLIACION Y MANTENIMIENTO DE LA SE?ALIZACION VIAL EN EL DISTRITO DE  CARTAGENA DE INDIAS"/>
    <x v="347"/>
    <s v="06"/>
    <s v="00"/>
    <n v="2000000000"/>
    <n v="0"/>
    <n v="2000000000"/>
    <n v="1892152647.6500001"/>
    <n v="107847352.34999999"/>
    <n v="1790581034.6500001"/>
    <n v="89.53"/>
    <n v="237533100"/>
    <n v="11.88"/>
    <n v="209418965.34999999"/>
    <n v="205551600"/>
  </r>
  <r>
    <n v="2022"/>
    <n v="100"/>
    <x v="16"/>
    <s v="DEPARTAMENTO ADMINISTRATIVO DE TRANSITO Y TRANSPORTE"/>
    <x v="16"/>
    <n v="2021130010247"/>
    <x v="1"/>
    <x v="10"/>
    <x v="144"/>
    <s v="2,3,2409,0600,2021130010247"/>
    <s v="022"/>
    <s v="1,2,3,3,01-022 - PARTICIPACIONES DISTINTAS DEL SGP (PARTICIPACION IMPUESTO DE VEHICULO AUTOMOTOR)"/>
    <s v="INV"/>
    <s v="NO"/>
    <s v="AMPLIACION Y MANTENIMIENTO DE LA SE?ALIZACION VIAL EN EL DISTRITO DE  CARTAGENA DE INDIAS"/>
    <x v="347"/>
    <s v="06"/>
    <s v="00"/>
    <n v="200000000"/>
    <n v="0"/>
    <n v="200000000"/>
    <n v="200000000"/>
    <n v="0"/>
    <n v="200000000"/>
    <n v="100"/>
    <n v="0"/>
    <n v="0"/>
    <n v="0"/>
    <n v="0"/>
  </r>
  <r>
    <n v="2022"/>
    <n v="100"/>
    <x v="16"/>
    <s v="DEPARTAMENTO ADMINISTRATIVO DE TRANSITO Y TRANSPORTE"/>
    <x v="16"/>
    <n v="2021130010248"/>
    <x v="1"/>
    <x v="10"/>
    <x v="145"/>
    <s v="2,3,4599,1000,2021130010248"/>
    <s v="846"/>
    <s v="1,3,3,3,03-95-022 R,B, IMPUESTO SOBRE VEHICULOS AUTOMOTORES"/>
    <s v="INV"/>
    <s v="NO"/>
    <s v="IMPLEMENTACION DE REINGENIERIA INSTITUCIONAL Y FORTALECIMIENTO FINANCIERO DEL DEPARTAMENTO ADMINISTRATIVO DE TRANSITO Y TRANSPORTE DE   CARTAGENA DE INDIAS"/>
    <x v="348"/>
    <s v="06"/>
    <s v="00"/>
    <n v="0"/>
    <n v="711060801"/>
    <n v="711060801"/>
    <n v="656341907"/>
    <n v="54718894"/>
    <n v="388007012.47000003"/>
    <n v="54.57"/>
    <n v="243399467"/>
    <n v="34.229999999999997"/>
    <n v="323053788.52999997"/>
    <n v="233962467"/>
  </r>
  <r>
    <n v="2022"/>
    <n v="100"/>
    <x v="16"/>
    <s v="DEPARTAMENTO ADMINISTRATIVO DE TRANSITO Y TRANSPORTE"/>
    <x v="16"/>
    <n v="2021130010248"/>
    <x v="1"/>
    <x v="10"/>
    <x v="145"/>
    <s v="2,3,4599,1000,2021130010248"/>
    <s v="847"/>
    <s v="1,3,3,3,03-95-079 R,B, IMPUESTO SOBRE VEHICULOS AUTOMOTORES RENDIMIENTOS DATT"/>
    <s v="INV"/>
    <s v="NO"/>
    <s v="IMPLEMENTACION DE REINGENIERIA INSTITUCIONAL Y FORTALECIMIENTO FINANCIERO DEL DEPARTAMENTO ADMINISTRATIVO DE TRANSITO Y TRANSPORTE DE   CARTAGENA DE INDIAS"/>
    <x v="348"/>
    <s v="06"/>
    <s v="00"/>
    <n v="0"/>
    <n v="1753062"/>
    <n v="1753062"/>
    <n v="1753062"/>
    <n v="0"/>
    <n v="1753062"/>
    <n v="100"/>
    <n v="0"/>
    <n v="0"/>
    <n v="0"/>
    <n v="0"/>
  </r>
  <r>
    <n v="2022"/>
    <n v="100"/>
    <x v="16"/>
    <s v="DEPARTAMENTO ADMINISTRATIVO DE TRANSITO Y TRANSPORTE"/>
    <x v="16"/>
    <n v="2021130010248"/>
    <x v="1"/>
    <x v="10"/>
    <x v="145"/>
    <s v="2,3,4599,1000,2021130010248"/>
    <s v="862"/>
    <s v="1,3,3,4,15-95-021 R,B, SERVICIOS DE TRANSITO Y TRANSPORTE"/>
    <s v="INV"/>
    <s v="NO"/>
    <s v="IMPLEMENTACION DE REINGENIERIA INSTITUCIONAL Y FORTALECIMIENTO FINANCIERO DEL DEPARTAMENTO ADMINISTRATIVO DE TRANSITO Y TRANSPORTE DE   CARTAGENA DE INDIAS"/>
    <x v="348"/>
    <s v="06"/>
    <s v="00"/>
    <n v="0"/>
    <n v="1155295654.6800001"/>
    <n v="1155295654.6800001"/>
    <n v="1155295654.6800001"/>
    <n v="0"/>
    <n v="765354445.52999997"/>
    <n v="66.25"/>
    <n v="293031268"/>
    <n v="25.36"/>
    <n v="389941209.14999998"/>
    <n v="0"/>
  </r>
  <r>
    <n v="2022"/>
    <n v="100"/>
    <x v="16"/>
    <s v="DEPARTAMENTO ADMINISTRATIVO DE TRANSITO Y TRANSPORTE"/>
    <x v="16"/>
    <n v="2021130010248"/>
    <x v="1"/>
    <x v="10"/>
    <x v="145"/>
    <s v="2,3,4599,1000,2021130010248"/>
    <s v="168"/>
    <s v="1,2,3,2,07-168 - OTRAS MULTAS, SANCIONES E INTERESES DE MORA (MULTAS TRANSITO Y TRANSPORTE)"/>
    <s v="INV"/>
    <s v="NO"/>
    <s v="IMPLEMENTACION DE REINGENIERIA INSTITUCIONAL Y FORTALECIMIENTO FINANCIERO DEL DEPARTAMENTO ADMINISTRATIVO DE TRANSITO Y TRANSPORTE DE   CARTAGENA DE INDIAS"/>
    <x v="348"/>
    <s v="06"/>
    <s v="00"/>
    <n v="901000000"/>
    <n v="224600000"/>
    <n v="1125600000"/>
    <n v="1061025583"/>
    <n v="64574417"/>
    <n v="1061025583"/>
    <n v="94.26"/>
    <n v="438155486"/>
    <n v="38.93"/>
    <n v="64574417"/>
    <n v="419568872"/>
  </r>
  <r>
    <n v="2022"/>
    <n v="100"/>
    <x v="16"/>
    <s v="DEPARTAMENTO ADMINISTRATIVO DE TRANSITO Y TRANSPORTE"/>
    <x v="16"/>
    <n v="2021130010248"/>
    <x v="1"/>
    <x v="10"/>
    <x v="145"/>
    <s v="2,3,4599,1000,2021130010248"/>
    <s v="022"/>
    <s v="1,2,3,3,01-022 - PARTICIPACIONES DISTINTAS DEL SGP (PARTICIPACION IMPUESTO DE VEHICULO AUTOMOTOR)"/>
    <s v="INV"/>
    <s v="NO"/>
    <s v="IMPLEMENTACION DE REINGENIERIA INSTITUCIONAL Y FORTALECIMIENTO FINANCIERO DEL DEPARTAMENTO ADMINISTRATIVO DE TRANSITO Y TRANSPORTE DE   CARTAGENA DE INDIAS"/>
    <x v="348"/>
    <s v="06"/>
    <s v="00"/>
    <n v="1989600000"/>
    <n v="105885889"/>
    <n v="2095485889"/>
    <n v="2090569725"/>
    <n v="4916164"/>
    <n v="1894972298"/>
    <n v="90.43"/>
    <n v="615495700"/>
    <n v="29.37"/>
    <n v="200513591"/>
    <n v="610867000"/>
  </r>
  <r>
    <n v="2022"/>
    <n v="100"/>
    <x v="16"/>
    <s v="DEPARTAMENTO ADMINISTRATIVO DE TRANSITO Y TRANSPORTE"/>
    <x v="16"/>
    <n v="2021130010249"/>
    <x v="1"/>
    <x v="10"/>
    <x v="74"/>
    <s v="2,3,2409,0600,2021130010249"/>
    <s v="846"/>
    <s v="1,3,3,3,03-95-022 R,B, IMPUESTO SOBRE VEHICULOS AUTOMOTORES"/>
    <s v="INV"/>
    <s v="NO"/>
    <s v="IMPLEMENTACION SISTEMA DE MOVILIDAD SOSTENIBLE EN EL DISTRITO DE   CARTAGENA DE INDIAS"/>
    <x v="349"/>
    <s v="06"/>
    <s v="00"/>
    <n v="0"/>
    <n v="722711007"/>
    <n v="722711007"/>
    <n v="703633174"/>
    <n v="19077833"/>
    <n v="533855167"/>
    <n v="73.87"/>
    <n v="33855167"/>
    <n v="4.68"/>
    <n v="188855840"/>
    <n v="33855167"/>
  </r>
  <r>
    <n v="2022"/>
    <n v="100"/>
    <x v="16"/>
    <s v="DEPARTAMENTO ADMINISTRATIVO DE TRANSITO Y TRANSPORTE"/>
    <x v="16"/>
    <n v="2021130010249"/>
    <x v="1"/>
    <x v="10"/>
    <x v="74"/>
    <s v="2,3,2409,0600,2021130010249"/>
    <s v="168"/>
    <s v="1,2,3,2,07-168 - OTRAS MULTAS, SANCIONES E INTERESES DE MORA (MULTAS TRANSITO Y TRANSPORTE)"/>
    <s v="INV"/>
    <s v="NO"/>
    <s v="IMPLEMENTACION SISTEMA DE MOVILIDAD SOSTENIBLE EN EL DISTRITO DE   CARTAGENA DE INDIAS"/>
    <x v="349"/>
    <s v="06"/>
    <s v="00"/>
    <n v="380477076.93000001"/>
    <n v="-162498076.93000001"/>
    <n v="217979000"/>
    <n v="204973200"/>
    <n v="13005800"/>
    <n v="204973200"/>
    <n v="94.03"/>
    <n v="204973200"/>
    <n v="94.03"/>
    <n v="13005800"/>
    <n v="204973200"/>
  </r>
  <r>
    <n v="2022"/>
    <n v="100"/>
    <x v="16"/>
    <s v="DEPARTAMENTO ADMINISTRATIVO DE TRANSITO Y TRANSPORTE"/>
    <x v="16"/>
    <n v="2021130010249"/>
    <x v="1"/>
    <x v="10"/>
    <x v="74"/>
    <s v="2,3,2409,0600,2021130010249"/>
    <s v="022"/>
    <s v="1,2,3,3,01-022 - PARTICIPACIONES DISTINTAS DEL SGP (PARTICIPACION IMPUESTO DE VEHICULO AUTOMOTOR)"/>
    <s v="INV"/>
    <s v="NO"/>
    <s v="IMPLEMENTACION SISTEMA DE MOVILIDAD SOSTENIBLE EN EL DISTRITO DE   CARTAGENA DE INDIAS"/>
    <x v="349"/>
    <s v="06"/>
    <s v="00"/>
    <n v="0"/>
    <n v="408000000"/>
    <n v="408000000"/>
    <n v="408000000"/>
    <n v="0"/>
    <n v="385790860"/>
    <n v="94.56"/>
    <n v="135026801"/>
    <n v="33.090000000000003"/>
    <n v="22209140"/>
    <n v="0"/>
  </r>
  <r>
    <n v="2022"/>
    <n v="100"/>
    <x v="16"/>
    <s v="DEPARTAMENTO ADMINISTRATIVO DE TRANSITO Y TRANSPORTE"/>
    <x v="16"/>
    <n v="2021130010250"/>
    <x v="1"/>
    <x v="10"/>
    <x v="74"/>
    <s v="2,3,2409,0600,2021130010250"/>
    <s v="846"/>
    <s v="1,3,3,3,03-95-022 R,B, IMPUESTO SOBRE VEHICULOS AUTOMOTORES"/>
    <s v="INV"/>
    <s v="NO"/>
    <s v="APOYO PARA LA GESTION DEL TRANSPORTE PUBLICO MASIVO COLECTIVO E INDIVIDUAL EN EL DISTRITO DE   CARTAGENA DE INDIAS"/>
    <x v="350"/>
    <s v="06"/>
    <s v="00"/>
    <n v="0"/>
    <n v="15860000"/>
    <n v="15860000"/>
    <n v="0"/>
    <n v="15860000"/>
    <n v="0"/>
    <n v="0"/>
    <n v="0"/>
    <n v="0"/>
    <n v="15860000"/>
    <n v="0"/>
  </r>
  <r>
    <n v="2022"/>
    <n v="100"/>
    <x v="16"/>
    <s v="DEPARTAMENTO ADMINISTRATIVO DE TRANSITO Y TRANSPORTE"/>
    <x v="16"/>
    <n v="2021130010250"/>
    <x v="1"/>
    <x v="10"/>
    <x v="74"/>
    <s v="2,3,2409,0600,2021130010250"/>
    <s v="862"/>
    <s v="1,3,3,4,15-95-021 R,B, SERVICIOS DE TRANSITO Y TRANSPORTE"/>
    <s v="INV"/>
    <s v="NO"/>
    <s v="APOYO PARA LA GESTION DEL TRANSPORTE PUBLICO MASIVO COLECTIVO E INDIVIDUAL EN EL DISTRITO DE   CARTAGENA DE INDIAS"/>
    <x v="350"/>
    <s v="06"/>
    <s v="00"/>
    <n v="0"/>
    <n v="450000000"/>
    <n v="450000000"/>
    <n v="213365333"/>
    <n v="236634667"/>
    <n v="213365333"/>
    <n v="47.41"/>
    <n v="36631075.030000001"/>
    <n v="8.14"/>
    <n v="236634667"/>
    <n v="36631075.030000001"/>
  </r>
  <r>
    <n v="2022"/>
    <n v="100"/>
    <x v="16"/>
    <s v="DEPARTAMENTO ADMINISTRATIVO DE TRANSITO Y TRANSPORTE"/>
    <x v="16"/>
    <n v="2021130010250"/>
    <x v="1"/>
    <x v="10"/>
    <x v="74"/>
    <s v="2,3,2409,0600,2021130010250"/>
    <s v="168"/>
    <s v="1,2,3,2,07-168 - OTRAS MULTAS, SANCIONES E INTERESES DE MORA (MULTAS TRANSITO Y TRANSPORTE)"/>
    <s v="INV"/>
    <s v="NO"/>
    <s v="APOYO PARA LA GESTION DEL TRANSPORTE PUBLICO MASIVO COLECTIVO E INDIVIDUAL EN EL DISTRITO DE   CARTAGENA DE INDIAS"/>
    <x v="350"/>
    <s v="06"/>
    <s v="00"/>
    <n v="482511000"/>
    <n v="0"/>
    <n v="482511000"/>
    <n v="388035064"/>
    <n v="94475936"/>
    <n v="368358797"/>
    <n v="76.34"/>
    <n v="295138993.07999998"/>
    <n v="61.17"/>
    <n v="114152203"/>
    <n v="293119993.07999998"/>
  </r>
  <r>
    <n v="2022"/>
    <n v="100"/>
    <x v="16"/>
    <s v="DEPARTAMENTO ADMINISTRATIVO DE TRANSITO Y TRANSPORTE"/>
    <x v="16"/>
    <n v="2021130010250"/>
    <x v="1"/>
    <x v="10"/>
    <x v="74"/>
    <s v="2,3,2409,0600,2021130010250"/>
    <s v="022"/>
    <s v="1,2,3,3,01-022 - PARTICIPACIONES DISTINTAS DEL SGP (PARTICIPACION IMPUESTO DE VEHICULO AUTOMOTOR)"/>
    <s v="INV"/>
    <s v="NO"/>
    <s v="APOYO PARA LA GESTION DEL TRANSPORTE PUBLICO MASIVO COLECTIVO E INDIVIDUAL EN EL DISTRITO DE   CARTAGENA DE INDIAS"/>
    <x v="350"/>
    <s v="06"/>
    <s v="00"/>
    <n v="1300000000"/>
    <n v="-250000000"/>
    <n v="1050000000"/>
    <n v="924600000"/>
    <n v="125400000"/>
    <n v="924600000"/>
    <n v="88.06"/>
    <n v="924600000"/>
    <n v="88.06"/>
    <n v="125400000"/>
    <n v="924600000"/>
  </r>
  <r>
    <n v="2022"/>
    <n v="100"/>
    <x v="16"/>
    <s v="DEPARTAMENTO ADMINISTRATIVO DE TRANSITO Y TRANSPORTE"/>
    <x v="16"/>
    <n v="2021130010251"/>
    <x v="1"/>
    <x v="10"/>
    <x v="144"/>
    <s v="2,3,2409,0600,2021130010251"/>
    <s v="846"/>
    <s v="1,3,3,3,03-95-022 R,B, IMPUESTO SOBRE VEHICULOS AUTOMOTORES"/>
    <s v="INV"/>
    <s v="NO"/>
    <s v="FORMULACION Y ADOPCION DEL PLAN LOCAL DE SEGURIDAD VIAL EN EL DISTRITO DE  CARTAGENA DE INDIAS"/>
    <x v="351"/>
    <s v="06"/>
    <s v="00"/>
    <n v="0"/>
    <n v="58008333"/>
    <n v="58008333"/>
    <n v="58008333"/>
    <n v="0"/>
    <n v="2000000"/>
    <n v="3.45"/>
    <n v="2000000"/>
    <n v="3.45"/>
    <n v="56008333"/>
    <n v="0"/>
  </r>
  <r>
    <n v="2022"/>
    <n v="100"/>
    <x v="16"/>
    <s v="DEPARTAMENTO ADMINISTRATIVO DE TRANSITO Y TRANSPORTE"/>
    <x v="16"/>
    <n v="2021130010251"/>
    <x v="1"/>
    <x v="10"/>
    <x v="144"/>
    <s v="2,3,2409,0600,2021130010251"/>
    <s v="168"/>
    <s v="1,2,3,2,07-168 - OTRAS MULTAS, SANCIONES E INTERESES DE MORA (MULTAS TRANSITO Y TRANSPORTE)"/>
    <s v="INV"/>
    <s v="NO"/>
    <s v="FORMULACION Y ADOPCION DEL PLAN LOCAL DE SEGURIDAD VIAL EN EL DISTRITO DE  CARTAGENA DE INDIAS"/>
    <x v="351"/>
    <s v="06"/>
    <s v="00"/>
    <n v="95000000"/>
    <n v="0"/>
    <n v="95000000"/>
    <n v="95000000"/>
    <n v="0"/>
    <n v="88835200"/>
    <n v="93.51"/>
    <n v="88835200"/>
    <n v="93.51"/>
    <n v="6164800"/>
    <n v="88835200"/>
  </r>
  <r>
    <n v="2022"/>
    <n v="100"/>
    <x v="16"/>
    <s v="DEPARTAMENTO ADMINISTRATIVO DE TRANSITO Y TRANSPORTE"/>
    <x v="16"/>
    <n v="2021130010252"/>
    <x v="1"/>
    <x v="10"/>
    <x v="145"/>
    <s v="2,3,4599,1000,2021130010252"/>
    <s v="022"/>
    <s v="1,2,3,3,01-022 - PARTICIPACIONES DISTINTAS DEL SGP (PARTICIPACION IMPUESTO DE VEHICULO AUTOMOTOR)"/>
    <s v="INV"/>
    <s v="NO"/>
    <s v="DISE?O E IMPLEMENTACION DE UNA PLATAFORMA TECNOLOGICA  VIRTUAL PARA LA INFORMACION Y LA GESTION DE TRAMITES EN EL DEPARTAMENTO ADMINISTRATIVO DE TRANSITO Y TRANSPORTE EN EL DISTRITO DE   CARTAGENA DE INDIAS"/>
    <x v="352"/>
    <s v="06"/>
    <s v="00"/>
    <n v="84000000"/>
    <n v="-80000000"/>
    <n v="4000000"/>
    <n v="4000000"/>
    <n v="0"/>
    <n v="0"/>
    <n v="0"/>
    <n v="0"/>
    <n v="0"/>
    <n v="4000000"/>
    <n v="0"/>
  </r>
  <r>
    <n v="2022"/>
    <n v="100"/>
    <x v="16"/>
    <s v="DEPARTAMENTO ADMINISTRATIVO DE TRANSITO Y TRANSPORTE"/>
    <x v="16"/>
    <n v="2021130010252"/>
    <x v="1"/>
    <x v="10"/>
    <x v="145"/>
    <s v="2,3,4599,1000,2021130010252"/>
    <s v="846"/>
    <s v="1,3,3,3,03-95-022 R,B, IMPUESTO SOBRE VEHICULOS AUTOMOTORES"/>
    <s v="INV"/>
    <s v="NO"/>
    <s v="DISE?O E IMPLEMENTACION DE UNA PLATAFORMA TECNOLOGICA  VIRTUAL PARA LA INFORMACION Y LA GESTION DE TRAMITES EN EL DEPARTAMENTO ADMINISTRATIVO DE TRANSITO Y TRANSPORTE EN EL DISTRITO DE   CARTAGENA DE INDIAS"/>
    <x v="352"/>
    <s v="06"/>
    <s v="00"/>
    <n v="0"/>
    <n v="84000297"/>
    <n v="84000297"/>
    <n v="84000297"/>
    <n v="0"/>
    <n v="0"/>
    <n v="0"/>
    <n v="0"/>
    <n v="0"/>
    <n v="84000297"/>
    <n v="0"/>
  </r>
  <r>
    <n v="2022"/>
    <n v="100"/>
    <x v="16"/>
    <s v="DEPARTAMENTO ADMINISTRATIVO DE TRANSITO Y TRANSPORTE"/>
    <x v="16"/>
    <n v="2021130010253"/>
    <x v="1"/>
    <x v="10"/>
    <x v="145"/>
    <s v="2,3,2409,0600,2021130010253"/>
    <s v="846"/>
    <s v="1,3,3,3,03-95-022 R,B, IMPUESTO SOBRE VEHICULOS AUTOMOTORES"/>
    <s v="INV"/>
    <s v="NO"/>
    <s v="ESTUDIOS PARA IMPLEMENTAR EL SISTEMA DE FISCALIZACION ELECTRONICA PARA LA REGULACION Y EL CONTROL DEL TRANSITO EN EL DISTRITO DE   CARTAGENA DE INDIAS"/>
    <x v="353"/>
    <s v="06"/>
    <s v="00"/>
    <n v="0"/>
    <n v="84000297"/>
    <n v="84000297"/>
    <n v="84000297"/>
    <n v="0"/>
    <n v="0"/>
    <n v="0"/>
    <n v="0"/>
    <n v="0"/>
    <n v="84000297"/>
    <n v="0"/>
  </r>
  <r>
    <n v="2022"/>
    <n v="100"/>
    <x v="16"/>
    <s v="DEPARTAMENTO ADMINISTRATIVO DE TRANSITO Y TRANSPORTE"/>
    <x v="16"/>
    <n v="2021130010253"/>
    <x v="1"/>
    <x v="10"/>
    <x v="145"/>
    <s v="2,3,2409,0600,2021130010253"/>
    <s v="022"/>
    <s v="1,2,3,3,01-022 - PARTICIPACIONES DISTINTAS DEL SGP (PARTICIPACION IMPUESTO DE VEHICULO AUTOMOTOR)"/>
    <s v="INV"/>
    <s v="NO"/>
    <s v="ESTUDIOS PARA IMPLEMENTAR EL SISTEMA DE FISCALIZACION ELECTRONICA PARA LA REGULACION Y EL CONTROL DEL TRANSITO EN EL DISTRITO DE   CARTAGENA DE INDIAS"/>
    <x v="353"/>
    <s v="06"/>
    <s v="00"/>
    <n v="84000000"/>
    <n v="-80000000"/>
    <n v="4000000"/>
    <n v="4000000"/>
    <n v="0"/>
    <n v="0"/>
    <n v="0"/>
    <n v="0"/>
    <n v="0"/>
    <n v="4000000"/>
    <n v="0"/>
  </r>
  <r>
    <n v="2022"/>
    <n v="100"/>
    <x v="6"/>
    <s v="INSTITUTO DE PATRIMONIO Y CULTURA DE CARTAGENA DE INDIAS"/>
    <x v="6"/>
    <n v="2021130010255"/>
    <x v="2"/>
    <x v="5"/>
    <x v="77"/>
    <s v="2,3,3302,1603,2021130010255"/>
    <s v="001"/>
    <s v="1,2,1,0,00-001 - ICLD"/>
    <s v="INV"/>
    <s v="NO"/>
    <s v="FORTALECIMIENTO Y SALVAGUARDIA DE LAS PRACTICAS SIGNIFICATIVAS DEL PATRIMONIO INMATERIAL EN EL DISTRITO DE CARTAGENA DE INDIAS"/>
    <x v="354"/>
    <s v="06"/>
    <s v="00"/>
    <n v="450000000"/>
    <n v="0"/>
    <n v="450000000"/>
    <n v="450000000"/>
    <n v="0"/>
    <n v="450000000"/>
    <n v="100"/>
    <n v="450000000"/>
    <n v="100"/>
    <n v="0"/>
    <n v="450000000"/>
  </r>
  <r>
    <n v="2022"/>
    <n v="100"/>
    <x v="6"/>
    <s v="INSTITUTO DE PATRIMONIO Y CULTURA DE CARTAGENA DE INDIAS"/>
    <x v="6"/>
    <n v="2021130010255"/>
    <x v="2"/>
    <x v="5"/>
    <x v="77"/>
    <s v="2,3,3302,1603,2021130010255"/>
    <s v="057"/>
    <s v="1,2,4,3,02-057 - SGP CULTURA"/>
    <s v="INV"/>
    <s v="NO"/>
    <s v="FORTALECIMIENTO Y SALVAGUARDIA DE LAS PRACTICAS SIGNIFICATIVAS DEL PATRIMONIO INMATERIAL EN EL DISTRITO DE CARTAGENA DE INDIAS"/>
    <x v="354"/>
    <s v="06"/>
    <s v="00"/>
    <n v="395984604"/>
    <n v="0"/>
    <n v="395984604"/>
    <n v="394994604"/>
    <n v="990000"/>
    <n v="394994604"/>
    <n v="99.75"/>
    <n v="394994604"/>
    <n v="99.75"/>
    <n v="990000"/>
    <n v="362985887"/>
  </r>
  <r>
    <n v="2022"/>
    <n v="100"/>
    <x v="6"/>
    <s v="INSTITUTO DE PATRIMONIO Y CULTURA DE CARTAGENA DE INDIAS"/>
    <x v="6"/>
    <n v="2021130010255"/>
    <x v="2"/>
    <x v="5"/>
    <x v="77"/>
    <s v="2,3,3302,1603,2021130010255"/>
    <s v="073"/>
    <s v="1,3,2,3,05-073 - OTROS RENDIMIENTOS FINANCIEROS IPCC"/>
    <s v="INV"/>
    <s v="NO"/>
    <s v="FORTALECIMIENTO Y SALVAGUARDIA DE LAS PRACTICAS SIGNIFICATIVAS DEL PATRIMONIO INMATERIAL EN EL DISTRITO DE CARTAGENA DE INDIAS"/>
    <x v="354"/>
    <s v="06"/>
    <s v="00"/>
    <n v="104679750"/>
    <n v="0"/>
    <n v="104679750"/>
    <n v="0"/>
    <n v="104679750"/>
    <n v="0"/>
    <n v="0"/>
    <n v="0"/>
    <n v="0"/>
    <n v="104679750"/>
    <n v="0"/>
  </r>
  <r>
    <n v="2022"/>
    <n v="100"/>
    <x v="6"/>
    <s v="INSTITUTO DE PATRIMONIO Y CULTURA DE CARTAGENA DE INDIAS"/>
    <x v="6"/>
    <n v="2021130010255"/>
    <x v="2"/>
    <x v="5"/>
    <x v="77"/>
    <s v="2,3,3302,1603,2021130010255"/>
    <s v="082"/>
    <s v="1,2,3,1,19-082 - ESTAMPILLAS PROCULTURA"/>
    <s v="INV"/>
    <s v="NO"/>
    <s v="FORTALECIMIENTO Y SALVAGUARDIA DE LAS PRACTICAS SIGNIFICATIVAS DEL PATRIMONIO INMATERIAL EN EL DISTRITO DE CARTAGENA DE INDIAS"/>
    <x v="354"/>
    <s v="06"/>
    <s v="00"/>
    <n v="244800000"/>
    <n v="0"/>
    <n v="244800000"/>
    <n v="0"/>
    <n v="244800000"/>
    <n v="0"/>
    <n v="0"/>
    <n v="0"/>
    <n v="0"/>
    <n v="244800000"/>
    <n v="0"/>
  </r>
  <r>
    <n v="2022"/>
    <n v="100"/>
    <x v="6"/>
    <s v="INSTITUTO DE PATRIMONIO Y CULTURA DE CARTAGENA DE INDIAS"/>
    <x v="6"/>
    <n v="2021130010255"/>
    <x v="2"/>
    <x v="5"/>
    <x v="77"/>
    <s v="2,3,3302,1603,2021130010255"/>
    <s v="166"/>
    <s v="1,2,3,2,07-166 - OTRAS MULTAS, SANCIONES E INTERESES DE MORA (SANCION IPCC)"/>
    <s v="INV"/>
    <s v="NO"/>
    <s v="FORTALECIMIENTO Y SALVAGUARDIA DE LAS PRACTICAS SIGNIFICATIVAS DEL PATRIMONIO INMATERIAL EN EL DISTRITO DE CARTAGENA DE INDIAS"/>
    <x v="354"/>
    <s v="06"/>
    <s v="00"/>
    <n v="53985000"/>
    <n v="0"/>
    <n v="53985000"/>
    <n v="0"/>
    <n v="53985000"/>
    <n v="0"/>
    <n v="0"/>
    <n v="0"/>
    <n v="0"/>
    <n v="53985000"/>
    <n v="0"/>
  </r>
  <r>
    <n v="2022"/>
    <n v="100"/>
    <x v="6"/>
    <s v="INSTITUTO DE PATRIMONIO Y CULTURA DE CARTAGENA DE INDIAS"/>
    <x v="6"/>
    <n v="2021130010255"/>
    <x v="2"/>
    <x v="5"/>
    <x v="77"/>
    <s v="2,3,3302,1603,2021130010255"/>
    <s v="012"/>
    <s v="1,2,3,2,09-012 - VENTA DE BIENES Y SERVICIOS IPCC"/>
    <s v="INV"/>
    <s v="NO"/>
    <s v="FORTALECIMIENTO Y SALVAGUARDIA DE LAS PRACTICAS SIGNIFICATIVAS DEL PATRIMONIO INMATERIAL EN EL DISTRITO DE CARTAGENA DE INDIAS"/>
    <x v="354"/>
    <s v="06"/>
    <s v="00"/>
    <n v="265613000"/>
    <n v="0"/>
    <n v="265613000"/>
    <n v="0"/>
    <n v="265613000"/>
    <n v="0"/>
    <n v="0"/>
    <n v="0"/>
    <n v="0"/>
    <n v="265613000"/>
    <n v="0"/>
  </r>
  <r>
    <n v="2022"/>
    <n v="100"/>
    <x v="15"/>
    <s v="SECRETARIA DE PLANEACION"/>
    <x v="15"/>
    <n v="2021130010256"/>
    <x v="2"/>
    <x v="24"/>
    <x v="104"/>
    <s v="2,3,4599,1000,2021130010256"/>
    <s v="921"/>
    <s v="1,3,3,8,03-93-075 R,B, SGP-PROPOSITO GENERAL-PROPOSITO GENERAL LIBRE INVERSION"/>
    <s v="INV"/>
    <s v="NO"/>
    <s v="IMPLEMENTACION DE LA METODOLOGIA IV DEL SISBEN EN   CARTAGENA DE INDIAS"/>
    <x v="355"/>
    <s v="06"/>
    <s v="00"/>
    <n v="0"/>
    <n v="44436082"/>
    <n v="44436082"/>
    <n v="38013333"/>
    <n v="6422749"/>
    <n v="38013333"/>
    <n v="85.55"/>
    <n v="38013333"/>
    <n v="85.55"/>
    <n v="6422749"/>
    <n v="38013333"/>
  </r>
  <r>
    <n v="2022"/>
    <n v="100"/>
    <x v="15"/>
    <s v="SECRETARIA DE PLANEACION"/>
    <x v="15"/>
    <n v="2021130010256"/>
    <x v="2"/>
    <x v="24"/>
    <x v="104"/>
    <s v="2,3,4599,1000,2021130010256"/>
    <s v="922"/>
    <s v="1,3,3,8,03-95-070 R,B, SGP-PROPOSITO GENERAL-PROPOSITO GENERAL LIBRE INVERSION"/>
    <s v="INV"/>
    <s v="NO"/>
    <s v="IMPLEMENTACION DE LA METODOLOGIA IV DEL SISBEN EN   CARTAGENA DE INDIAS"/>
    <x v="355"/>
    <s v="06"/>
    <s v="00"/>
    <n v="0"/>
    <n v="42266667"/>
    <n v="42266667"/>
    <n v="35966666"/>
    <n v="6300001"/>
    <n v="35966666"/>
    <n v="85.09"/>
    <n v="35966666"/>
    <n v="85.09"/>
    <n v="6300001"/>
    <n v="32166666"/>
  </r>
  <r>
    <n v="2022"/>
    <n v="100"/>
    <x v="15"/>
    <s v="SECRETARIA DE PLANEACION"/>
    <x v="15"/>
    <n v="2021130010256"/>
    <x v="2"/>
    <x v="24"/>
    <x v="104"/>
    <s v="2,3,4599,1000,2021130010256"/>
    <s v="070"/>
    <s v="1,2,4,3,03-070 - SGP LIBRE INVERSION"/>
    <s v="INV"/>
    <s v="NO"/>
    <s v="IMPLEMENTACION DE LA METODOLOGIA IV DEL SISBEN EN   CARTAGENA DE INDIAS"/>
    <x v="355"/>
    <s v="06"/>
    <s v="00"/>
    <n v="0"/>
    <n v="96259540"/>
    <n v="96259540"/>
    <n v="31426666"/>
    <n v="64832874"/>
    <n v="31426666"/>
    <n v="32.65"/>
    <n v="28653333"/>
    <n v="29.77"/>
    <n v="64832874"/>
    <n v="19480000"/>
  </r>
  <r>
    <n v="2022"/>
    <n v="100"/>
    <x v="15"/>
    <s v="SECRETARIA DE PLANEACION"/>
    <x v="15"/>
    <n v="2021130010256"/>
    <x v="2"/>
    <x v="24"/>
    <x v="104"/>
    <s v="2,3,4599,1000,2021130010256"/>
    <s v="001"/>
    <s v="1,2,1,0,00-001 - ICLD"/>
    <s v="INV"/>
    <s v="NO"/>
    <s v="IMPLEMENTACION DE LA METODOLOGIA IV DEL SISBEN EN   CARTAGENA DE INDIAS"/>
    <x v="355"/>
    <s v="06"/>
    <s v="00"/>
    <n v="1662120000"/>
    <n v="-237868"/>
    <n v="1661882132"/>
    <n v="1645948800.0599999"/>
    <n v="15933331.939999999"/>
    <n v="1638045275.96"/>
    <n v="98.57"/>
    <n v="1602411248.1700001"/>
    <n v="96.42"/>
    <n v="23836856.039999999"/>
    <n v="1599211248.1700001"/>
  </r>
  <r>
    <n v="2022"/>
    <n v="100"/>
    <x v="15"/>
    <s v="SECRETARIA DE PLANEACION"/>
    <x v="15"/>
    <n v="2021130010257"/>
    <x v="0"/>
    <x v="0"/>
    <x v="0"/>
    <s v="2,3,4599,1000,2021130010257"/>
    <s v="922"/>
    <s v="1,3,3,8,03-95-070 R,B, SGP-PROPOSITO GENERAL-PROPOSITO GENERAL LIBRE INVERSION"/>
    <s v="INV"/>
    <s v="NO"/>
    <s v="MODERNIZACION DEL SISTEMA DISTRITAL DE PLANEACION EN CARTAGENA DE INDIAS"/>
    <x v="356"/>
    <s v="06"/>
    <s v="00"/>
    <n v="0"/>
    <n v="69482633.329999998"/>
    <n v="69482633.329999998"/>
    <n v="69482633"/>
    <n v="0.33"/>
    <n v="41950000"/>
    <n v="60.37"/>
    <n v="41950000"/>
    <n v="60.37"/>
    <n v="27532633.329999998"/>
    <n v="41950000"/>
  </r>
  <r>
    <n v="2022"/>
    <n v="100"/>
    <x v="15"/>
    <s v="SECRETARIA DE PLANEACION"/>
    <x v="15"/>
    <n v="2021130010257"/>
    <x v="0"/>
    <x v="0"/>
    <x v="0"/>
    <s v="2,3,4599,1000,2021130010257"/>
    <s v="070"/>
    <s v="1,2,4,3,03-070 - SGP LIBRE INVERSION"/>
    <s v="INV"/>
    <s v="NO"/>
    <s v="MODERNIZACION DEL SISTEMA DISTRITAL DE PLANEACION EN  CARTAGENA DE INDIAS"/>
    <x v="357"/>
    <s v="06"/>
    <s v="00"/>
    <n v="965852079"/>
    <n v="0"/>
    <n v="965852079"/>
    <n v="912068131"/>
    <n v="53783948"/>
    <n v="911594692"/>
    <n v="94.38"/>
    <n v="906663761"/>
    <n v="93.87"/>
    <n v="54257387"/>
    <n v="902163761"/>
  </r>
  <r>
    <n v="2022"/>
    <n v="100"/>
    <x v="15"/>
    <s v="SECRETARIA DE PLANEACION"/>
    <x v="15"/>
    <n v="2021130010257"/>
    <x v="0"/>
    <x v="0"/>
    <x v="0"/>
    <s v="2,3,4599,1000,2021130010257"/>
    <s v="001"/>
    <s v="1,2,1,0,00-001 - ICLD"/>
    <s v="INV"/>
    <s v="NO"/>
    <s v="MODERNIZACION DEL SISTEMA DISTRITAL DE PLANEACION EN  CARTAGENA DE INDIAS"/>
    <x v="357"/>
    <s v="06"/>
    <s v="00"/>
    <n v="892707921"/>
    <n v="0"/>
    <n v="892707921"/>
    <n v="727962000"/>
    <n v="164745921"/>
    <n v="715462000"/>
    <n v="80.150000000000006"/>
    <n v="686962000"/>
    <n v="76.95"/>
    <n v="177245921"/>
    <n v="678168667"/>
  </r>
  <r>
    <n v="2022"/>
    <n v="100"/>
    <x v="4"/>
    <s v="DESPACHO DEL ALCALDE"/>
    <x v="4"/>
    <n v="2021130010259"/>
    <x v="2"/>
    <x v="9"/>
    <x v="91"/>
    <s v="2,3,4103,1500,2021130010259"/>
    <s v="815"/>
    <s v="1,3,3,11,03-95-107 R,B, RF OTROS DIVIDENDOS"/>
    <s v="INV"/>
    <s v="NO"/>
    <s v="APOYO  IMPLEMENTACION DEL PROGRAMA DE FAMILIAS EN ACCION EN CARTAGENA DE INDIAS -GT+  CARTAGENA DE INDIAS"/>
    <x v="358"/>
    <s v="06"/>
    <s v="00"/>
    <n v="0"/>
    <n v="31629890.420000002"/>
    <n v="31629890.420000002"/>
    <n v="0"/>
    <n v="31629890.420000002"/>
    <n v="0"/>
    <n v="0"/>
    <n v="0"/>
    <n v="0"/>
    <n v="31629890.420000002"/>
    <n v="0"/>
  </r>
  <r>
    <n v="2022"/>
    <n v="100"/>
    <x v="4"/>
    <s v="DESPACHO DEL ALCALDE"/>
    <x v="4"/>
    <n v="2021130010259"/>
    <x v="2"/>
    <x v="9"/>
    <x v="91"/>
    <s v="2,3,4103,1500,2021130010259"/>
    <s v="852"/>
    <s v="1,3,3,3,17-95-124 RB IMPUESTO DE TRANSPORTE POR OLEODUCTOS Y GASODUCTOS"/>
    <s v="INV"/>
    <s v="NO"/>
    <s v="APOYO  IMPLEMENTACION DEL PROGRAMA DE FAMILIAS EN ACCION EN CARTAGENA DE INDIAS -GT+  CARTAGENA DE INDIAS"/>
    <x v="358"/>
    <s v="06"/>
    <s v="00"/>
    <n v="0"/>
    <n v="127586226"/>
    <n v="127586226"/>
    <n v="74400000"/>
    <n v="53186226"/>
    <n v="58500000"/>
    <n v="45.85"/>
    <n v="57536666"/>
    <n v="45.1"/>
    <n v="69086226"/>
    <n v="57536666"/>
  </r>
  <r>
    <n v="2022"/>
    <n v="100"/>
    <x v="4"/>
    <s v="DESPACHO DEL ALCALDE"/>
    <x v="4"/>
    <n v="2021130010259"/>
    <x v="2"/>
    <x v="9"/>
    <x v="91"/>
    <s v="2,3,4103,1500,2021130010259"/>
    <s v="053"/>
    <s v="1,2,3,2,05-053 - OTRAS TASAS Y DERECHOS ADMINISTRATIVOS CONTRAPRESTACION PORTUARIA"/>
    <s v="INV"/>
    <s v="NO"/>
    <s v="APOYO  IMPLEMENTACION DEL PROGRAMA DE FAMILIAS EN ACCION EN CARTAGENA DE INDIAS -GT+  CARTAGENA DE INDIAS"/>
    <x v="358"/>
    <s v="06"/>
    <s v="00"/>
    <n v="500000000"/>
    <n v="0"/>
    <n v="500000000"/>
    <n v="499999931.61000001"/>
    <n v="68.39"/>
    <n v="455682115.24000001"/>
    <n v="91.14"/>
    <n v="363394707.24000001"/>
    <n v="72.680000000000007"/>
    <n v="44317884.759999998"/>
    <n v="356394707.24000001"/>
  </r>
  <r>
    <n v="2022"/>
    <n v="100"/>
    <x v="4"/>
    <s v="DESPACHO DEL ALCALDE"/>
    <x v="4"/>
    <n v="2021130010259"/>
    <x v="2"/>
    <x v="9"/>
    <x v="91"/>
    <s v="2,3,4103,1500,2021130010259"/>
    <s v="001"/>
    <s v="1,2,1,0,00-001 - ICLD"/>
    <s v="INV"/>
    <s v="NO"/>
    <s v="APOYO  IMPLEMENTACION DEL PROGRAMA DE FAMILIAS EN ACCION EN CARTAGENA DE INDIAS -GT+  CARTAGENA DE INDIAS"/>
    <x v="358"/>
    <s v="06"/>
    <s v="00"/>
    <n v="1537200000"/>
    <n v="0"/>
    <n v="1537200000"/>
    <n v="1537200000"/>
    <n v="0"/>
    <n v="1504398665"/>
    <n v="97.87"/>
    <n v="1502115335"/>
    <n v="97.72"/>
    <n v="32801335"/>
    <n v="1502115335"/>
  </r>
  <r>
    <n v="2022"/>
    <n v="100"/>
    <x v="15"/>
    <s v="SECRETARIA DE PLANEACION"/>
    <x v="15"/>
    <n v="2021130010261"/>
    <x v="1"/>
    <x v="17"/>
    <x v="66"/>
    <s v="2,3,4002,1400,2021130010261"/>
    <s v="813"/>
    <s v="1,3,3,11,03-93-138 R,B, DIVIDENDOS SOCIEDAD PORTUARIA"/>
    <s v="INV"/>
    <s v="NO"/>
    <s v="CONSTRUCCION DE LOS INSTRUMENTOS DE PLANIFICACION (PEMP Y POT) DE LA CIUDAD DE CARTAGENA DE INDIAS"/>
    <x v="359"/>
    <s v="06"/>
    <s v="00"/>
    <n v="0"/>
    <n v="419370026"/>
    <n v="419370026"/>
    <n v="419370026"/>
    <n v="0"/>
    <n v="419370026"/>
    <n v="100"/>
    <n v="0"/>
    <n v="0"/>
    <n v="0"/>
    <n v="0"/>
  </r>
  <r>
    <n v="2022"/>
    <n v="100"/>
    <x v="15"/>
    <s v="SECRETARIA DE PLANEACION"/>
    <x v="15"/>
    <n v="2021130010261"/>
    <x v="1"/>
    <x v="17"/>
    <x v="66"/>
    <s v="2,3,4002,1400,2021130010261"/>
    <s v="816"/>
    <s v="1,3,3,11,03-95-138 R,B, DIVIDENDOS SOCIEDAD PORTUARIA"/>
    <s v="INV"/>
    <s v="NO"/>
    <s v="CONSTRUCCION DE LOS INSTRUMENTOS DE PLANIFICACION (PEMP Y POT) DE LA CIUDAD DE CARTAGENA DE INDIAS"/>
    <x v="359"/>
    <s v="06"/>
    <s v="00"/>
    <n v="0"/>
    <n v="80383826"/>
    <n v="80383826"/>
    <n v="38836109"/>
    <n v="41547717"/>
    <n v="38836109"/>
    <n v="48.31"/>
    <n v="0"/>
    <n v="0"/>
    <n v="41547717"/>
    <n v="0"/>
  </r>
  <r>
    <n v="2022"/>
    <n v="100"/>
    <x v="15"/>
    <s v="SECRETARIA DE PLANEACION"/>
    <x v="15"/>
    <n v="2021130010261"/>
    <x v="1"/>
    <x v="17"/>
    <x v="66"/>
    <s v="2,3,4002,1400,2021130010261"/>
    <s v="922"/>
    <s v="1,3,3,8,03-95-070 R,B, SGP-PROPOSITO GENERAL-PROPOSITO GENERAL LIBRE INVERSION"/>
    <s v="INV"/>
    <s v="NO"/>
    <s v="CONSTRUCCION DE LOS INSTRUMENTOS DE PLANIFICACION (PEMP Y POT) DE LA CIUDAD DE  CARTAGENA DE INDIAS"/>
    <x v="360"/>
    <s v="06"/>
    <s v="00"/>
    <n v="0"/>
    <n v="322115593.32999998"/>
    <n v="322115593.32999998"/>
    <n v="322100000"/>
    <n v="15593.33"/>
    <n v="313029999"/>
    <n v="97.18"/>
    <n v="278823332"/>
    <n v="86.56"/>
    <n v="9085594.3300000001"/>
    <n v="259089999"/>
  </r>
  <r>
    <n v="2022"/>
    <n v="100"/>
    <x v="15"/>
    <s v="SECRETARIA DE PLANEACION"/>
    <x v="15"/>
    <n v="2021130010261"/>
    <x v="1"/>
    <x v="17"/>
    <x v="66"/>
    <s v="2,3,4002,1400,2021130010261"/>
    <s v="070"/>
    <s v="1,2,4,3,03-070 - SGP LIBRE INVERSION"/>
    <s v="INV"/>
    <s v="NO"/>
    <s v="CONSTRUCCION DE LOS INSTRUMENTOS DE PLANIFICACION (PEMP Y POT) DE LA CIUDAD DE CARTAGENA DE INDIAS"/>
    <x v="359"/>
    <s v="06"/>
    <s v="00"/>
    <n v="0"/>
    <n v="460044813"/>
    <n v="460044813"/>
    <n v="460044813"/>
    <n v="0"/>
    <n v="460044813"/>
    <n v="100"/>
    <n v="0"/>
    <n v="0"/>
    <n v="0"/>
    <n v="0"/>
  </r>
  <r>
    <n v="2022"/>
    <n v="100"/>
    <x v="15"/>
    <s v="SECRETARIA DE PLANEACION"/>
    <x v="15"/>
    <n v="2021130010261"/>
    <x v="1"/>
    <x v="17"/>
    <x v="66"/>
    <s v="2,3,4002,1400,2021130010261"/>
    <s v="001"/>
    <s v="1,2,1,0,00-001 - ICLD"/>
    <s v="INV"/>
    <s v="NO"/>
    <s v="CONSTRUCCION DE LOS INSTRUMENTOS DE PLANIFICACION (PEMP Y POT) DE LA CIUDAD DE  CARTAGENA DE INDIAS"/>
    <x v="360"/>
    <s v="06"/>
    <s v="00"/>
    <n v="4436200000"/>
    <n v="2099053609"/>
    <n v="6535253609"/>
    <n v="6479411852.6000004"/>
    <n v="55841756.399999999"/>
    <n v="6385343214.7299995"/>
    <n v="97.71"/>
    <n v="5668919901.6700001"/>
    <n v="86.74"/>
    <n v="149910394.27000001"/>
    <n v="5508579901.6700001"/>
  </r>
  <r>
    <n v="2022"/>
    <n v="100"/>
    <x v="15"/>
    <s v="SECRETARIA DE PLANEACION"/>
    <x v="15"/>
    <n v="2021130010262"/>
    <x v="1"/>
    <x v="17"/>
    <x v="66"/>
    <s v="2,3,4002,1400,2021130010262"/>
    <s v="813"/>
    <s v="1,3,3,11,03-93-138 R,B, DIVIDENDOS SOCIEDAD PORTUARIA"/>
    <s v="INV"/>
    <s v="NO"/>
    <s v="FORTALECIMIENTO A LA REGLAMENTACION URBANISTICA DEL ORDENAMIENTO TERRITORIAL Y ESTRATEGIAS DE PLANEACION PARA PLANES PARCIALES EN EL DISTRITO DE  CARTAGENA DE INDIAS"/>
    <x v="361"/>
    <s v="06"/>
    <s v="00"/>
    <n v="0"/>
    <n v="411000000"/>
    <n v="411000000"/>
    <n v="336450000"/>
    <n v="74550000"/>
    <n v="336450000"/>
    <n v="81.86"/>
    <n v="303050000"/>
    <n v="73.73"/>
    <n v="74550000"/>
    <n v="297850000"/>
  </r>
  <r>
    <n v="2022"/>
    <n v="100"/>
    <x v="15"/>
    <s v="SECRETARIA DE PLANEACION"/>
    <x v="15"/>
    <n v="2021130010262"/>
    <x v="1"/>
    <x v="17"/>
    <x v="66"/>
    <s v="2,3,4002,1400,2021130010262"/>
    <s v="922"/>
    <s v="1,3,3,8,03-95-070 R,B, SGP-PROPOSITO GENERAL-PROPOSITO GENERAL LIBRE INVERSION"/>
    <s v="INV"/>
    <s v="NO"/>
    <s v="FORTALECIMIENTO A LA REGLAMENTACION URBANISTICA DEL ORDENAMIENTO TERRITORIAL Y ESTRATEGIAS DE PLANEACION PARA PLANES PARCIALES EN EL DISTRITO DE  CARTAGENA DE INDIAS"/>
    <x v="361"/>
    <s v="06"/>
    <s v="00"/>
    <n v="0"/>
    <n v="0.85"/>
    <n v="0.85"/>
    <n v="0"/>
    <n v="0.85"/>
    <n v="0"/>
    <n v="0"/>
    <n v="0"/>
    <n v="0"/>
    <n v="0.85"/>
    <n v="0"/>
  </r>
  <r>
    <n v="2022"/>
    <n v="100"/>
    <x v="15"/>
    <s v="SECRETARIA DE PLANEACION"/>
    <x v="15"/>
    <n v="2021130010262"/>
    <x v="1"/>
    <x v="17"/>
    <x v="66"/>
    <s v="2,3,4002,1400,2021130010262"/>
    <s v="001"/>
    <s v="1,2,1,0,00-001 - ICLD"/>
    <s v="INV"/>
    <s v="NO"/>
    <s v="FORTALECIMIENTO A LA REGLAMENTACION URBANISTICA DEL ORDENAMIENTO TERRITORIAL Y ESTRATEGIAS DE PLANEACION PARA PLANES PARCIALES EN EL DISTRITO DE  CARTAGENA DE INDIAS"/>
    <x v="361"/>
    <s v="06"/>
    <s v="00"/>
    <n v="2114200000"/>
    <n v="0"/>
    <n v="2114200000"/>
    <n v="2036495249.8299999"/>
    <n v="77704750.170000002"/>
    <n v="2027433916.5"/>
    <n v="95.9"/>
    <n v="1777416663"/>
    <n v="84.07"/>
    <n v="86766083.5"/>
    <n v="1767956664"/>
  </r>
  <r>
    <n v="2022"/>
    <n v="100"/>
    <x v="6"/>
    <s v="INSTITUTO DE PATRIMONIO Y CULTURA DE CARTAGENA DE INDIAS"/>
    <x v="6"/>
    <n v="2021130010264"/>
    <x v="0"/>
    <x v="27"/>
    <x v="140"/>
    <s v="2,3,3301,1603,2021130010264"/>
    <s v="001"/>
    <s v="1,2,1,0,00-001 - ICLD"/>
    <s v="INV"/>
    <s v="NO"/>
    <s v="INVESTIGACION Y DIVULGACION CULTURAL SOBRE EL IMPACTO DE LA CORRUPCION EN EL MARCO DEL PREMIO JORGE PIEDRAHITA ADUEN EN EL DISTRITO DE CARTAGENA DE INDIAS"/>
    <x v="362"/>
    <s v="06"/>
    <s v="00"/>
    <n v="130000000"/>
    <n v="0"/>
    <n v="130000000"/>
    <n v="130000000"/>
    <n v="0"/>
    <n v="130000000"/>
    <n v="100"/>
    <n v="130000000"/>
    <n v="100"/>
    <n v="0"/>
    <n v="87282000"/>
  </r>
  <r>
    <n v="2022"/>
    <n v="100"/>
    <x v="6"/>
    <s v="INSTITUTO DE PATRIMONIO Y CULTURA DE CARTAGENA DE INDIAS"/>
    <x v="6"/>
    <n v="2021130010265"/>
    <x v="2"/>
    <x v="5"/>
    <x v="54"/>
    <s v="2,3,3302,1603,2021130010265"/>
    <s v="057"/>
    <s v="1,2,4,3,02-057 - SGP CULTURA"/>
    <s v="INV"/>
    <s v="NO"/>
    <s v="FORTALECIMIENTO SALVAGUARDA VALORACION CUIDADO Y CONTROL DEL PATRIMONIO MATERIAL EN EL DISTRITO DE CARTAGENA DE INDIAS"/>
    <x v="363"/>
    <s v="06"/>
    <s v="00"/>
    <n v="104951903"/>
    <n v="0"/>
    <n v="104951903"/>
    <n v="104950912.64"/>
    <n v="990.36"/>
    <n v="104950912.64"/>
    <n v="100"/>
    <n v="69966945"/>
    <n v="66.67"/>
    <n v="990.36"/>
    <n v="61221944"/>
  </r>
  <r>
    <n v="2022"/>
    <n v="100"/>
    <x v="6"/>
    <s v="INSTITUTO DE PATRIMONIO Y CULTURA DE CARTAGENA DE INDIAS"/>
    <x v="6"/>
    <n v="2021130010265"/>
    <x v="2"/>
    <x v="5"/>
    <x v="54"/>
    <s v="2,3,3302,1603,2021130010265"/>
    <s v="082"/>
    <s v="1,2,3,1,19-082 - ESTAMPILLAS PROCULTURA"/>
    <s v="INV"/>
    <s v="NO"/>
    <s v="FORTALECIMIENTO SALVAGUARDA VALORACION CUIDADO Y CONTROL DEL PATRIMONIO MATERIAL EN EL DISTRITO DE CARTAGENA DE INDIAS"/>
    <x v="363"/>
    <s v="06"/>
    <s v="00"/>
    <n v="131600000"/>
    <n v="0"/>
    <n v="131600000"/>
    <n v="0"/>
    <n v="131600000"/>
    <n v="0"/>
    <n v="0"/>
    <n v="0"/>
    <n v="0"/>
    <n v="131600000"/>
    <n v="0"/>
  </r>
  <r>
    <n v="2022"/>
    <n v="100"/>
    <x v="6"/>
    <s v="INSTITUTO DE PATRIMONIO Y CULTURA DE CARTAGENA DE INDIAS"/>
    <x v="6"/>
    <n v="2021130010265"/>
    <x v="2"/>
    <x v="5"/>
    <x v="54"/>
    <s v="2,3,3302,1603,2021130010265"/>
    <s v="001"/>
    <s v="1,2,1,0,00-001 - ICLD"/>
    <s v="INV"/>
    <s v="NO"/>
    <s v="FORTALECIMIENTO SALVAGUARDA VALORACION CUIDADO Y CONTROL DEL PATRIMONIO MATERIAL EN EL DISTRITO DE CARTAGENA DE INDIAS"/>
    <x v="363"/>
    <s v="06"/>
    <s v="00"/>
    <n v="1650000000"/>
    <n v="0"/>
    <n v="1650000000"/>
    <n v="1650000000"/>
    <n v="0"/>
    <n v="1650000000"/>
    <n v="100"/>
    <n v="1650000000"/>
    <n v="100"/>
    <n v="0"/>
    <n v="1650000000"/>
  </r>
  <r>
    <n v="2022"/>
    <n v="100"/>
    <x v="4"/>
    <s v="DESPACHO DEL ALCALDE"/>
    <x v="4"/>
    <n v="2021130010266"/>
    <x v="1"/>
    <x v="10"/>
    <x v="146"/>
    <s v="2,3,4002,1400,2021130010266"/>
    <s v="008"/>
    <s v="1,2,3,2,05-008 - OTRAS TASAS Y DERECHOS ADMINISTRATIVO AMOBLAMIENTO URBANO"/>
    <s v="INV"/>
    <s v="NO"/>
    <s v="GENERACION  DEL ESPACIO PUBLICO  CARTAGENA DE INDIAS"/>
    <x v="364"/>
    <s v="06"/>
    <s v="00"/>
    <n v="285465995"/>
    <n v="-163965995"/>
    <n v="121500000"/>
    <n v="121500000"/>
    <n v="0"/>
    <n v="114500000"/>
    <n v="94.24"/>
    <n v="114500000"/>
    <n v="94.24"/>
    <n v="7000000"/>
    <n v="110500000"/>
  </r>
  <r>
    <n v="2022"/>
    <n v="100"/>
    <x v="4"/>
    <s v="DESPACHO DEL ALCALDE"/>
    <x v="4"/>
    <n v="2021130010266"/>
    <x v="1"/>
    <x v="10"/>
    <x v="146"/>
    <s v="2,3,4002,1400,2021130010266"/>
    <s v="001"/>
    <s v="1,2,1,0,00-001 - ICLD"/>
    <s v="INV"/>
    <s v="NO"/>
    <s v="GENERACION  DEL ESPACIO PUBLICO  CARTAGENA DE INDIAS"/>
    <x v="364"/>
    <s v="06"/>
    <s v="00"/>
    <n v="40000000"/>
    <n v="528724296"/>
    <n v="568724296"/>
    <n v="556631226.75"/>
    <n v="12093069.25"/>
    <n v="262141817.91999999"/>
    <n v="46.09"/>
    <n v="38500000"/>
    <n v="6.77"/>
    <n v="306582478.07999998"/>
    <n v="38500000"/>
  </r>
  <r>
    <n v="2022"/>
    <n v="100"/>
    <x v="4"/>
    <s v="DESPACHO DEL ALCALDE"/>
    <x v="4"/>
    <n v="2021130010267"/>
    <x v="1"/>
    <x v="10"/>
    <x v="147"/>
    <s v="2,3,4599,1000,2021130010267"/>
    <s v="864"/>
    <s v="1,3,3,4,16-93-008 R,B, OTRAS TASAS Y DERECHOS ADMINISTRATIVOS AMOBLAMIENTO URBANO"/>
    <s v="INV"/>
    <s v="NO"/>
    <s v="RECUPERACION DEL ESPACIO PUBLICO  CARTAGENA DE INDIAS"/>
    <x v="365"/>
    <s v="06"/>
    <s v="00"/>
    <n v="0"/>
    <n v="573534245.70000005"/>
    <n v="573534245.70000005"/>
    <n v="558000000"/>
    <n v="15534245.699999999"/>
    <n v="0"/>
    <n v="0"/>
    <n v="0"/>
    <n v="0"/>
    <n v="573534245.70000005"/>
    <n v="0"/>
  </r>
  <r>
    <n v="2022"/>
    <n v="100"/>
    <x v="4"/>
    <s v="DESPACHO DEL ALCALDE"/>
    <x v="4"/>
    <n v="2021130010267"/>
    <x v="1"/>
    <x v="10"/>
    <x v="147"/>
    <s v="2,3,4599,1000,2021130010267"/>
    <s v="866"/>
    <s v="1,3,3,4,16-93-147 RB OTRAS TASAS Y DERECHOS ADMINISTRATIVO AMOBLAMIENTO URBANO"/>
    <s v="INV"/>
    <s v="NO"/>
    <s v="RECUPERACION DEL ESPACIO PUBLICO  CARTAGENA DE INDIAS"/>
    <x v="365"/>
    <s v="06"/>
    <s v="00"/>
    <n v="0"/>
    <n v="9174285.5600000005"/>
    <n v="9174285.5600000005"/>
    <n v="0"/>
    <n v="9174285.5600000005"/>
    <n v="0"/>
    <n v="0"/>
    <n v="0"/>
    <n v="0"/>
    <n v="9174285.5600000005"/>
    <n v="0"/>
  </r>
  <r>
    <n v="2022"/>
    <n v="100"/>
    <x v="4"/>
    <s v="DESPACHO DEL ALCALDE"/>
    <x v="4"/>
    <n v="2021130010267"/>
    <x v="1"/>
    <x v="10"/>
    <x v="147"/>
    <s v="2,3,4599,1000,2021130010267"/>
    <s v="868"/>
    <s v="1,3,3,4,16-95-008 R,B, OTRAS TASAS Y DERECHOS ADMINISTRATIVOS AMOBLAMIENTO URBANO"/>
    <s v="INV"/>
    <s v="NO"/>
    <s v="RECUPERACION DEL ESPACIO PUBLICO  CARTAGENA DE INDIAS"/>
    <x v="365"/>
    <s v="06"/>
    <s v="00"/>
    <n v="0"/>
    <n v="265459697.66"/>
    <n v="265459697.66"/>
    <n v="159101447.53999999"/>
    <n v="106358250.12"/>
    <n v="83907231.650000006"/>
    <n v="31.61"/>
    <n v="49700000"/>
    <n v="18.72"/>
    <n v="181552466.00999999"/>
    <n v="47700000"/>
  </r>
  <r>
    <n v="2022"/>
    <n v="100"/>
    <x v="4"/>
    <s v="DESPACHO DEL ALCALDE"/>
    <x v="4"/>
    <n v="2021130010267"/>
    <x v="1"/>
    <x v="10"/>
    <x v="147"/>
    <s v="2,3,4599,1000,2021130010267"/>
    <s v="873"/>
    <s v="1,3,3,4,16-95-147 RB OTRAS TASAS Y DERECHOS ADMINISTRATIVO AMOBLAMIENTO URBANO"/>
    <s v="INV"/>
    <s v="NO"/>
    <s v="RECUPERACION DEL ESPACIO PUBLICO  CARTAGENA DE INDIAS"/>
    <x v="365"/>
    <s v="06"/>
    <s v="00"/>
    <n v="0"/>
    <n v="5497637"/>
    <n v="5497637"/>
    <n v="0"/>
    <n v="5497637"/>
    <n v="0"/>
    <n v="0"/>
    <n v="0"/>
    <n v="0"/>
    <n v="5497637"/>
    <n v="0"/>
  </r>
  <r>
    <n v="2022"/>
    <n v="100"/>
    <x v="4"/>
    <s v="DESPACHO DEL ALCALDE"/>
    <x v="4"/>
    <n v="2021130010267"/>
    <x v="1"/>
    <x v="10"/>
    <x v="147"/>
    <s v="2,3,4599,1000,2021130010267"/>
    <s v="147"/>
    <s v="1,3,2,3,05-147 - OTROS RENDIMIENTOS FINANCIEROS AMOBLAMIENTO URBANO"/>
    <s v="INV"/>
    <s v="NO"/>
    <s v="RECUPERACION DEL ESPACIO PUBLICO  CARTAGENA DE INDIAS"/>
    <x v="365"/>
    <s v="06"/>
    <s v="00"/>
    <n v="1"/>
    <n v="0"/>
    <n v="1"/>
    <n v="0"/>
    <n v="1"/>
    <n v="0"/>
    <n v="0"/>
    <n v="0"/>
    <n v="0"/>
    <n v="1"/>
    <n v="0"/>
  </r>
  <r>
    <n v="2022"/>
    <n v="100"/>
    <x v="4"/>
    <s v="DESPACHO DEL ALCALDE"/>
    <x v="4"/>
    <n v="2021130010267"/>
    <x v="1"/>
    <x v="10"/>
    <x v="147"/>
    <s v="2,3,4599,1000,2021130010267"/>
    <s v="008"/>
    <s v="1,2,3,2,05-008 - OTRAS TASAS Y DERECHOS ADMINISTRATIVO AMOBLAMIENTO URBANO"/>
    <s v="INV"/>
    <s v="NO"/>
    <s v="RECUPERACION DEL ESPACIO PUBLICO  CARTAGENA DE INDIAS"/>
    <x v="365"/>
    <s v="06"/>
    <s v="00"/>
    <n v="427985904"/>
    <n v="-128085904"/>
    <n v="299900000"/>
    <n v="299900000"/>
    <n v="0"/>
    <n v="299300000"/>
    <n v="99.8"/>
    <n v="299300000"/>
    <n v="99.8"/>
    <n v="600000"/>
    <n v="298450000"/>
  </r>
  <r>
    <n v="2022"/>
    <n v="100"/>
    <x v="4"/>
    <s v="DESPACHO DEL ALCALDE"/>
    <x v="4"/>
    <n v="2021130010267"/>
    <x v="1"/>
    <x v="10"/>
    <x v="147"/>
    <s v="2,3,4599,1000,2021130010267"/>
    <s v="080"/>
    <s v="1,2,3,2,05-080 - OTRAS TASAS Y DERECHOS ADMINISTRATIVOS OCUPACION DE VIAS"/>
    <s v="INV"/>
    <s v="NO"/>
    <s v="RECUPERACION DEL ESPACIO PUBLICO  CARTAGENA DE INDIAS"/>
    <x v="365"/>
    <s v="06"/>
    <s v="00"/>
    <n v="325868109"/>
    <n v="-325531342"/>
    <n v="336767"/>
    <n v="0"/>
    <n v="336767"/>
    <n v="0"/>
    <n v="0"/>
    <n v="0"/>
    <n v="0"/>
    <n v="336767"/>
    <n v="0"/>
  </r>
  <r>
    <n v="2022"/>
    <n v="100"/>
    <x v="4"/>
    <s v="DESPACHO DEL ALCALDE"/>
    <x v="4"/>
    <n v="2021130010267"/>
    <x v="1"/>
    <x v="10"/>
    <x v="147"/>
    <s v="2,3,4599,1000,2021130010267"/>
    <s v="001"/>
    <s v="1,2,1,0,00-001 - ICLD"/>
    <s v="INV"/>
    <s v="NO"/>
    <s v="RECUPERACION DEL ESPACIO PUBLICO  CARTAGENA DE INDIAS"/>
    <x v="365"/>
    <s v="06"/>
    <s v="00"/>
    <n v="1850000000"/>
    <n v="-420000000"/>
    <n v="1430000000"/>
    <n v="1370633278.4200001"/>
    <n v="59366721.579999998"/>
    <n v="1276472000"/>
    <n v="89.26"/>
    <n v="1210216000"/>
    <n v="84.63"/>
    <n v="153528000"/>
    <n v="1183000000"/>
  </r>
  <r>
    <n v="2022"/>
    <n v="100"/>
    <x v="4"/>
    <s v="DESPACHO DEL ALCALDE"/>
    <x v="4"/>
    <n v="2021130010268"/>
    <x v="1"/>
    <x v="10"/>
    <x v="147"/>
    <s v="2,3,4002,1400,2021130010268"/>
    <s v="001"/>
    <s v="1,2,1,0,00-001 - ICLD"/>
    <s v="INV"/>
    <s v="NO"/>
    <s v="MEJORAMIENTO DE PARQUES Y ZONAS VERDES PARA LA RECUPERACION  DEL  ESPACIO PUBLICO   CARTAGENA DE INDIAS"/>
    <x v="366"/>
    <s v="06"/>
    <s v="00"/>
    <n v="150000000"/>
    <n v="-40000000"/>
    <n v="110000000"/>
    <n v="110000000"/>
    <n v="0"/>
    <n v="110000000"/>
    <n v="100"/>
    <n v="110000000"/>
    <n v="100"/>
    <n v="0"/>
    <n v="110000000"/>
  </r>
  <r>
    <n v="2022"/>
    <n v="100"/>
    <x v="5"/>
    <s v="INSTITUTO DE DEPORTE Y RECREACION"/>
    <x v="5"/>
    <n v="2021130010270"/>
    <x v="2"/>
    <x v="4"/>
    <x v="148"/>
    <s v="2,3,4302,1604,2021130010270"/>
    <s v="841"/>
    <s v="1,3,3,2,00-95-097 R,B, ICDE IDER 3% ICA"/>
    <s v="INV"/>
    <s v="NO"/>
    <s v="IMPLEMENTACION DEL OBSERVATORIO DE CIENCIAS APLICADAS AL DEPORTE, LA RECREACION, LA ACTIVIDAD FISICA Y EL APROVECHAMIENTO DEL TIEMPO LIBRE EN EL DISTRITO DE CARTAGENA DE INDIAS"/>
    <x v="367"/>
    <s v="06"/>
    <s v="00"/>
    <n v="0"/>
    <n v="50000000"/>
    <n v="50000000"/>
    <n v="6082332.71"/>
    <n v="43917667.289999999"/>
    <n v="6082332.71"/>
    <n v="12.16"/>
    <n v="6082332.71"/>
    <n v="12.16"/>
    <n v="43917667.289999999"/>
    <n v="0"/>
  </r>
  <r>
    <n v="2022"/>
    <n v="100"/>
    <x v="5"/>
    <s v="INSTITUTO DE DEPORTE Y RECREACION"/>
    <x v="5"/>
    <n v="2021130010270"/>
    <x v="2"/>
    <x v="4"/>
    <x v="148"/>
    <s v="2,3,4302,1604,2021130010270"/>
    <s v="025"/>
    <s v="1,2,3,2,05-025 - OTRAS TASAS Y DERECHOS ADMINISTRATIVOS TASA PRODEPORTE"/>
    <s v="INV"/>
    <s v="NO"/>
    <s v="IMPLEMENTACION DEL OBSERVATORIO DE CIENCIAS APLICADAS AL DEPORTE, LA RECREACION, LA ACTIVIDAD FISICA Y EL APROVECHAMIENTO DEL TIEMPO LIBRE EN EL DISTRITO DE  CARTAGENA DE INDIAS"/>
    <x v="368"/>
    <s v="06"/>
    <s v="00"/>
    <n v="300000000"/>
    <n v="0"/>
    <n v="300000000"/>
    <n v="246712660"/>
    <n v="53287340"/>
    <n v="246712660"/>
    <n v="82.24"/>
    <n v="246712660"/>
    <n v="82.24"/>
    <n v="53287340"/>
    <n v="148957475"/>
  </r>
  <r>
    <n v="2022"/>
    <n v="100"/>
    <x v="5"/>
    <s v="INSTITUTO DE DEPORTE Y RECREACION"/>
    <x v="5"/>
    <n v="2021130010270"/>
    <x v="2"/>
    <x v="4"/>
    <x v="148"/>
    <s v="2,3,4302,1604,2021130010270"/>
    <s v="097"/>
    <s v="1,2,2,0,00-097 - ICDE IDER 3% ICA"/>
    <s v="INV"/>
    <s v="NO"/>
    <s v="IMPLEMENTACION DEL OBSERVATORIO DE CIENCIAS APLICADAS AL DEPORTE, LA RECREACION, LA ACTIVIDAD FISICA Y EL APROVECHAMIENTO DEL TIEMPO LIBRE EN EL DISTRITO DE  CARTAGENA DE INDIAS"/>
    <x v="368"/>
    <s v="06"/>
    <s v="00"/>
    <n v="281072622"/>
    <n v="0"/>
    <n v="281072622"/>
    <n v="278215000"/>
    <n v="2857622"/>
    <n v="278215000"/>
    <n v="98.98"/>
    <n v="278215000"/>
    <n v="98.98"/>
    <n v="2857622"/>
    <n v="198415000"/>
  </r>
  <r>
    <n v="2022"/>
    <n v="100"/>
    <x v="5"/>
    <s v="INSTITUTO DE DEPORTE Y RECREACION"/>
    <x v="5"/>
    <n v="2021130010270"/>
    <x v="2"/>
    <x v="4"/>
    <x v="148"/>
    <s v="2,3,4302,1604,2021130010270"/>
    <s v="011"/>
    <s v="1,3,2,3,05-011 - OTROS RENDIMIENTOS FINANCIEROS IDER"/>
    <s v="INV"/>
    <s v="NO"/>
    <s v="IMPLEMENTACION DEL OBSERVATORIO DE CIENCIAS APLICADAS AL DEPORTE, LA RECREACION, LA ACTIVIDAD FISICA Y EL APROVECHAMIENTO DEL TIEMPO LIBRE EN EL DISTRITO DE  CARTAGENA DE INDIAS"/>
    <x v="368"/>
    <s v="06"/>
    <s v="00"/>
    <n v="21903864"/>
    <n v="0"/>
    <n v="21903864"/>
    <n v="0"/>
    <n v="21903864"/>
    <n v="0"/>
    <n v="0"/>
    <n v="0"/>
    <n v="0"/>
    <n v="21903864"/>
    <n v="0"/>
  </r>
  <r>
    <n v="2022"/>
    <n v="100"/>
    <x v="5"/>
    <s v="INSTITUTO DE DEPORTE Y RECREACION"/>
    <x v="5"/>
    <n v="2021130010270"/>
    <x v="2"/>
    <x v="4"/>
    <x v="148"/>
    <s v="2,3,4302,1604,2021130010270"/>
    <s v="024"/>
    <s v="1,2,3,1,12-024 - IMPUESTO DE ESPECTACULOS PUBLICOS NACIONAL IDER"/>
    <s v="INV"/>
    <s v="NO"/>
    <s v="IMPLEMENTACION DEL OBSERVATORIO DE CIENCIAS APLICADAS AL DEPORTE, LA RECREACION, LA ACTIVIDAD FISICA Y EL APROVECHAMIENTO DEL TIEMPO LIBRE EN EL DISTRITO DE  CARTAGENA DE INDIAS"/>
    <x v="368"/>
    <s v="06"/>
    <s v="00"/>
    <n v="42456659"/>
    <n v="0"/>
    <n v="42456659"/>
    <n v="0"/>
    <n v="42456659"/>
    <n v="0"/>
    <n v="0"/>
    <n v="0"/>
    <n v="0"/>
    <n v="42456659"/>
    <n v="0"/>
  </r>
  <r>
    <n v="2022"/>
    <n v="100"/>
    <x v="15"/>
    <s v="SECRETARIA DE PLANEACION"/>
    <x v="15"/>
    <n v="2021130010271"/>
    <x v="1"/>
    <x v="17"/>
    <x v="149"/>
    <s v="2,3,4002,1400,2021130010271"/>
    <s v="001"/>
    <s v="1,2,1,0,00-001 - ICLD"/>
    <s v="INV"/>
    <s v="NO"/>
    <s v="NORMALIZACION URBANISTICA DE CARTAGENA DE INDIAS"/>
    <x v="369"/>
    <s v="06"/>
    <s v="00"/>
    <n v="689200641.92999995"/>
    <n v="0"/>
    <n v="689200641.92999995"/>
    <n v="660399999"/>
    <n v="28800642.93"/>
    <n v="655199999"/>
    <n v="95.07"/>
    <n v="619599999"/>
    <n v="89.9"/>
    <n v="34000642.93"/>
    <n v="617986666"/>
  </r>
  <r>
    <n v="2022"/>
    <n v="100"/>
    <x v="15"/>
    <s v="SECRETARIA DE PLANEACION"/>
    <x v="15"/>
    <n v="2021130010271"/>
    <x v="1"/>
    <x v="17"/>
    <x v="149"/>
    <s v="2,3,4002,1400,2021130010271"/>
    <s v="921"/>
    <s v="1,3,3,8,03-93-075 R,B, SGP-PROPOSITO GENERAL-PROPOSITO GENERAL LIBRE INVERSION"/>
    <s v="INV"/>
    <s v="NO"/>
    <s v="NORMALIZACION URBANISTICA DE CARTAGENA DE INDIAS"/>
    <x v="369"/>
    <s v="06"/>
    <s v="00"/>
    <n v="0"/>
    <n v="0.16"/>
    <n v="0.16"/>
    <n v="0"/>
    <n v="0.16"/>
    <n v="0"/>
    <n v="0"/>
    <n v="0"/>
    <n v="0"/>
    <n v="0.16"/>
    <n v="0"/>
  </r>
  <r>
    <n v="2022"/>
    <n v="100"/>
    <x v="15"/>
    <s v="SECRETARIA DE PLANEACION"/>
    <x v="15"/>
    <n v="2021130010271"/>
    <x v="1"/>
    <x v="17"/>
    <x v="149"/>
    <s v="2,3,4002,1400,2021130010271"/>
    <s v="812"/>
    <s v="1,3,3,11,03-93-062 - RB DIVIDENDOS ACUACAR"/>
    <s v="INV"/>
    <s v="NO"/>
    <s v="NORMALIZACION URBANISTICA DE CARTAGENA DE INDIAS"/>
    <x v="369"/>
    <s v="06"/>
    <s v="00"/>
    <n v="0"/>
    <n v="63171482.390000001"/>
    <n v="63171482.390000001"/>
    <n v="62700000"/>
    <n v="471482.39"/>
    <n v="62700000"/>
    <n v="99.25"/>
    <n v="62700000"/>
    <n v="99.25"/>
    <n v="471482.39"/>
    <n v="41800000"/>
  </r>
  <r>
    <n v="2022"/>
    <n v="100"/>
    <x v="15"/>
    <s v="SECRETARIA DE PLANEACION"/>
    <x v="15"/>
    <n v="2021130010271"/>
    <x v="1"/>
    <x v="17"/>
    <x v="149"/>
    <s v="2,3,4002,1400,2021130010271"/>
    <s v="813"/>
    <s v="1,3,3,11,03-93-138 R,B, DIVIDENDOS SOCIEDAD PORTUARIA"/>
    <s v="INV"/>
    <s v="NO"/>
    <s v="NORMALIZACION URBANISTICA DE CARTAGENA DE INDIAS"/>
    <x v="369"/>
    <s v="06"/>
    <s v="00"/>
    <n v="0"/>
    <n v="105389633"/>
    <n v="105389633"/>
    <n v="105389633"/>
    <n v="0"/>
    <n v="95000000"/>
    <n v="90.14"/>
    <n v="76000000"/>
    <n v="72.11"/>
    <n v="10389633"/>
    <n v="0"/>
  </r>
  <r>
    <n v="2022"/>
    <n v="100"/>
    <x v="15"/>
    <s v="SECRETARIA DE PLANEACION"/>
    <x v="15"/>
    <n v="2021130010271"/>
    <x v="1"/>
    <x v="17"/>
    <x v="149"/>
    <s v="2,3,4002,1400,2021130010271"/>
    <s v="850"/>
    <s v="1,3,3,3,17-93-124 RB IMPUESTO DE TRANSPORTE POR OLEODUCTOS Y GASODUCTOS"/>
    <s v="INV"/>
    <s v="NO"/>
    <s v="NORMALIZACION URBANISTICA DE CARTAGENA DE INDIAS"/>
    <x v="369"/>
    <s v="06"/>
    <s v="00"/>
    <n v="0"/>
    <n v="0.72"/>
    <n v="0.72"/>
    <n v="0"/>
    <n v="0.72"/>
    <n v="0"/>
    <n v="0"/>
    <n v="0"/>
    <n v="0"/>
    <n v="0.72"/>
    <n v="0"/>
  </r>
  <r>
    <n v="2022"/>
    <n v="100"/>
    <x v="15"/>
    <s v="SECRETARIA DE PLANEACION"/>
    <x v="15"/>
    <n v="2021130010271"/>
    <x v="1"/>
    <x v="17"/>
    <x v="149"/>
    <s v="2,3,4002,1400,2021130010271"/>
    <s v="851"/>
    <s v="1,3,3,3,17-93-126 RB IMPUESTO DE TRANSPORTE POR OLEODUCTOS Y GASODUCTOS"/>
    <s v="INV"/>
    <s v="NO"/>
    <s v="NORMALIZACION URBANISTICA DE CARTAGENA DE INDIAS"/>
    <x v="369"/>
    <s v="06"/>
    <s v="00"/>
    <n v="0"/>
    <n v="0.62"/>
    <n v="0.62"/>
    <n v="0"/>
    <n v="0.62"/>
    <n v="0"/>
    <n v="0"/>
    <n v="0"/>
    <n v="0"/>
    <n v="0.62"/>
    <n v="0"/>
  </r>
  <r>
    <n v="2022"/>
    <n v="100"/>
    <x v="15"/>
    <s v="SECRETARIA DE PLANEACION"/>
    <x v="15"/>
    <n v="2021130010271"/>
    <x v="1"/>
    <x v="17"/>
    <x v="149"/>
    <s v="2,3,4002,1400,2021130010271"/>
    <s v="922"/>
    <s v="1,3,3,8,03-95-070 R,B, SGP-PROPOSITO GENERAL-PROPOSITO GENERAL LIBRE INVERSION"/>
    <s v="INV"/>
    <s v="NO"/>
    <s v="NORMALIZACION URBANISTICA DE CARTAGENA DE INDIAS"/>
    <x v="369"/>
    <s v="06"/>
    <s v="00"/>
    <n v="0"/>
    <n v="73146669.659999996"/>
    <n v="73146669.659999996"/>
    <n v="0"/>
    <n v="73146669.659999996"/>
    <n v="0"/>
    <n v="0"/>
    <n v="0"/>
    <n v="0"/>
    <n v="73146669.659999996"/>
    <n v="0"/>
  </r>
  <r>
    <n v="2022"/>
    <n v="100"/>
    <x v="15"/>
    <s v="SECRETARIA DE PLANEACION"/>
    <x v="15"/>
    <n v="2021130010271"/>
    <x v="1"/>
    <x v="17"/>
    <x v="149"/>
    <s v="2,3,4002,1400,2021130010271"/>
    <s v="070"/>
    <s v="1,2,4,3,03-070 - SGP LIBRE INVERSION"/>
    <s v="INV"/>
    <s v="NO"/>
    <s v="NORMALIZACION URBANISTICA DE CARTAGENA DE INDIAS"/>
    <x v="369"/>
    <s v="06"/>
    <s v="00"/>
    <n v="631000000"/>
    <n v="-72735679"/>
    <n v="558264321"/>
    <n v="515831618"/>
    <n v="42432703"/>
    <n v="471259600"/>
    <n v="84.42"/>
    <n v="471259600"/>
    <n v="84.42"/>
    <n v="87004721"/>
    <n v="466859600"/>
  </r>
  <r>
    <n v="2022"/>
    <n v="100"/>
    <x v="4"/>
    <s v="DESPACHO DEL ALCALDE"/>
    <x v="4"/>
    <n v="2021130010272"/>
    <x v="1"/>
    <x v="10"/>
    <x v="146"/>
    <s v="2,3,2402,0600,2021130010272"/>
    <s v="001"/>
    <s v="1,2,1,0,00-001 - ICLD"/>
    <s v="INV"/>
    <s v="NO"/>
    <s v="IMPLEMENTACION DEL SISTEMA DISTRITAL DE CICLOINFRAESTRUCTURA  CARTAGENA DE INDIAS"/>
    <x v="370"/>
    <s v="06"/>
    <s v="00"/>
    <n v="4905727078"/>
    <n v="-4905727078"/>
    <n v="0"/>
    <n v="0"/>
    <n v="0"/>
    <n v="0"/>
    <n v="0"/>
    <n v="0"/>
    <n v="0"/>
    <n v="0"/>
    <n v="0"/>
  </r>
  <r>
    <n v="2022"/>
    <n v="100"/>
    <x v="14"/>
    <s v="SECRETARIA DE HACIENDA PUBLICA"/>
    <x v="14"/>
    <n v="2021130010274"/>
    <x v="0"/>
    <x v="32"/>
    <x v="150"/>
    <s v="2,3,4599,1000,2021130010274"/>
    <s v="804"/>
    <s v="1,3,1,1,11-001 - REINTEGRO ICLD"/>
    <s v="INV"/>
    <s v="NO"/>
    <s v="IMPLEMENTACION DEL PLAN DE SANEAMIENTO FISCAL Y FINANCIERO DEL DISTRITO DE CARTAGENA DE INDIAS"/>
    <x v="371"/>
    <s v="06"/>
    <s v="00"/>
    <n v="0"/>
    <n v="8609950282"/>
    <n v="8609950282"/>
    <n v="8609950282"/>
    <n v="0"/>
    <n v="8609950282"/>
    <n v="100"/>
    <n v="8395771931.9700003"/>
    <n v="97.51"/>
    <n v="0"/>
    <n v="6314856432.0900002"/>
  </r>
  <r>
    <n v="2022"/>
    <n v="100"/>
    <x v="14"/>
    <s v="SECRETARIA DE HACIENDA PUBLICA"/>
    <x v="14"/>
    <n v="2021130010274"/>
    <x v="0"/>
    <x v="32"/>
    <x v="150"/>
    <s v="2,3,4599,1000,2021130010274"/>
    <s v="001"/>
    <s v="1,2,1,0,00-001 - ICLD"/>
    <s v="INV"/>
    <s v="NO"/>
    <s v="IMPLEMENTACION DEL PLAN DE SANEAMIENTO FISCAL Y FINANCIERO DEL DISTRITO DE CARTAGENA DE INDIAS"/>
    <x v="371"/>
    <s v="06"/>
    <s v="00"/>
    <n v="20000000000"/>
    <n v="0"/>
    <n v="20000000000"/>
    <n v="20000000000"/>
    <n v="0"/>
    <n v="19998588824"/>
    <n v="99.99"/>
    <n v="19233479591.959999"/>
    <n v="96.17"/>
    <n v="1411176"/>
    <n v="4792737"/>
  </r>
  <r>
    <n v="2022"/>
    <n v="100"/>
    <x v="3"/>
    <s v="SECRETARIA DEL INTERIOR Y CONVIVENCIA CIUDADANAL"/>
    <x v="3"/>
    <n v="2021130010275"/>
    <x v="0"/>
    <x v="1"/>
    <x v="151"/>
    <s v="2,3,4102,1000,2021130010275"/>
    <s v="001"/>
    <s v="1,2,1,0,00-001 - ICLD"/>
    <s v="INV"/>
    <s v="NO"/>
    <s v="FORTALECIMIENTO DEL SISTEMA DE RESPONSABILIDAD PENAL PARA ADOLESCENTES- SRPA EN EL CARTAGENA DE INDIAS"/>
    <x v="372"/>
    <s v="06"/>
    <s v="00"/>
    <n v="213729577"/>
    <n v="0"/>
    <n v="213729577"/>
    <n v="213729500"/>
    <n v="77"/>
    <n v="213729500"/>
    <n v="100"/>
    <n v="213729500"/>
    <n v="100"/>
    <n v="77"/>
    <n v="213729500"/>
  </r>
  <r>
    <n v="2022"/>
    <n v="100"/>
    <x v="3"/>
    <s v="SECRETARIA DEL INTERIOR Y CONVIVENCIA CIUDADANAL"/>
    <x v="3"/>
    <n v="2021130010276"/>
    <x v="4"/>
    <x v="25"/>
    <x v="152"/>
    <s v="2,3,4502,1000,2021130010276"/>
    <s v="816"/>
    <s v="1,3,3,11,03-95-138 R,B, DIVIDENDOS SOCIEDAD PORTUARIA"/>
    <s v="INV"/>
    <s v="NO"/>
    <s v="IMPLEMENTACION DE LA JURISDICCION ESPECIAL INDIGENA- JEI EN EL DISTRITO DE CARTAGENA DE INDIAS"/>
    <x v="373"/>
    <s v="06"/>
    <s v="00"/>
    <n v="0"/>
    <n v="0"/>
    <n v="0"/>
    <n v="0"/>
    <n v="0"/>
    <n v="0"/>
    <n v="0"/>
    <n v="0"/>
    <n v="0"/>
    <n v="0"/>
    <n v="0"/>
  </r>
  <r>
    <n v="2022"/>
    <n v="100"/>
    <x v="3"/>
    <s v="SECRETARIA DEL INTERIOR Y CONVIVENCIA CIUDADANAL"/>
    <x v="3"/>
    <n v="2021130010276"/>
    <x v="4"/>
    <x v="25"/>
    <x v="152"/>
    <s v="2,3,4502,1000,2021130010276"/>
    <s v="001"/>
    <s v="1,2,1,0,00-001 - ICLD"/>
    <s v="INV"/>
    <s v="NO"/>
    <s v="IMPLEMENTACION DE LA JURISDICCION ESPECIAL INDIGENA- JEI EN EL DISTRITO DE CARTAGENA DE INDIAS"/>
    <x v="373"/>
    <s v="06"/>
    <s v="00"/>
    <n v="57430985"/>
    <n v="0"/>
    <n v="57430985"/>
    <n v="57420000"/>
    <n v="10985"/>
    <n v="57420000"/>
    <n v="99.98"/>
    <n v="0"/>
    <n v="0"/>
    <n v="10985"/>
    <n v="0"/>
  </r>
  <r>
    <n v="2022"/>
    <n v="100"/>
    <x v="13"/>
    <s v="SECRETARIA GENERAL"/>
    <x v="13"/>
    <n v="2021130010278"/>
    <x v="3"/>
    <x v="26"/>
    <x v="84"/>
    <s v="2,3,3502,0200,2021130010278"/>
    <s v="001"/>
    <s v="1,2,1,0,00-001 - ICLD"/>
    <s v="INV"/>
    <s v="NO"/>
    <s v="IMPLEMENTACION DEL PROYECTO CARTAGENA XVI FESTIVAL DE MUSICA CARTAGENA DE INDIAS"/>
    <x v="374"/>
    <s v="06"/>
    <s v="00"/>
    <n v="51300000"/>
    <n v="-51300000"/>
    <n v="0"/>
    <n v="0"/>
    <n v="0"/>
    <n v="0"/>
    <n v="0"/>
    <n v="0"/>
    <n v="0"/>
    <n v="0"/>
    <n v="0"/>
  </r>
  <r>
    <n v="2022"/>
    <n v="100"/>
    <x v="19"/>
    <s v="DISTRISEGURIDAD"/>
    <x v="19"/>
    <n v="2021130010279"/>
    <x v="0"/>
    <x v="1"/>
    <x v="153"/>
    <s v="2,3,4501,1000,2021130010279"/>
    <s v="940"/>
    <s v="1,3,3,4,21-95-084 - RB RENDIMIENTOS FINANCIEROS DISTRISEGURIDAD"/>
    <s v="INV"/>
    <s v="NO"/>
    <s v="IMPLEMENTACION DEL PROGRAMA VIGILANCIA DE LAS PLAYAS DEL DISTRITO DE CARTAGENA DE INDIAS"/>
    <x v="375"/>
    <s v="06"/>
    <s v="00"/>
    <n v="0"/>
    <n v="13602141"/>
    <n v="13602141"/>
    <n v="0"/>
    <n v="13602141"/>
    <n v="0"/>
    <n v="0"/>
    <n v="0"/>
    <n v="0"/>
    <n v="13602141"/>
    <n v="0"/>
  </r>
  <r>
    <n v="2022"/>
    <n v="100"/>
    <x v="19"/>
    <s v="DISTRISEGURIDAD"/>
    <x v="19"/>
    <n v="2021130010279"/>
    <x v="0"/>
    <x v="1"/>
    <x v="153"/>
    <s v="2,3,4501,1000,2021130010279"/>
    <s v="840"/>
    <s v="1,3,3,2,00-95-083 RB  ICDE DISTRISEGURIDAD 10% DELINEACION URBANA"/>
    <s v="INV"/>
    <s v="NO"/>
    <s v="IMPLEMENTACION DEL PROGRAMA VIGILANCIA DE LAS PLAYAS DEL DISTRITO DE CARTAGENA DE INDIAS"/>
    <x v="375"/>
    <s v="06"/>
    <s v="00"/>
    <n v="0"/>
    <n v="332551035"/>
    <n v="332551035"/>
    <n v="0"/>
    <n v="332551035"/>
    <n v="0"/>
    <n v="0"/>
    <n v="0"/>
    <n v="0"/>
    <n v="332551035"/>
    <n v="0"/>
  </r>
  <r>
    <n v="2022"/>
    <n v="100"/>
    <x v="19"/>
    <s v="DISTRISEGURIDAD"/>
    <x v="19"/>
    <n v="2021130010279"/>
    <x v="0"/>
    <x v="1"/>
    <x v="153"/>
    <s v="2,3,4501,1000,2021130010279"/>
    <s v="838"/>
    <s v="1,3,3,2,00-95-051 RB ICDE DISTRISEGURIDAD 1% IPU"/>
    <s v="INV"/>
    <s v="NO"/>
    <s v="IMPLEMENTACION DEL PROGRAMA VIGILANCIA DE LAS PLAYAS DEL DISTRITO DE CARTAGENA DE INDIAS"/>
    <x v="375"/>
    <s v="06"/>
    <s v="00"/>
    <n v="0"/>
    <n v="68793476.879999995"/>
    <n v="68793476.879999995"/>
    <n v="68793476"/>
    <n v="0.88"/>
    <n v="68793476"/>
    <n v="100"/>
    <n v="68793476"/>
    <n v="100"/>
    <n v="0.88"/>
    <n v="0"/>
  </r>
  <r>
    <n v="2022"/>
    <n v="100"/>
    <x v="19"/>
    <s v="DISTRISEGURIDAD"/>
    <x v="19"/>
    <n v="2021130010279"/>
    <x v="0"/>
    <x v="1"/>
    <x v="153"/>
    <s v="2,3,4501,1000,2021130010279"/>
    <s v="832"/>
    <s v="1,3,3,2,00-93-083 RB  ICDE DISTRISEGURIDAD 10% DELINEACION URBANA"/>
    <s v="INV"/>
    <s v="NO"/>
    <s v="IMPLEMENTACION DEL PROGRAMA VIGILANCIA DE LAS PLAYAS DEL DISTRITO DE CARTAGENA DE INDIAS"/>
    <x v="375"/>
    <s v="06"/>
    <s v="00"/>
    <n v="0"/>
    <n v="283745623"/>
    <n v="283745623"/>
    <n v="283745623"/>
    <n v="0"/>
    <n v="283745623"/>
    <n v="100"/>
    <n v="283745623"/>
    <n v="100"/>
    <n v="0"/>
    <n v="283745623"/>
  </r>
  <r>
    <n v="2022"/>
    <n v="100"/>
    <x v="19"/>
    <s v="DISTRISEGURIDAD"/>
    <x v="19"/>
    <n v="2021130010279"/>
    <x v="0"/>
    <x v="1"/>
    <x v="153"/>
    <s v="2,3,4501,1000,2021130010279"/>
    <s v="076"/>
    <s v="1,2,2,0,00-076 - ICDE IMPUESTO A LA TELEFONIA BASICA CONMUTADA"/>
    <s v="INV"/>
    <s v="NO"/>
    <s v="IMPLEMENTACION DEL PROGRAMA VIGILANCIA DE LAS PLAYAS DEL DISTRITO DE  CARTAGENA DE INDIAS"/>
    <x v="376"/>
    <s v="06"/>
    <s v="00"/>
    <n v="1444666499"/>
    <n v="0"/>
    <n v="1444666499"/>
    <n v="0"/>
    <n v="1444666499"/>
    <n v="0"/>
    <n v="0"/>
    <n v="0"/>
    <n v="0"/>
    <n v="1444666499"/>
    <n v="0"/>
  </r>
  <r>
    <n v="2022"/>
    <n v="100"/>
    <x v="14"/>
    <s v="SECRETARIA DE HACIENDA PUBLICA"/>
    <x v="14"/>
    <n v="2021130010280"/>
    <x v="3"/>
    <x v="11"/>
    <x v="23"/>
    <s v="2,3,4103,1500,2021130010280"/>
    <s v="813"/>
    <s v="1,3,3,11,03-93-138 R,B, DIVIDENDOS SOCIEDAD PORTUARIA"/>
    <s v="INV"/>
    <s v="NO"/>
    <s v="IDENTIFICACION Y CREACION DE INICIATIVAS PRODUCTIVAS ADAPTADAS A LAS CONDICIONES DE CRISIS SANITARIAS SOCIALES Y AMBIENTALES EN POBLACION JOVEN DEL DISTRITO DE CARTAGENA DE INDIAS"/>
    <x v="377"/>
    <s v="06"/>
    <s v="00"/>
    <n v="0"/>
    <n v="300000000"/>
    <n v="300000000"/>
    <n v="300000000"/>
    <n v="0"/>
    <n v="0"/>
    <n v="0"/>
    <n v="0"/>
    <n v="0"/>
    <n v="300000000"/>
    <n v="0"/>
  </r>
  <r>
    <n v="2022"/>
    <n v="100"/>
    <x v="14"/>
    <s v="SECRETARIA DE HACIENDA PUBLICA"/>
    <x v="14"/>
    <n v="2021130010280"/>
    <x v="3"/>
    <x v="11"/>
    <x v="23"/>
    <s v="2,3,4103,1500,2021130010280"/>
    <s v="001"/>
    <s v="1,2,1,0,00-001 - ICLD"/>
    <s v="INV"/>
    <s v="NO"/>
    <s v="IDENTIFICACION Y CREACION DE INICIATIVAS PRODUCTIVAS ADAPTADAS A LAS CONDICIONES DE CRISIS SANITARIAS SOCIALES Y AMBIENTALES EN POBLACION JOVEN DEL DISTRITO DE CARTAGENA DE INDIAS"/>
    <x v="377"/>
    <s v="06"/>
    <s v="00"/>
    <n v="102872690"/>
    <n v="0"/>
    <n v="102872690"/>
    <n v="102872690"/>
    <n v="0"/>
    <n v="0"/>
    <n v="0"/>
    <n v="0"/>
    <n v="0"/>
    <n v="102872690"/>
    <n v="0"/>
  </r>
  <r>
    <n v="2022"/>
    <n v="100"/>
    <x v="14"/>
    <s v="SECRETARIA DE HACIENDA PUBLICA"/>
    <x v="14"/>
    <n v="2021130010281"/>
    <x v="4"/>
    <x v="25"/>
    <x v="83"/>
    <s v="2,3,4103,1500,2021130010281"/>
    <s v="816"/>
    <s v="1,3,3,11,03-95-138 R,B, DIVIDENDOS SOCIEDAD PORTUARIA"/>
    <s v="INV"/>
    <s v="NO"/>
    <s v="FORTALECIMIENTO DE LAS ESTRATEGIAS PARA LA GENERACION DE INGRESOS DE LA POBLACION INDIGENA EN EL DISTRITO DE CARTAGENA,"/>
    <x v="378"/>
    <s v="06"/>
    <s v="00"/>
    <n v="0"/>
    <n v="200000000"/>
    <n v="200000000"/>
    <n v="95000000"/>
    <n v="105000000"/>
    <n v="86450000"/>
    <n v="43.23"/>
    <n v="43225000"/>
    <n v="21.61"/>
    <n v="113550000"/>
    <n v="0"/>
  </r>
  <r>
    <n v="2022"/>
    <n v="100"/>
    <x v="14"/>
    <s v="SECRETARIA DE HACIENDA PUBLICA"/>
    <x v="14"/>
    <n v="2021130010281"/>
    <x v="4"/>
    <x v="25"/>
    <x v="83"/>
    <s v="2,3,4103,1500,2021130010281"/>
    <s v="001"/>
    <s v="1,2,1,0,00-001 - ICLD"/>
    <s v="INV"/>
    <s v="NO"/>
    <s v="FORTALECIMIENTO DE LAS ESTRATEGIAS PARA LA GENERACION DE INGRESOS DE LA POBLACION INDIGENA EN EL DISTRITO DE CARTAGENA,"/>
    <x v="378"/>
    <s v="06"/>
    <s v="00"/>
    <n v="100000000"/>
    <n v="0"/>
    <n v="100000000"/>
    <n v="57647120"/>
    <n v="42352880"/>
    <n v="41447120"/>
    <n v="41.45"/>
    <n v="41447120"/>
    <n v="41.45"/>
    <n v="58552880"/>
    <n v="41447120"/>
  </r>
  <r>
    <n v="2022"/>
    <n v="100"/>
    <x v="14"/>
    <s v="SECRETARIA DE HACIENDA PUBLICA"/>
    <x v="14"/>
    <n v="2021130010282"/>
    <x v="4"/>
    <x v="25"/>
    <x v="110"/>
    <s v="2,3,4103,1500,2021130010282"/>
    <s v="816"/>
    <s v="1,3,3,11,03-95-138 R,B, DIVIDENDOS SOCIEDAD PORTUARIA"/>
    <s v="INV"/>
    <s v="NO"/>
    <s v="FORTALECIMIENTO DE LAS ESTRATEGIAS DE INCLUSION PRODUCTIVA PARA POBLACION NEGRA, AFROCOLOMBIANA, RAIZAL Y PALENQUERA EN EL DISTRITO DE CARTAGENA "/>
    <x v="379"/>
    <s v="06"/>
    <s v="00"/>
    <n v="0"/>
    <n v="300000000"/>
    <n v="300000000"/>
    <n v="9000000"/>
    <n v="291000000"/>
    <n v="0"/>
    <n v="0"/>
    <n v="0"/>
    <n v="0"/>
    <n v="300000000"/>
    <n v="0"/>
  </r>
  <r>
    <n v="2022"/>
    <n v="100"/>
    <x v="14"/>
    <s v="SECRETARIA DE HACIENDA PUBLICA"/>
    <x v="14"/>
    <n v="2021130010282"/>
    <x v="4"/>
    <x v="25"/>
    <x v="110"/>
    <s v="2,3,4103,1500,2021130010282"/>
    <s v="001"/>
    <s v="1,2,1,0,00-001 - ICLD"/>
    <s v="INV"/>
    <s v="NO"/>
    <s v="FORTALECIMIENTO DE LAS ESTRATEGIAS DE INCLUSION PRODUCTIVA PARA POBLACION NEGRA, AFROCOLOMBIANA, RAIZAL Y PALENQUERA EN EL DISTRITO DE CARTAGENA "/>
    <x v="379"/>
    <s v="06"/>
    <s v="00"/>
    <n v="400000000"/>
    <n v="0"/>
    <n v="400000000"/>
    <n v="400000000"/>
    <n v="0"/>
    <n v="0"/>
    <n v="0"/>
    <n v="0"/>
    <n v="0"/>
    <n v="400000000"/>
    <n v="0"/>
  </r>
  <r>
    <n v="2022"/>
    <n v="100"/>
    <x v="3"/>
    <s v="SECRETARIA DEL INTERIOR Y CONVIVENCIA CIUDADANAL"/>
    <x v="3"/>
    <n v="2021130010283"/>
    <x v="0"/>
    <x v="1"/>
    <x v="60"/>
    <s v="2,3,4501,1000,2021130010283"/>
    <s v="856"/>
    <s v="1,3,3,4,01-95-040  RB CONTRIBUCION SOBRE CONTRATOS DE OBRA PUBLICA"/>
    <s v="INV"/>
    <s v="NO"/>
    <s v="FORTALECIMIENTO DE LAS CAPACIDADES TECNOLOGICAS Y OPERATIVAS DE LA UNIDAD ADMINISTRATIVA ESPECIAL MIGRACION COLOMBIA EN EL DISTRITO DE   CARTAGENA DE INDIAS"/>
    <x v="380"/>
    <s v="06"/>
    <s v="00"/>
    <n v="0"/>
    <n v="1021123073.04"/>
    <n v="1021123073.04"/>
    <n v="960989437.38"/>
    <n v="60133635.659999996"/>
    <n v="706014392.38999999"/>
    <n v="69.14"/>
    <n v="605642783.30999994"/>
    <n v="59.31"/>
    <n v="315108680.64999998"/>
    <n v="1424653.06"/>
  </r>
  <r>
    <n v="2022"/>
    <n v="100"/>
    <x v="3"/>
    <s v="SECRETARIA DEL INTERIOR Y CONVIVENCIA CIUDADANAL"/>
    <x v="3"/>
    <n v="2021130010283"/>
    <x v="0"/>
    <x v="1"/>
    <x v="60"/>
    <s v="2,3,4501,1000,2021130010283"/>
    <s v="040"/>
    <s v="1,2,3,2,01-040 - CONTRIBUCION SOBRE CONTRATOS DE OBRA PUBLICA"/>
    <s v="INV"/>
    <s v="NO"/>
    <s v="FORTALECIMIENTO DE LAS CAPACIDADES TECNOLOGICAS Y OPERATIVAS DE LA UNIDAD ADMINISTRATIVA ESPECIAL MIGRACION COLOMBIA EN EL DISTRITO DE   CARTAGENA DE INDIAS"/>
    <x v="380"/>
    <s v="06"/>
    <s v="00"/>
    <n v="1021476709"/>
    <n v="0"/>
    <n v="1021476709"/>
    <n v="0"/>
    <n v="1021476709"/>
    <n v="0"/>
    <n v="0"/>
    <n v="0"/>
    <n v="0"/>
    <n v="1021476709"/>
    <n v="0"/>
  </r>
  <r>
    <n v="2022"/>
    <n v="100"/>
    <x v="13"/>
    <s v="SECRETARIA GENERAL"/>
    <x v="13"/>
    <n v="2021130010284"/>
    <x v="0"/>
    <x v="27"/>
    <x v="154"/>
    <s v="2,3,4599,1000,2021130010284"/>
    <s v="001"/>
    <s v="1,2,1,0,00-001 - ICLD"/>
    <s v="INV"/>
    <s v="NO"/>
    <s v="INVENTARIO ?SANEAMIENTO INTEGRAL DEL PATRIMONIO INMOBILIARIO DEL DISTRITO DE CARTAGENA?, CARTAGENA DE INDIAS"/>
    <x v="381"/>
    <s v="06"/>
    <s v="00"/>
    <n v="300000000"/>
    <n v="0"/>
    <n v="300000000"/>
    <n v="259394131"/>
    <n v="40605869"/>
    <n v="232153638.00999999"/>
    <n v="77.38"/>
    <n v="232153638.00999999"/>
    <n v="77.38"/>
    <n v="67846361.989999995"/>
    <n v="214716971.34"/>
  </r>
  <r>
    <n v="2022"/>
    <n v="100"/>
    <x v="13"/>
    <s v="SECRETARIA GENERAL"/>
    <x v="13"/>
    <n v="2021130010285"/>
    <x v="0"/>
    <x v="19"/>
    <x v="155"/>
    <s v="2,3,4502,1000,2021130010285"/>
    <s v="001"/>
    <s v="1,2,1,0,00-001 - ICLD"/>
    <s v="INV"/>
    <s v="NO"/>
    <s v="DISE?O IMPLEMENTACION DE LA ESTRATEGIA DISTRITAL DE TRANSPARENCIA, PREVENCION DE LA CORRUPCION Y CULTURA CIUDADANA ANTICORRUPCION, PARA EL FORTALECIMIENTO DE LA CONFIANZA EN LAS INSTITUCIONES DEL DISTRITO DE CARTAGENA DE INDIAS"/>
    <x v="382"/>
    <s v="06"/>
    <s v="00"/>
    <n v="43092000"/>
    <n v="90000000"/>
    <n v="133092000"/>
    <n v="78000000"/>
    <n v="55092000"/>
    <n v="72857100"/>
    <n v="54.74"/>
    <n v="72857100"/>
    <n v="54.74"/>
    <n v="60234900"/>
    <n v="43000000"/>
  </r>
  <r>
    <n v="2022"/>
    <n v="100"/>
    <x v="13"/>
    <s v="SECRETARIA GENERAL"/>
    <x v="13"/>
    <n v="2021130010286"/>
    <x v="0"/>
    <x v="27"/>
    <x v="154"/>
    <s v="2,3,4599,1000,2021130010286"/>
    <s v="001"/>
    <s v="1,2,1,0,00-001 - ICLD"/>
    <s v="INV"/>
    <s v="NO"/>
    <s v="DISE?O IMPLEMENTACION DE AUDITORIA FORENSE PARA LA PROTECCION Y RECUPERACION DEL PATRIMONIO PUBLICO DE CARTAGENA DE INDIAS"/>
    <x v="383"/>
    <s v="06"/>
    <s v="00"/>
    <n v="300000000"/>
    <n v="-213600000"/>
    <n v="86400000"/>
    <n v="0"/>
    <n v="86400000"/>
    <n v="0"/>
    <n v="0"/>
    <n v="0"/>
    <n v="0"/>
    <n v="86400000"/>
    <n v="0"/>
  </r>
  <r>
    <n v="2022"/>
    <n v="100"/>
    <x v="13"/>
    <s v="SECRETARIA GENERAL"/>
    <x v="13"/>
    <n v="2021130010287"/>
    <x v="0"/>
    <x v="27"/>
    <x v="156"/>
    <s v="2,3,4599,4000,2021130010287"/>
    <s v="001"/>
    <s v="1,2,1,0,00-001 - ICLD"/>
    <s v="INV"/>
    <s v="NO"/>
    <s v="INSTALACION DE ZONAS WIFI EN LA ALCALDIA DISTRITAL DE CARTAGENA DE INDIAS"/>
    <x v="384"/>
    <s v="06"/>
    <s v="00"/>
    <n v="384615384"/>
    <n v="0"/>
    <n v="384615384"/>
    <n v="384615384"/>
    <n v="0"/>
    <n v="384147383.75999999"/>
    <n v="99.88"/>
    <n v="266117597"/>
    <n v="69.19"/>
    <n v="468000.24"/>
    <n v="195722484"/>
  </r>
  <r>
    <n v="2022"/>
    <n v="100"/>
    <x v="13"/>
    <s v="SECRETARIA GENERAL"/>
    <x v="13"/>
    <n v="2021130010288"/>
    <x v="1"/>
    <x v="20"/>
    <x v="157"/>
    <s v="2,3,4599,1000,2021130010288"/>
    <s v="001"/>
    <s v="1,2,1,0,00-001 - ICLD"/>
    <s v="INV"/>
    <s v="NO"/>
    <s v="DESARROLLO DE UN SISTEMA DE INFORMACION DE LOS SERVICIOS PUBLICOS DEL DISTRITO CARTAGENA DE INDIAS"/>
    <x v="385"/>
    <s v="06"/>
    <s v="00"/>
    <n v="150000000"/>
    <n v="0"/>
    <n v="150000000"/>
    <n v="149300000"/>
    <n v="700000"/>
    <n v="140733333"/>
    <n v="93.82"/>
    <n v="129933333"/>
    <n v="86.62"/>
    <n v="9266667"/>
    <n v="54800000"/>
  </r>
  <r>
    <n v="2022"/>
    <n v="100"/>
    <x v="13"/>
    <s v="SECRETARIA GENERAL"/>
    <x v="13"/>
    <n v="2021130010289"/>
    <x v="3"/>
    <x v="26"/>
    <x v="84"/>
    <s v="2,3,3502,1603,2021130010289"/>
    <s v="001"/>
    <s v="1,2,1,0,00-001 - ICLD"/>
    <s v="INV"/>
    <s v="NO"/>
    <s v="APOYO PARA LA IMPLEMENTACION DE HAY FESTIVAL CARTAGENA DE INDIAS DIGITAL EN EL DISTRITO DE CARTAGENA DE INDIAS "/>
    <x v="386"/>
    <s v="06"/>
    <s v="00"/>
    <n v="25650000"/>
    <n v="-25650000"/>
    <n v="0"/>
    <n v="0"/>
    <n v="0"/>
    <n v="0"/>
    <n v="0"/>
    <n v="0"/>
    <n v="0"/>
    <n v="0"/>
    <n v="0"/>
  </r>
  <r>
    <n v="2022"/>
    <n v="100"/>
    <x v="13"/>
    <s v="SECRETARIA GENERAL"/>
    <x v="13"/>
    <n v="2021130010290"/>
    <x v="3"/>
    <x v="11"/>
    <x v="158"/>
    <s v="2,3,2399,0400,2021130010290"/>
    <s v="001"/>
    <s v="1,2,1,0,00-001 - ICLD"/>
    <s v="INV"/>
    <s v="NO"/>
    <s v="DESARROLLO DEL ECOSISTEMA DIGITAL BASADO EN LA CUARTA REVOLUCION INDUSTRIAL CARTAGENA DE INDIAS "/>
    <x v="387"/>
    <s v="06"/>
    <s v="00"/>
    <n v="1"/>
    <n v="0"/>
    <n v="1"/>
    <n v="0"/>
    <n v="1"/>
    <n v="0"/>
    <n v="0"/>
    <n v="0"/>
    <n v="0"/>
    <n v="1"/>
    <n v="0"/>
  </r>
  <r>
    <n v="2022"/>
    <n v="100"/>
    <x v="13"/>
    <s v="SECRETARIA GENERAL"/>
    <x v="13"/>
    <n v="2021130010292"/>
    <x v="1"/>
    <x v="20"/>
    <x v="63"/>
    <s v="2,3,4003,1400,2021130010292"/>
    <s v="053"/>
    <s v="1,2,3,2,05-053 - OTRAS TASAS Y DERECHOS ADMINISTRATIVOS CONTRAPRESTACION PORTUARIA"/>
    <s v="INV"/>
    <s v="NO"/>
    <s v="DEFINICION E IMPLEMENTACION DEL ESQUEMA DE PRESTACION DE LOS SERVICIOS DE ACUEDUCTO Y ALCANTARILLADO DE LAS COMUNIDADES DE TIERRA BOMBA, ARCHIPIELAGO DE SAN BERNARDO, ISLA FUERTE E ISLA DE BARU,"/>
    <x v="388"/>
    <s v="06"/>
    <s v="00"/>
    <n v="1114827103"/>
    <n v="0"/>
    <n v="1114827103"/>
    <n v="1114827103"/>
    <n v="0"/>
    <n v="1114827103"/>
    <n v="100"/>
    <n v="1114827103"/>
    <n v="100"/>
    <n v="0"/>
    <n v="1114827103"/>
  </r>
  <r>
    <n v="2022"/>
    <n v="100"/>
    <x v="13"/>
    <s v="SECRETARIA GENERAL"/>
    <x v="13"/>
    <n v="2021130010292"/>
    <x v="1"/>
    <x v="20"/>
    <x v="63"/>
    <s v="2,3,4003,1400,2021130010292"/>
    <s v="001"/>
    <s v="1,2,1,0,00-001 - ICLD"/>
    <s v="INV"/>
    <s v="NO"/>
    <s v="DEFINICION E IMPLEMENTACION DEL ESQUEMA DE PRESTACION DE LOS SERVICIOS  DE ACUEDUCTO Y ALCANTARILLAO DE LAS COMUNIDADES DE TIERRABOMBA, ARCHIPIELAGO DE SAN BERNARDO, ISLA FUERTE E ISLA DE BARU"/>
    <x v="389"/>
    <s v="06"/>
    <s v="00"/>
    <n v="0"/>
    <n v="407691530"/>
    <n v="407691530"/>
    <n v="407691530"/>
    <n v="0"/>
    <n v="407691530"/>
    <n v="100"/>
    <n v="0"/>
    <n v="0"/>
    <n v="0"/>
    <n v="0"/>
  </r>
  <r>
    <n v="2022"/>
    <n v="100"/>
    <x v="13"/>
    <s v="SECRETARIA GENERAL"/>
    <x v="13"/>
    <n v="2021130010293"/>
    <x v="1"/>
    <x v="20"/>
    <x v="63"/>
    <s v="2,3,4003,1400,2021130010293"/>
    <s v="001"/>
    <s v="1,2,1,0,00-001 - ICLD"/>
    <s v="INV"/>
    <s v="NO"/>
    <s v="SANEAMIENTO DE FORMA SEGURA PARA TODOS EN EL DISTRITO DE CARTAGENA "/>
    <x v="390"/>
    <s v="06"/>
    <s v="00"/>
    <n v="3042908059"/>
    <n v="-3018408059"/>
    <n v="24500000"/>
    <n v="24500000"/>
    <n v="0"/>
    <n v="24500000"/>
    <n v="100"/>
    <n v="24500000"/>
    <n v="100"/>
    <n v="0"/>
    <n v="24500000"/>
  </r>
  <r>
    <n v="2022"/>
    <n v="100"/>
    <x v="14"/>
    <s v="SECRETARIA DE HACIENDA PUBLICA"/>
    <x v="14"/>
    <n v="2022130010001"/>
    <x v="0"/>
    <x v="32"/>
    <x v="159"/>
    <s v="2,3,4599,1000,2022130010001"/>
    <s v="872"/>
    <s v="1,3,3,4,16-95-108 RB  OTRAS TASAS Y DERECHOS ADMINISTRATIVOS CONTRAPRESTACION PORTUARIA"/>
    <s v="INV"/>
    <s v="NO"/>
    <s v="IMPLEMENTACION DE ESTRATEGIAS PARA EL MEJORAMIENTO Y SOSTENIBILIDAD DE LAS FINANZAS EN EL DISTRITO DE CARTAGENA DE INDIAS  CARTAGENA DE INDIAS"/>
    <x v="391"/>
    <s v="06"/>
    <s v="00"/>
    <n v="0"/>
    <n v="177723944.69"/>
    <n v="177723944.69"/>
    <n v="99279000"/>
    <n v="78444944.689999998"/>
    <n v="38080000"/>
    <n v="21.43"/>
    <n v="0"/>
    <n v="0"/>
    <n v="139643944.69"/>
    <n v="0"/>
  </r>
  <r>
    <n v="2022"/>
    <n v="100"/>
    <x v="14"/>
    <s v="SECRETARIA DE HACIENDA PUBLICA"/>
    <x v="14"/>
    <n v="2022130010001"/>
    <x v="0"/>
    <x v="32"/>
    <x v="159"/>
    <s v="2,3,4599,1000,2022130010001"/>
    <s v="001"/>
    <s v="1,2,1,0,00-001 - ICLD"/>
    <s v="INV"/>
    <s v="NO"/>
    <s v="IMPLEMENTACION DE ESTRATEGIAS PARA EL MEJORAMIENTO Y SOSTENIBILIDAD DE LAS FINANZAS EN EL DISTRITO DE CARTAGENA DE INDIAS  CARTAGENA DE INDIAS"/>
    <x v="391"/>
    <s v="06"/>
    <s v="00"/>
    <n v="5105047952"/>
    <n v="6500000000"/>
    <n v="11605047952"/>
    <n v="11593221106"/>
    <n v="11826846"/>
    <n v="9580823313"/>
    <n v="82.56"/>
    <n v="8677554990.0400009"/>
    <n v="74.77"/>
    <n v="2024224639"/>
    <n v="8610976110"/>
  </r>
  <r>
    <n v="2022"/>
    <n v="100"/>
    <x v="14"/>
    <s v="SECRETARIA DE HACIENDA PUBLICA"/>
    <x v="14"/>
    <n v="2022130010001"/>
    <x v="0"/>
    <x v="32"/>
    <x v="159"/>
    <s v="2,3,4599,1000,2022130010001"/>
    <s v="816"/>
    <s v="1,3,3,11,03-95-138 R,B, DIVIDENDOS SOCIEDAD PORTUARIA"/>
    <s v="INV"/>
    <s v="NO"/>
    <s v="IMPLEMENTACION DE ESTRATEGIAS PARA EL MEJORAMIENTO Y SOSTENIBILIDAD DE LAS FINANZAS EN EL DISTRITO DE CARTAGENA DE INDIAS  CARTAGENA DE INDIAS"/>
    <x v="391"/>
    <s v="06"/>
    <s v="00"/>
    <n v="0"/>
    <n v="1469474825.8399999"/>
    <n v="1469474825.8399999"/>
    <n v="1469474825"/>
    <n v="0.84"/>
    <n v="0"/>
    <n v="0"/>
    <n v="0"/>
    <n v="0"/>
    <n v="1469474825.8399999"/>
    <n v="0"/>
  </r>
  <r>
    <n v="2022"/>
    <n v="100"/>
    <x v="14"/>
    <s v="SECRETARIA DE HACIENDA PUBLICA"/>
    <x v="14"/>
    <n v="2022130010001"/>
    <x v="0"/>
    <x v="32"/>
    <x v="159"/>
    <s v="2,3,4599,1000,2022130010001"/>
    <s v="817"/>
    <s v="1,3,3,11,03-95-139 RB DIVIDENDOS TERMINAL DE TRANSPORTE"/>
    <s v="INV"/>
    <s v="NO"/>
    <s v="IMPLEMENTACION DE ESTRATEGIAS PARA EL MEJORAMIENTO Y SOSTENIBILIDAD DE LAS FINANZAS EN EL DISTRITO DE CARTAGENA DE INDIAS  CARTAGENA DE INDIAS"/>
    <x v="391"/>
    <s v="06"/>
    <s v="00"/>
    <n v="0"/>
    <n v="19334250"/>
    <n v="19334250"/>
    <n v="0"/>
    <n v="19334250"/>
    <n v="0"/>
    <n v="0"/>
    <n v="0"/>
    <n v="0"/>
    <n v="19334250"/>
    <n v="0"/>
  </r>
  <r>
    <n v="2022"/>
    <n v="100"/>
    <x v="14"/>
    <s v="SECRETARIA DE HACIENDA PUBLICA"/>
    <x v="14"/>
    <n v="2022130010001"/>
    <x v="0"/>
    <x v="32"/>
    <x v="159"/>
    <s v="2,3,4599,1000,2022130010001"/>
    <s v="852"/>
    <s v="1,3,3,3,17-95-124 RB IMPUESTO DE TRANSPORTE POR OLEODUCTOS Y GASODUCTOS"/>
    <s v="INV"/>
    <s v="NO"/>
    <s v="IMPLEMENTACION DE ESTRATEGIAS PARA EL MEJORAMIENTO Y SOSTENIBILIDAD DE LAS FINANZAS EN EL DISTRITO DE CARTAGENA DE INDIAS  CARTAGENA DE INDIAS"/>
    <x v="391"/>
    <s v="06"/>
    <s v="00"/>
    <n v="0"/>
    <n v="2256570854"/>
    <n v="2256570854"/>
    <n v="2186352000"/>
    <n v="70218854"/>
    <n v="0"/>
    <n v="0"/>
    <n v="0"/>
    <n v="0"/>
    <n v="2256570854"/>
    <n v="0"/>
  </r>
  <r>
    <n v="2022"/>
    <n v="100"/>
    <x v="14"/>
    <s v="SECRETARIA DE HACIENDA PUBLICA"/>
    <x v="14"/>
    <n v="2022130010001"/>
    <x v="0"/>
    <x v="32"/>
    <x v="159"/>
    <s v="2,3,4599,1000,2022130010001"/>
    <s v="138"/>
    <s v="1,3,1,1,03-138 - DIVIDENDOS SOCIEDAD PORTUARIA"/>
    <s v="INV"/>
    <s v="NO"/>
    <s v="IMPLEMENTACION DE ESTRATEGIAS PARA EL MEJORAMIENTO Y SOSTENIBILIDAD DE LAS FINANZAS EN EL DISTRITO DE CARTAGENA DE INDIAS  CARTAGENA DE INDIAS"/>
    <x v="391"/>
    <s v="06"/>
    <s v="00"/>
    <n v="1190136463"/>
    <n v="0"/>
    <n v="1190136463"/>
    <n v="1190136463"/>
    <n v="0"/>
    <n v="1190136463"/>
    <n v="100"/>
    <n v="0"/>
    <n v="0"/>
    <n v="0"/>
    <n v="0"/>
  </r>
  <r>
    <n v="2022"/>
    <n v="100"/>
    <x v="14"/>
    <s v="SECRETARIA DE HACIENDA PUBLICA"/>
    <x v="14"/>
    <n v="2022130010001"/>
    <x v="0"/>
    <x v="32"/>
    <x v="159"/>
    <s v="2,3,4599,1000,2022130010001"/>
    <s v="139"/>
    <s v="1,3,1,1,03-139 - DIVIDENDOS TERMINAL DE TRANSPORTE"/>
    <s v="INV"/>
    <s v="NO"/>
    <s v="IMPLEMENTACION DE ESTRATEGIAS PARA EL MEJORAMIENTO Y SOSTENIBILIDAD DE LAS FINANZAS EN EL DISTRITO DE CARTAGENA DE INDIAS  CARTAGENA DE INDIAS"/>
    <x v="391"/>
    <s v="06"/>
    <s v="00"/>
    <n v="69585022"/>
    <n v="0"/>
    <n v="69585022"/>
    <n v="69585022"/>
    <n v="0"/>
    <n v="69585022"/>
    <n v="100"/>
    <n v="0"/>
    <n v="0"/>
    <n v="0"/>
    <n v="0"/>
  </r>
  <r>
    <n v="2022"/>
    <n v="100"/>
    <x v="14"/>
    <s v="SECRETARIA DE HACIENDA PUBLICA"/>
    <x v="14"/>
    <n v="2022130010001"/>
    <x v="0"/>
    <x v="32"/>
    <x v="159"/>
    <s v="2,3,4599,1000,2022130010001"/>
    <s v="160"/>
    <s v="1,3,2,3,05-160 - OTROS RENDIMIENTOS FINANCIEROS DIVIDENDOS"/>
    <s v="INV"/>
    <s v="NO"/>
    <s v="IMPLEMENTACION DE ESTRATEGIAS PARA EL MEJORAMIENTO Y SOSTENIBILIDAD DE LAS FINANZAS EN EL DISTRITO DE CARTAGENA DE INDIAS  CARTAGENA DE INDIAS"/>
    <x v="391"/>
    <s v="06"/>
    <s v="00"/>
    <n v="1"/>
    <n v="0"/>
    <n v="1"/>
    <n v="0"/>
    <n v="1"/>
    <n v="0"/>
    <n v="0"/>
    <n v="0"/>
    <n v="0"/>
    <n v="1"/>
    <n v="0"/>
  </r>
  <r>
    <n v="2022"/>
    <n v="100"/>
    <x v="14"/>
    <s v="SECRETARIA DE HACIENDA PUBLICA"/>
    <x v="14"/>
    <n v="2022130010001"/>
    <x v="0"/>
    <x v="32"/>
    <x v="159"/>
    <s v="2,3,4599,1000,2022130010001"/>
    <s v="175"/>
    <s v="1,3,3,0,00-175 - SUPERAVIT"/>
    <s v="INV"/>
    <s v="NO"/>
    <s v="IMPLEMENTACION DE ESTRATEGIAS PARA EL MEJORAMIENTO Y SOSTENIBILIDAD DE LAS FINANZAS EN EL DISTRITO DE CARTAGENA DE INDIAS  CARTAGENA DE INDIAS"/>
    <x v="391"/>
    <s v="06"/>
    <s v="00"/>
    <n v="1"/>
    <n v="0"/>
    <n v="1"/>
    <n v="0"/>
    <n v="1"/>
    <n v="0"/>
    <n v="0"/>
    <n v="0"/>
    <n v="0"/>
    <n v="1"/>
    <n v="0"/>
  </r>
  <r>
    <n v="2022"/>
    <n v="100"/>
    <x v="14"/>
    <s v="SECRETARIA DE HACIENDA PUBLICA"/>
    <x v="14"/>
    <n v="2022130010001"/>
    <x v="0"/>
    <x v="32"/>
    <x v="159"/>
    <s v="2,3,4599,1000,2022130010001"/>
    <s v="176"/>
    <s v="1,3,1,1,11-176 - REINTEGRO"/>
    <s v="INV"/>
    <s v="NO"/>
    <s v="IMPLEMENTACION DE ESTRATEGIAS PARA EL MEJORAMIENTO Y SOSTENIBILIDAD DE LAS FINANZAS EN EL DISTRITO DE CARTAGENA DE INDIAS  CARTAGENA DE INDIAS"/>
    <x v="391"/>
    <s v="06"/>
    <s v="00"/>
    <n v="1"/>
    <n v="0"/>
    <n v="1"/>
    <n v="0"/>
    <n v="1"/>
    <n v="0"/>
    <n v="0"/>
    <n v="0"/>
    <n v="0"/>
    <n v="1"/>
    <n v="0"/>
  </r>
  <r>
    <n v="2022"/>
    <n v="100"/>
    <x v="14"/>
    <s v="SECRETARIA DE HACIENDA PUBLICA"/>
    <x v="14"/>
    <n v="2022130010001"/>
    <x v="0"/>
    <x v="32"/>
    <x v="159"/>
    <s v="2,3,4599,1000,2022130010001"/>
    <s v="178"/>
    <s v="1,3,1,1,05-178 - RECURSOS DE CREDITO INTERNO"/>
    <s v="INV"/>
    <s v="NO"/>
    <s v="IMPLEMENTACION DE ESTRATEGIAS PARA EL MEJORAMIENTO Y SOSTENIBILIDAD DE LAS FINANZAS EN EL DISTRITO DE CARTAGENA DE INDIAS  CARTAGENA DE INDIAS"/>
    <x v="391"/>
    <s v="06"/>
    <s v="00"/>
    <n v="1"/>
    <n v="0"/>
    <n v="1"/>
    <n v="0"/>
    <n v="1"/>
    <n v="0"/>
    <n v="0"/>
    <n v="0"/>
    <n v="0"/>
    <n v="1"/>
    <n v="0"/>
  </r>
  <r>
    <n v="2022"/>
    <n v="100"/>
    <x v="14"/>
    <s v="SECRETARIA DE HACIENDA PUBLICA"/>
    <x v="14"/>
    <n v="2022130010001"/>
    <x v="0"/>
    <x v="32"/>
    <x v="159"/>
    <s v="2,3,4599,1000,2022130010001"/>
    <s v="922"/>
    <s v="1,3,3,8,03-95-070 R,B, SGP-PROPOSITO GENERAL-PROPOSITO GENERAL LIBRE INVERSION"/>
    <s v="INV"/>
    <s v="NO"/>
    <s v="IMPLEMENTACION DE ESTRATEGIAS PARA EL MEJORAMIENTO Y SOSTENIBILIDAD DE LAS FINANZAS EN EL DISTRITO DE CARTAGENA DE INDIAS CARTAGENA DE INDIAS"/>
    <x v="392"/>
    <s v="06"/>
    <s v="00"/>
    <n v="0"/>
    <n v="3840290930.3099999"/>
    <n v="3840290930.3099999"/>
    <n v="3531260745"/>
    <n v="309030185.31"/>
    <n v="2375017460.8000002"/>
    <n v="61.84"/>
    <n v="2090624965"/>
    <n v="54.44"/>
    <n v="1465273469.51"/>
    <n v="1925108590"/>
  </r>
  <r>
    <n v="2022"/>
    <n v="100"/>
    <x v="14"/>
    <s v="SECRETARIA DE HACIENDA PUBLICA"/>
    <x v="14"/>
    <n v="2022130010001"/>
    <x v="0"/>
    <x v="32"/>
    <x v="159"/>
    <s v="2,3,4599,1000,2022130010001"/>
    <s v="070"/>
    <s v="1,2,4,3,03-070 - SGP LIBRE INVERSION"/>
    <s v="INV"/>
    <s v="NO"/>
    <s v="IMPLEMENTACION DE ESTRATEGIAS PARA EL MEJORAMIENTO Y SOSTENIBILIDAD DE LAS FINANZAS EN EL DISTRITO DE CARTAGENA DE INDIAS  CARTAGENA DE INDIAS"/>
    <x v="391"/>
    <s v="06"/>
    <s v="00"/>
    <n v="6152814228"/>
    <n v="0"/>
    <n v="6152814228"/>
    <n v="6152814228"/>
    <n v="0"/>
    <n v="6152814228"/>
    <n v="100"/>
    <n v="4800000000"/>
    <n v="78.010000000000005"/>
    <n v="0"/>
    <n v="4800000000"/>
  </r>
  <r>
    <n v="2022"/>
    <n v="100"/>
    <x v="14"/>
    <s v="SECRETARIA DE HACIENDA PUBLICA"/>
    <x v="14"/>
    <n v="2022130010001"/>
    <x v="0"/>
    <x v="32"/>
    <x v="159"/>
    <s v="2,3,4599,1000,2022130010001"/>
    <s v="075"/>
    <s v="1,3,2,2,08-075 - RF SGP PROPOSITO GENERAL"/>
    <s v="INV"/>
    <s v="NO"/>
    <s v="IMPLEMENTACION DE ESTRATEGIAS PARA EL MEJORAMIENTO Y SOSTENIBILIDAD DE LAS FINANZAS EN EL DISTRITO DE CARTAGENA DE INDIAS  CARTAGENA DE INDIAS"/>
    <x v="391"/>
    <s v="06"/>
    <s v="00"/>
    <n v="375240882"/>
    <n v="0"/>
    <n v="375240882"/>
    <n v="375240882"/>
    <n v="0"/>
    <n v="375240882"/>
    <n v="100"/>
    <n v="0"/>
    <n v="0"/>
    <n v="0"/>
    <n v="0"/>
  </r>
  <r>
    <n v="2022"/>
    <n v="100"/>
    <x v="14"/>
    <s v="SECRETARIA DE HACIENDA PUBLICA"/>
    <x v="14"/>
    <n v="2022130010001"/>
    <x v="0"/>
    <x v="32"/>
    <x v="159"/>
    <s v="2,3,4599,1000,2022130010001"/>
    <s v="108"/>
    <s v="1,3,2,1,05-108 - R,F, OTRAS TASAS CONTRAPRESTACION PORTUARIA"/>
    <s v="INV"/>
    <s v="NO"/>
    <s v="IMPLEMENTACION DE ESTRATEGIAS PARA EL MEJORAMIENTO Y SOSTENIBILIDAD DE LAS FINANZAS EN EL DISTRITO DE CARTAGENA DE INDIAS  CARTAGENA DE INDIAS"/>
    <x v="391"/>
    <s v="06"/>
    <s v="00"/>
    <n v="1"/>
    <n v="0"/>
    <n v="1"/>
    <n v="0"/>
    <n v="1"/>
    <n v="0"/>
    <n v="0"/>
    <n v="0"/>
    <n v="0"/>
    <n v="1"/>
    <n v="0"/>
  </r>
  <r>
    <n v="2022"/>
    <n v="100"/>
    <x v="14"/>
    <s v="SECRETARIA DE HACIENDA PUBLICA"/>
    <x v="14"/>
    <n v="2022130010001"/>
    <x v="0"/>
    <x v="32"/>
    <x v="159"/>
    <s v="2,3,4599,1000,2022130010001"/>
    <s v="126"/>
    <s v="1,3,2,3,05-126 - OTROS RENDIMIENTOS FINANCIEROS IMP TRANSPORTE POR OLEODUCTO"/>
    <s v="INV"/>
    <s v="NO"/>
    <s v="IMPLEMENTACION DE ESTRATEGIAS PARA EL MEJORAMIENTO Y SOSTENIBILIDAD DE LAS FINANZAS EN EL DISTRITO DE CARTAGENA DE INDIAS  CARTAGENA DE INDIAS"/>
    <x v="391"/>
    <s v="06"/>
    <s v="00"/>
    <n v="1"/>
    <n v="0"/>
    <n v="1"/>
    <n v="0"/>
    <n v="1"/>
    <n v="0"/>
    <n v="0"/>
    <n v="0"/>
    <n v="0"/>
    <n v="1"/>
    <n v="0"/>
  </r>
  <r>
    <n v="2022"/>
    <n v="100"/>
    <x v="14"/>
    <s v="SECRETARIA DE HACIENDA PUBLICA"/>
    <x v="14"/>
    <n v="2022130010001"/>
    <x v="0"/>
    <x v="32"/>
    <x v="159"/>
    <s v="2,3,4599,1000,2022130010001"/>
    <s v="923"/>
    <s v="1,3,3,8,03-95-075 R,B, SGP-PROPOSITO GENERAL-PROPOSITO GENERAL LIBRE INVERSION"/>
    <s v="INV"/>
    <s v="NO"/>
    <s v="IMPLEMENTACION DE ESTRATEGIAS PARA EL MEJORAMIENTO Y SOSTENIBILIDAD DE LAS FINANZAS EN EL DISTRITO DE CARTAGENA DE INDIAS  CARTAGENA DE INDIAS"/>
    <x v="391"/>
    <s v="06"/>
    <s v="00"/>
    <n v="0"/>
    <n v="314486520"/>
    <n v="314486520"/>
    <n v="250798250"/>
    <n v="63688270"/>
    <n v="174553000"/>
    <n v="55.5"/>
    <n v="0"/>
    <n v="0"/>
    <n v="139933520"/>
    <n v="0"/>
  </r>
  <r>
    <n v="2022"/>
    <n v="100"/>
    <x v="0"/>
    <s v="LOCALIDAD TURISTICA Y DE LA VIRGEN"/>
    <x v="0"/>
    <n v="2022130010002"/>
    <x v="0"/>
    <x v="0"/>
    <x v="0"/>
    <s v="2,3,2408,0600,2022130010002"/>
    <s v="001"/>
    <s v="1,2,1,0,00-001 - ICLD"/>
    <s v="INV"/>
    <s v="NO"/>
    <s v="CONSTRUCCION Y ADECUACION DE LA MALLA VIAL DEL LA LOCALIDAD DE LA VIRGEN Y TURISTICA DEL DISTRITO DE CARTAGENA DE INDIAS BOLIVAR"/>
    <x v="393"/>
    <s v="06"/>
    <s v="00"/>
    <n v="1000000000"/>
    <n v="3225437500"/>
    <n v="4225437500"/>
    <n v="0"/>
    <n v="4225437500"/>
    <n v="0"/>
    <n v="0"/>
    <n v="0"/>
    <n v="0"/>
    <n v="4225437500"/>
    <n v="0"/>
  </r>
  <r>
    <n v="2022"/>
    <n v="100"/>
    <x v="0"/>
    <s v="LOCALIDAD TURISTICA Y DE LA VIRGEN"/>
    <x v="0"/>
    <n v="2022130010003"/>
    <x v="0"/>
    <x v="0"/>
    <x v="0"/>
    <s v="2,3,4302,1604,2022130010003"/>
    <s v="001"/>
    <s v="1,2,1,0,00-001 - ICLD"/>
    <s v="INV"/>
    <s v="NO"/>
    <s v="ADECUACION DE ESCENARIOS PARA RECREACION Y DEPORTE EN LA LOCALIDAD DE LA VIRGEN Y TURISTICA"/>
    <x v="394"/>
    <s v="06"/>
    <s v="00"/>
    <n v="899980235.58000004"/>
    <n v="0"/>
    <n v="899980235.58000004"/>
    <n v="0"/>
    <n v="899980235.58000004"/>
    <n v="0"/>
    <n v="0"/>
    <n v="0"/>
    <n v="0"/>
    <n v="899980235.58000004"/>
    <n v="0"/>
  </r>
  <r>
    <n v="2022"/>
    <n v="100"/>
    <x v="1"/>
    <s v="LOCALIDAD HISTORICA Y DEL CARIBE NORTE"/>
    <x v="1"/>
    <n v="2022130010004"/>
    <x v="0"/>
    <x v="0"/>
    <x v="0"/>
    <s v="2,3,4104,1500,2022130010004"/>
    <s v="001"/>
    <s v="1,2,1,0,00-001 - ICLD"/>
    <s v="INV"/>
    <s v="NO"/>
    <s v="IMPLEMENTACION PROYECTO CAMPA?AS PARA EL RESCATE DE LOS DERECHOS A LOS ADULTOS MAYORES DE LA LOCALIDAD, HISTORICA Y DEL CARIBENORTE  "/>
    <x v="395"/>
    <s v="06"/>
    <s v="00"/>
    <n v="0"/>
    <n v="88940116"/>
    <n v="88940116"/>
    <n v="88940116"/>
    <n v="0"/>
    <n v="88940116"/>
    <n v="100"/>
    <n v="88940116"/>
    <n v="100"/>
    <n v="0"/>
    <n v="88940116"/>
  </r>
  <r>
    <n v="2022"/>
    <n v="100"/>
    <x v="0"/>
    <s v="LOCALIDAD TURISTICA Y DE LA VIRGEN"/>
    <x v="0"/>
    <n v="2022130010005"/>
    <x v="0"/>
    <x v="0"/>
    <x v="0"/>
    <s v="2,3,4104,0300,2022130010005"/>
    <s v="001"/>
    <s v="1,2,1,0,00-001 - ICLD"/>
    <s v="INV"/>
    <s v="NO"/>
    <s v="FORTALECIMIENTO AL CUIDADO INCLUSIVO DE LA POBLACION CON DISCAPACIDAD EN LA LOCALIDAD  DE LA VIRGEN Y TURISTICA EN CARTAGENA DE INDIAS,     "/>
    <x v="396"/>
    <s v="06"/>
    <s v="00"/>
    <n v="189200000"/>
    <n v="-128742647"/>
    <n v="60457353"/>
    <n v="0"/>
    <n v="60457353"/>
    <n v="0"/>
    <n v="0"/>
    <n v="0"/>
    <n v="0"/>
    <n v="60457353"/>
    <n v="0"/>
  </r>
  <r>
    <n v="2022"/>
    <n v="100"/>
    <x v="0"/>
    <s v="LOCALIDAD TURISTICA Y DE LA VIRGEN"/>
    <x v="0"/>
    <n v="2022130010006"/>
    <x v="0"/>
    <x v="0"/>
    <x v="0"/>
    <s v="2,3,4501,1000,2022130010006"/>
    <s v="001"/>
    <s v="1,2,1,0,00-001 - ICLD"/>
    <s v="INV"/>
    <s v="NO"/>
    <s v="FORTALECIMIENTO DE LA CONVIVENCIA Y SEGURIDAD CIUDADANA"/>
    <x v="397"/>
    <s v="06"/>
    <s v="00"/>
    <n v="300000000"/>
    <n v="-300000000"/>
    <n v="0"/>
    <n v="0"/>
    <n v="0"/>
    <n v="0"/>
    <n v="0"/>
    <n v="0"/>
    <n v="0"/>
    <n v="0"/>
    <n v="0"/>
  </r>
  <r>
    <n v="2022"/>
    <n v="100"/>
    <x v="0"/>
    <s v="LOCALIDAD TURISTICA Y DE LA VIRGEN"/>
    <x v="0"/>
    <n v="2022130010007"/>
    <x v="0"/>
    <x v="0"/>
    <x v="0"/>
    <s v="2,3,4501,0100,2022130010007"/>
    <s v="001"/>
    <s v="1,2,1,0,00-001 - ICLD"/>
    <s v="INV"/>
    <s v="NO"/>
    <s v="IMPLEMENTACION Y MANTENIMIENTO DE HERRAMIENTAS TECNOLOGICAS PARA SEGURIDAD Y SOCORRO EN LA LOCALIDAD DE LA VIRGEN Y TURISTICA DE CARTAGENA DE INDIAS CARTAGENA DE INDIAS"/>
    <x v="398"/>
    <s v="06"/>
    <s v="00"/>
    <n v="300000000"/>
    <n v="-300000000"/>
    <n v="0"/>
    <n v="0"/>
    <n v="0"/>
    <n v="0"/>
    <n v="0"/>
    <n v="0"/>
    <n v="0"/>
    <n v="0"/>
    <n v="0"/>
  </r>
  <r>
    <n v="2022"/>
    <n v="100"/>
    <x v="0"/>
    <s v="LOCALIDAD TURISTICA Y DE LA VIRGEN"/>
    <x v="0"/>
    <n v="2022130010009"/>
    <x v="0"/>
    <x v="0"/>
    <x v="0"/>
    <s v="2,3,1709,1000,2022130010009"/>
    <s v="001"/>
    <s v="1,2,1,0,00-001 - ICLD"/>
    <s v="INV"/>
    <s v="NO"/>
    <s v="CONSTRUCCION DE POZOS PROFUNDOS PARA EL DESARROLLO AGROPECUARIO EN LA VEREDA PUA EN EL CORREGIMIENTO DE ARROYO DE PIEDRA DEL DISTRITO DE   CARTAGENA DE INDIAS"/>
    <x v="399"/>
    <s v="06"/>
    <s v="00"/>
    <n v="0"/>
    <n v="0"/>
    <n v="0"/>
    <n v="0"/>
    <n v="0"/>
    <n v="0"/>
    <n v="0"/>
    <n v="0"/>
    <n v="0"/>
    <n v="0"/>
    <n v="0"/>
  </r>
  <r>
    <n v="2022"/>
    <n v="100"/>
    <x v="3"/>
    <s v="SECRETARIA DEL INTERIOR Y CONVIVENCIA CIUDADANAL"/>
    <x v="3"/>
    <n v="2022130010013"/>
    <x v="0"/>
    <x v="1"/>
    <x v="60"/>
    <s v="2,3,4501,1000,2022130010013"/>
    <s v="856"/>
    <s v="1,3,3,4,01-95-040  RB CONTRIBUCION SOBRE CONTRATOS DE OBRA PUBLICA"/>
    <s v="INV"/>
    <s v="NO"/>
    <s v="FORTALECIMIENTO INTEGRAL  DE LAS CAPACIDADES INSTITUCIONALES DE LA POLICIA METROPOLITANA DE  CARTAGENA DE INDIAS"/>
    <x v="400"/>
    <s v="06"/>
    <s v="00"/>
    <n v="0"/>
    <n v="2206177398.8600001"/>
    <n v="2206177398.8600001"/>
    <n v="1423220970"/>
    <n v="782956428.86000001"/>
    <n v="1423220970"/>
    <n v="64.510000000000005"/>
    <n v="478937187.44"/>
    <n v="21.71"/>
    <n v="782956428.86000001"/>
    <n v="208766135.5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0">
  <r>
    <n v="2022"/>
    <n v="100"/>
    <x v="0"/>
    <s v="LOCALIDAD TURISTICA Y DE LA VIRGEN"/>
    <s v="04 LOCALIDAD TURISTICA Y DE LA VIRGEN"/>
    <n v="130010402"/>
    <s v="10. PILAR: CARTAGENA TRANSPARENTE"/>
    <s v="10.7 LÍNEA ESTRATÉGICA: PARTICIPACIÓN Y DESCENTRALIZACIÓN"/>
    <s v="10.7.2 PROGRAMA: MODERNIZACIÓN DEL SISTEMA DISTRITAL DE PLANEACIÓN Y DESCENTRALIZACIÓN  "/>
    <s v="2,3,0000,0000,0000130010402"/>
    <s v="877"/>
    <s v="1,3,3,4,19-93-095-02 RB OTRAS MULTAS, SANCIONES E INTERESES DE MORA (MULTA LOCALIDAD 2) "/>
    <s v="INV"/>
    <s v="NO"/>
    <s v="MODERNIZACION DEL SISTEMA DISTRITAL DE PLANEACION Y DESCENTRALIZACION  "/>
    <s v="130010402 MODERNIZACION DEL SISTEMA DISTRITAL DE PLANEACION Y DESCENTRALIZACION  "/>
    <s v="06"/>
    <s v="00"/>
    <n v="0"/>
    <n v="4664.3900000000003"/>
    <n v="4664.3900000000003"/>
    <n v="0"/>
    <n v="4664.3900000000003"/>
    <n v="0"/>
    <n v="0"/>
    <n v="0"/>
    <n v="0"/>
    <n v="4664.3900000000003"/>
    <n v="0"/>
  </r>
  <r>
    <n v="2022"/>
    <n v="100"/>
    <x v="0"/>
    <s v="LOCALIDAD TURISTICA Y DE LA VIRGEN"/>
    <s v="04 LOCALIDAD TURISTICA Y DE LA VIRGEN"/>
    <n v="130010402"/>
    <s v="10. PILAR: CARTAGENA TRANSPARENTE"/>
    <s v="10.7 LÍNEA ESTRATÉGICA: PARTICIPACIÓN Y DESCENTRALIZACIÓN"/>
    <s v="10.7.2 PROGRAMA: MODERNIZACIÓN DEL SISTEMA DISTRITAL DE PLANEACIÓN Y DESCENTRALIZACIÓN  "/>
    <s v="2,3,0000,0000,0000130010402"/>
    <s v="095"/>
    <s v="1,2,3,2,07-095 - OTRAS MULTAS, SANCIONES E INTERESES DE MORA"/>
    <s v="INV"/>
    <s v="NO"/>
    <s v=" MODERNIZACION DEL SISTEMA DISTRITAL DE PLANEACION Y DESCENTRALIZACION  "/>
    <s v="130010402  MODERNIZACION DEL SISTEMA DISTRITAL DE PLANEACION Y DESCENTRALIZACION  "/>
    <s v="06"/>
    <s v="00"/>
    <n v="1"/>
    <n v="0"/>
    <n v="1"/>
    <n v="0"/>
    <n v="1"/>
    <n v="0"/>
    <n v="0"/>
    <n v="0"/>
    <n v="0"/>
    <n v="1"/>
    <n v="0"/>
  </r>
  <r>
    <n v="2022"/>
    <n v="100"/>
    <x v="0"/>
    <s v="LOCALIDAD TURISTICA Y DE LA VIRGEN"/>
    <s v="04 LOCALIDAD TURISTICA Y DE LA VIRGEN"/>
    <n v="130010402"/>
    <s v="10. PILAR: CARTAGENA TRANSPARENTE"/>
    <s v="10.7 LÍNEA ESTRATÉGICA: PARTICIPACIÓN Y DESCENTRALIZACIÓN"/>
    <s v="10.7.2 PROGRAMA: MODERNIZACIÓN DEL SISTEMA DISTRITAL DE PLANEACIÓN Y DESCENTRALIZACIÓN  "/>
    <s v="2,3,0000,0000,0000130010402"/>
    <s v="001"/>
    <s v="1,2,1,0,00-001 - ICLD"/>
    <s v="INV"/>
    <s v="NO"/>
    <s v=" MODERNIZACION DEL SISTEMA DISTRITAL DE PLANEACION Y DESCENTRALIZACION  "/>
    <s v="130010402  MODERNIZACION DEL SISTEMA DISTRITAL DE PLANEACION Y DESCENTRALIZACION  "/>
    <s v="06"/>
    <s v="00"/>
    <n v="1299999999"/>
    <n v="3283301428.6300001"/>
    <n v="4583301427.6300001"/>
    <n v="1245000000"/>
    <n v="3338301427.6300001"/>
    <n v="1040466571"/>
    <n v="22.7"/>
    <n v="1040466571"/>
    <n v="22.7"/>
    <n v="3542834856.6300001"/>
    <n v="1040466571"/>
  </r>
  <r>
    <n v="2022"/>
    <n v="100"/>
    <x v="0"/>
    <s v="LOCALIDAD TURISTICA Y DE LA VIRGEN"/>
    <s v="04 LOCALIDAD TURISTICA Y DE LA VIRGEN"/>
    <n v="130010402"/>
    <s v="10. PILAR: CARTAGENA TRANSPARENTE"/>
    <s v="10.7 LÍNEA ESTRATÉGICA: PARTICIPACIÓN Y DESCENTRALIZACIÓN"/>
    <s v="10.7.2 PROGRAMA: MODERNIZACIÓN DEL SISTEMA DISTRITAL DE PLANEACIÓN Y DESCENTRALIZACIÓN  "/>
    <s v="2,3,0000,0000,0000130010402"/>
    <s v="879"/>
    <s v="1,3,3,4,19-95-095-02 RB OTRAS MULTAS, SANCIONES E INTERESES DE MORA (MULTA LOCALIDAD 2) "/>
    <s v="INV"/>
    <s v="NO"/>
    <s v="MODERNIZACION DEL SISTEMA DISTRITAL DE PLANEACION Y DESCENTRALIZACION  "/>
    <s v="130010402 MODERNIZACION DEL SISTEMA DISTRITAL DE PLANEACION Y DESCENTRALIZACION  "/>
    <s v="06"/>
    <s v="00"/>
    <n v="0"/>
    <n v="5667878"/>
    <n v="5667878"/>
    <n v="0"/>
    <n v="5667878"/>
    <n v="0"/>
    <n v="0"/>
    <n v="0"/>
    <n v="0"/>
    <n v="5667878"/>
    <n v="0"/>
  </r>
  <r>
    <n v="2022"/>
    <n v="100"/>
    <x v="1"/>
    <s v="LOCALIDAD HISTORICA Y DEL CARIBE NORTE"/>
    <s v="11 LOCALIDAD HISTORICA Y DEL CARIBE NORTE"/>
    <n v="130011101"/>
    <s v="10. PILAR: CARTAGENA TRANSPARENTE"/>
    <s v="10.7 LÍNEA ESTRATÉGICA: PARTICIPACIÓN Y DESCENTRALIZACIÓN"/>
    <s v="10.7.2 PROGRAMA: MODERNIZACIÓN DEL SISTEMA DISTRITAL DE PLANEACIÓN Y DESCENTRALIZACIÓN  "/>
    <s v="2,3,0000,0000,0000130011101"/>
    <s v="876"/>
    <s v="1,3,3,4,19-93-095-01 RB OTRAS MULTAS, SANCIONES E INTERESES DE MORA (MULTA LOCALIDAD 1) "/>
    <s v="INV"/>
    <s v="NO"/>
    <s v="MODERNIZACION DEL SISTEMA DISTRITAL DE PLANEACION Y DESCENTRALIZACION  "/>
    <s v="130011101 MODERNIZACION DEL SISTEMA DISTRITAL DE PLANEACION Y DESCENTRALIZACION  "/>
    <s v="06"/>
    <s v="00"/>
    <n v="0"/>
    <n v="10836.81"/>
    <n v="10836.81"/>
    <n v="0"/>
    <n v="10836.81"/>
    <n v="0"/>
    <n v="0"/>
    <n v="0"/>
    <n v="0"/>
    <n v="10836.81"/>
    <n v="0"/>
  </r>
  <r>
    <n v="2022"/>
    <n v="100"/>
    <x v="1"/>
    <s v="LOCALIDAD HISTORICA Y DEL CARIBE NORTE"/>
    <s v="11 LOCALIDAD HISTORICA Y DEL CARIBE NORTE"/>
    <n v="130011101"/>
    <s v="10. PILAR: CARTAGENA TRANSPARENTE"/>
    <s v="10.7 LÍNEA ESTRATÉGICA: PARTICIPACIÓN Y DESCENTRALIZACIÓN"/>
    <s v="10.7.2 PROGRAMA: MODERNIZACIÓN DEL SISTEMA DISTRITAL DE PLANEACIÓN Y DESCENTRALIZACIÓN  "/>
    <s v="2,3,0000,0000,0000130011101"/>
    <s v="095"/>
    <s v="1,2,3,2,07-095 - OTRAS MULTAS, SANCIONES E INTERESES DE MORA"/>
    <s v="INV"/>
    <s v="NO"/>
    <s v=" MODERNIZACION DEL SISTEMA DISTRITAL DE PLANEACION Y DESCENTRALIZACION  "/>
    <s v="130011101  MODERNIZACION DEL SISTEMA DISTRITAL DE PLANEACION Y DESCENTRALIZACION  "/>
    <s v="06"/>
    <s v="00"/>
    <n v="4999998"/>
    <n v="0"/>
    <n v="4999998"/>
    <n v="0"/>
    <n v="4999998"/>
    <n v="0"/>
    <n v="0"/>
    <n v="0"/>
    <n v="0"/>
    <n v="4999998"/>
    <n v="0"/>
  </r>
  <r>
    <n v="2022"/>
    <n v="100"/>
    <x v="1"/>
    <s v="LOCALIDAD HISTORICA Y DEL CARIBE NORTE"/>
    <s v="11 LOCALIDAD HISTORICA Y DEL CARIBE NORTE"/>
    <n v="130011101"/>
    <s v="10. PILAR: CARTAGENA TRANSPARENTE"/>
    <s v="10.7 LÍNEA ESTRATÉGICA: PARTICIPACIÓN Y DESCENTRALIZACIÓN"/>
    <s v="10.7.2 PROGRAMA: MODERNIZACIÓN DEL SISTEMA DISTRITAL DE PLANEACIÓN Y DESCENTRALIZACIÓN  "/>
    <s v="2,3,0000,0000,0000130011101"/>
    <s v="001"/>
    <s v="1,2,1,0,00-001 - ICLD"/>
    <s v="INV"/>
    <s v="NO"/>
    <s v=" MODERNIZACION DEL SISTEMA DISTRITAL DE PLANEACION Y DESCENTRALIZACION  "/>
    <s v="130011101  MODERNIZACION DEL SISTEMA DISTRITAL DE PLANEACION Y DESCENTRALIZACION  "/>
    <s v="06"/>
    <s v="00"/>
    <n v="11294914453.57"/>
    <n v="-9769914451.5699997"/>
    <n v="1525000002"/>
    <n v="1100000000"/>
    <n v="425000002"/>
    <n v="1041518610"/>
    <n v="68.3"/>
    <n v="1041518610"/>
    <n v="68.3"/>
    <n v="483481392"/>
    <n v="1041518610"/>
  </r>
  <r>
    <n v="2022"/>
    <n v="100"/>
    <x v="1"/>
    <s v="LOCALIDAD HISTORICA Y DEL CARIBE NORTE"/>
    <s v="11 LOCALIDAD HISTORICA Y DEL CARIBE NORTE"/>
    <n v="130011101"/>
    <s v="10. PILAR: CARTAGENA TRANSPARENTE"/>
    <s v="10.7 LÍNEA ESTRATÉGICA: PARTICIPACIÓN Y DESCENTRALIZACIÓN"/>
    <s v="10.7.2 PROGRAMA: MODERNIZACIÓN DEL SISTEMA DISTRITAL DE PLANEACIÓN Y DESCENTRALIZACIÓN  "/>
    <s v="2,3,0000,0000,0000130011101"/>
    <s v="878"/>
    <s v="1,3,3,4,19-95-095-01 RB OTRAS MULTAS, SANCIONES E INTERESES DE MORA (MULTA LOCALIDAD 1) "/>
    <s v="INV"/>
    <s v="NO"/>
    <s v="MODERNIZACION DEL SISTEMA DISTRITAL DE PLANEACION Y DESCENTRALIZACION  "/>
    <s v="130011101 MODERNIZACION DEL SISTEMA DISTRITAL DE PLANEACION Y DESCENTRALIZACION  "/>
    <s v="06"/>
    <s v="00"/>
    <n v="0"/>
    <n v="5752168.2699999996"/>
    <n v="5752168.2699999996"/>
    <n v="0"/>
    <n v="5752168.2699999996"/>
    <n v="0"/>
    <n v="0"/>
    <n v="0"/>
    <n v="0"/>
    <n v="5752168.2699999996"/>
    <n v="0"/>
  </r>
  <r>
    <n v="2022"/>
    <n v="100"/>
    <x v="2"/>
    <s v="LOCALIDAD INDUSTRIAL Y DE LA BAHIA"/>
    <s v="23 LOCALIDAD INDUSTRIAL Y DE LA BAHIA"/>
    <n v="130012303"/>
    <s v="10. PILAR: CARTAGENA TRANSPARENTE"/>
    <s v="10.7 LÍNEA ESTRATÉGICA: PARTICIPACIÓN Y DESCENTRALIZACIÓN"/>
    <s v="10.7.2 PROGRAMA: MODERNIZACIÓN DEL SISTEMA DISTRITAL DE PLANEACIÓN Y DESCENTRALIZACIÓN  "/>
    <s v="2,3,0000,0000,0000130012303"/>
    <s v="001"/>
    <s v="1,2,1,0,00-001 - ICLD"/>
    <s v="INV"/>
    <s v="NO"/>
    <s v=" MODERNIZACION DEL SISTEMA DISTRITAL DE PLANEACION Y DESCENTRALIZACION  "/>
    <s v="130012303  MODERNIZACION DEL SISTEMA DISTRITAL DE PLANEACION Y DESCENTRALIZACION  "/>
    <s v="06"/>
    <s v="00"/>
    <n v="11998162743.85"/>
    <n v="-7631490741.0200005"/>
    <n v="4366672002.8299999"/>
    <n v="1032000000"/>
    <n v="3334672002.8299999"/>
    <n v="1031524239.5"/>
    <n v="23.62"/>
    <n v="970505977.5"/>
    <n v="22.23"/>
    <n v="3335147763.3299999"/>
    <n v="970505977.5"/>
  </r>
  <r>
    <n v="2022"/>
    <n v="100"/>
    <x v="2"/>
    <s v="LOCALIDAD INDUSTRIAL Y DE LA BAHIA"/>
    <s v="23 LOCALIDAD INDUSTRIAL Y DE LA BAHIA"/>
    <n v="130012303"/>
    <s v="10. PILAR: CARTAGENA TRANSPARENTE"/>
    <s v="10.7 LÍNEA ESTRATÉGICA: PARTICIPACIÓN Y DESCENTRALIZACIÓN"/>
    <s v="10.7.2 PROGRAMA: MODERNIZACIÓN DEL SISTEMA DISTRITAL DE PLANEACIÓN Y DESCENTRALIZACIÓN  "/>
    <s v="2,3,0000,0000,0000130012303"/>
    <s v="095"/>
    <s v="1,2,3,2,07-095 - OTRAS MULTAS, SANCIONES E INTERESES DE MORA"/>
    <s v="INV"/>
    <s v="NO"/>
    <s v=" MODERNIZACION DEL SISTEMA DISTRITAL DE PLANEACION Y DESCENTRALIZACION  "/>
    <s v="130012303  MODERNIZACION DEL SISTEMA DISTRITAL DE PLANEACION Y DESCENTRALIZACION  "/>
    <s v="06"/>
    <s v="00"/>
    <n v="1"/>
    <n v="0"/>
    <n v="1"/>
    <n v="0"/>
    <n v="1"/>
    <n v="0"/>
    <n v="0"/>
    <n v="0"/>
    <n v="0"/>
    <n v="1"/>
    <n v="0"/>
  </r>
  <r>
    <n v="2022"/>
    <n v="100"/>
    <x v="1"/>
    <s v="LOCALIDAD HISTORICA Y DEL CARIBE NORTE"/>
    <s v="11 LOCALIDAD HISTORICA Y DEL CARIBE NORTE"/>
    <n v="2019130010081"/>
    <s v="10. PILAR: CARTAGENA TRANSPARENTE"/>
    <s v="10.7 LÍNEA ESTRATÉGICA: PARTICIPACIÓN Y DESCENTRALIZACIÓN"/>
    <s v="10.7.2 PROGRAMA: MODERNIZACIÓN DEL SISTEMA DISTRITAL DE PLANEACIÓN Y DESCENTRALIZACIÓN  "/>
    <s v="2,3,4301,1604,2019130010081"/>
    <s v="001"/>
    <s v="1,2,1,0,00-001 - ICLD"/>
    <s v="INV"/>
    <s v="NO"/>
    <s v="IMPLEMENTACION PROYECTO DE HABITOS Y ESTILO DE VIDA SALUDABLE A TRAVES DE LA PRACTICA DEL DEPORTE EN LA LOCALIDAD HISTORICA Y DEL CARIBE NORTE ??COPA ASOJAC ? "/>
    <s v="2019130010081 IMPLEMENTACION PROYECTO DE HABITOS Y ESTILO DE VIDA SALUDABLE A TRAVES DE LA PRACTICA DEL DEPORTE EN LA LOCALIDAD HISTORICA Y DEL CARIBE NORTE ??COPA ASOJAC ? "/>
    <s v="06"/>
    <s v="00"/>
    <n v="0"/>
    <n v="700000000"/>
    <n v="700000000"/>
    <n v="700000000"/>
    <n v="0"/>
    <n v="700000000"/>
    <n v="100"/>
    <n v="350000000"/>
    <n v="50"/>
    <n v="0"/>
    <n v="350000000"/>
  </r>
  <r>
    <n v="2022"/>
    <n v="100"/>
    <x v="3"/>
    <s v="SECRETARIA DEL INTERIOR Y CONVIVENCIA CIUDADANAL"/>
    <s v="02 SECRETARIA DEL INTERIOR Y CONVIVENCIA CIUDADANAL"/>
    <n v="2020130010030"/>
    <s v="10. PILAR: CARTAGENA TRANSPARENTE"/>
    <s v="10.3 LÍNEA ESTRATÉGICA: CONVIVENCIA Y SEGURIDAD PARA LA GOBERNABILIDAD"/>
    <s v="10.3.5 PROGRAMA:  PROMOCIÓN AL ACCESO A LA JUSTICIA"/>
    <s v="2,3,1202,0800,2020130010030"/>
    <s v="001"/>
    <s v="1,2,1,0,00-001 - ICLD"/>
    <s v="INV"/>
    <s v="NO"/>
    <s v="FORTALECIMIENTO Y PROMOCION AL ACCESO A LA JUSTICIA DESDE LAS CASAS DE JUSTICIA Y COMISARIAS DE FAMILIA EN EL DISTRITO DE   CARTAGENA DE INDIAS"/>
    <s v="2020130010030 FORTALECIMIENTO Y PROMOCION AL ACCESO A LA JUSTICIA DESDE LAS CASAS DE JUSTICIA Y COMISARIAS DE FAMILIA EN EL DISTRITO DE   CARTAGENA DE INDIAS"/>
    <s v="06"/>
    <s v="00"/>
    <n v="1914366199"/>
    <n v="0"/>
    <n v="1914366199"/>
    <n v="1904962203"/>
    <n v="9403996"/>
    <n v="1862342133.78"/>
    <n v="97.28"/>
    <n v="1833003167.78"/>
    <n v="95.75"/>
    <n v="52024065.219999999"/>
    <n v="1806103167.78"/>
  </r>
  <r>
    <n v="2022"/>
    <n v="100"/>
    <x v="3"/>
    <s v="SECRETARIA DEL INTERIOR Y CONVIVENCIA CIUDADANAL"/>
    <s v="02 SECRETARIA DEL INTERIOR Y CONVIVENCIA CIUDADANAL"/>
    <n v="2020130010031"/>
    <s v="10. PILAR: CARTAGENA TRANSPARENTE"/>
    <s v="10.3 LÍNEA ESTRATÉGICA: CONVIVENCIA Y SEGURIDAD PARA LA GOBERNABILIDAD"/>
    <s v="10.3.3 PROGRAMA:  MEJORAR LA CONVIVENCIA CIUDADANA CON LA IMPLEMENTACIÓN DEL CÓDIGO NACIONAL DE SEGURIDAD Y CONVIVENCIA CIUDADANA"/>
    <s v="2,3,4501,1000,2020130010031"/>
    <s v="874"/>
    <s v="1,3,3,4,17-93-120 RB MULTAS CODIGO NACIONAL DE POLICIA"/>
    <s v="INV"/>
    <s v="NO"/>
    <s v="MEJORAMIENTO DE LA CONVIVENCIA CON LA IMPLEMENTACIN DEL CODIGO NACIONAL DE SEGURIDAD Y CONVIVENCIA CIUDADANA  Y  LA MODERNIZACION DE LAS INSPECCIONES DE POLICA EN EL DISTRITO DE  CARTAGENA DE INDIAS"/>
    <s v="2020130010031 MEJORAMIENTO DE LA CONVIVENCIA CON LA IMPLEMENTACIN DEL CODIGO NACIONAL DE SEGURIDAD Y CONVIVENCIA CIUDADANA  Y  LA MODERNIZACION DE LAS INSPECCIONES DE POLICA EN EL DISTRITO DE  CARTAGENA DE INDIAS"/>
    <s v="06"/>
    <s v="00"/>
    <n v="0"/>
    <n v="127912908.45"/>
    <n v="127912908.45"/>
    <n v="123530625.03"/>
    <n v="4382283.42"/>
    <n v="123530625.03"/>
    <n v="96.57"/>
    <n v="123530625.03"/>
    <n v="96.57"/>
    <n v="4382283.42"/>
    <n v="123530625.03"/>
  </r>
  <r>
    <n v="2022"/>
    <n v="100"/>
    <x v="3"/>
    <s v="SECRETARIA DEL INTERIOR Y CONVIVENCIA CIUDADANAL"/>
    <s v="02 SECRETARIA DEL INTERIOR Y CONVIVENCIA CIUDADANAL"/>
    <n v="2020130010031"/>
    <s v="10. PILAR: CARTAGENA TRANSPARENTE"/>
    <s v="10.3 LÍNEA ESTRATÉGICA: CONVIVENCIA Y SEGURIDAD PARA LA GOBERNABILIDAD"/>
    <s v="10.3.3 PROGRAMA:  MEJORAR LA CONVIVENCIA CIUDADANA CON LA IMPLEMENTACIÓN DEL CÓDIGO NACIONAL DE SEGURIDAD Y CONVIVENCIA CIUDADANA"/>
    <s v="2,3,4501,1000,2020130010031"/>
    <s v="875"/>
    <s v="1,3,3,4,17-95-120 RB MULTAS CODIGO NACIONAL DE POLICIA"/>
    <s v="INV"/>
    <s v="NO"/>
    <s v="MEJORAMIENTO DE LA CONVIVENCIA CON LA IMPLEMENTACIN DEL CODIGO NACIONAL DE SEGURIDAD Y CONVIVENCIA CIUDADANA  Y  LA MODERNIZACION DE LAS INSPECCIONES DE POLICA EN EL DISTRITO DE  CARTAGENA DE INDIAS"/>
    <s v="2020130010031 MEJORAMIENTO DE LA CONVIVENCIA CON LA IMPLEMENTACIN DEL CODIGO NACIONAL DE SEGURIDAD Y CONVIVENCIA CIUDADANA  Y  LA MODERNIZACION DE LAS INSPECCIONES DE POLICA EN EL DISTRITO DE  CARTAGENA DE INDIAS"/>
    <s v="06"/>
    <s v="00"/>
    <n v="0"/>
    <n v="695624593.50999999"/>
    <n v="695624593.50999999"/>
    <n v="0"/>
    <n v="695624593.50999999"/>
    <n v="0"/>
    <n v="0"/>
    <n v="0"/>
    <n v="0"/>
    <n v="695624593.50999999"/>
    <n v="0"/>
  </r>
  <r>
    <n v="2022"/>
    <n v="100"/>
    <x v="3"/>
    <s v="SECRETARIA DEL INTERIOR Y CONVIVENCIA CIUDADANAL"/>
    <s v="02 SECRETARIA DEL INTERIOR Y CONVIVENCIA CIUDADANAL"/>
    <n v="2020130010031"/>
    <s v="10. PILAR: CARTAGENA TRANSPARENTE"/>
    <s v="10.3 LÍNEA ESTRATÉGICA: CONVIVENCIA Y SEGURIDAD PARA LA GOBERNABILIDAD"/>
    <s v="10.3.3 PROGRAMA:  MEJORAR LA CONVIVENCIA CIUDADANA CON LA IMPLEMENTACIÓN DEL CÓDIGO NACIONAL DE SEGURIDAD Y CONVIVENCIA CIUDADANA"/>
    <s v="2,3,4501,1000,2020130010031"/>
    <s v="161"/>
    <s v="1,3,2,3,05-161 - OTROS RENDIMIENTOS FINANCIEROS MULTAS CODIGO POLICIA"/>
    <s v="INV"/>
    <s v="NO"/>
    <s v="MEJORAMIENTO DE LA CONVIVENCIA CON LA IMPLEMENTACIN DEL CODIGO NACIONAL DE SEGURIDAD Y CONVIVENCIA CIUDADANA  Y  LA MODERNIZACIN DE LAS INSPECCIONES DE POLICA EN EL DISTRITO DE  CARTAGENA DE INDIAS"/>
    <s v="2020130010031 MEJORAMIENTO DE LA CONVIVENCIA CON LA IMPLEMENTACIN DEL CODIGO NACIONAL DE SEGURIDAD Y CONVIVENCIA CIUDADANA  Y  LA MODERNIZACIN DE LAS INSPECCIONES DE POLICA EN EL DISTRITO DE  CARTAGENA DE INDIAS"/>
    <s v="06"/>
    <s v="00"/>
    <n v="1"/>
    <n v="0"/>
    <n v="1"/>
    <n v="0"/>
    <n v="1"/>
    <n v="0"/>
    <n v="0"/>
    <n v="0"/>
    <n v="0"/>
    <n v="1"/>
    <n v="0"/>
  </r>
  <r>
    <n v="2022"/>
    <n v="100"/>
    <x v="3"/>
    <s v="SECRETARIA DEL INTERIOR Y CONVIVENCIA CIUDADANAL"/>
    <s v="02 SECRETARIA DEL INTERIOR Y CONVIVENCIA CIUDADANAL"/>
    <n v="2020130010031"/>
    <s v="10. PILAR: CARTAGENA TRANSPARENTE"/>
    <s v="10.3 LÍNEA ESTRATÉGICA: CONVIVENCIA Y SEGURIDAD PARA LA GOBERNABILIDAD"/>
    <s v="10.3.3 PROGRAMA:  MEJORAR LA CONVIVENCIA CIUDADANA CON LA IMPLEMENTACIÓN DEL CÓDIGO NACIONAL DE SEGURIDAD Y CONVIVENCIA CIUDADANA"/>
    <s v="2,3,4501,1000,2020130010031"/>
    <s v="120"/>
    <s v="1,2,3,2,06-120 - MULTAS CODIGO NACIONAL DE POLICIA Y CONVIVENCIA"/>
    <s v="INV"/>
    <s v="NO"/>
    <s v="MEJORAMIENTO DE LA CONVIVENCIA CON LA IMPLEMENTACIN DEL CODIGO NACIONAL DE SEGURIDAD Y CONVIVENCIA CIUDADANA  Y  LA MODERNIZACIN DE LAS INSPECCIONES DE POLICA EN EL DISTRITO DE  CARTAGENA DE INDIAS"/>
    <s v="2020130010031 MEJORAMIENTO DE LA CONVIVENCIA CON LA IMPLEMENTACIN DEL CODIGO NACIONAL DE SEGURIDAD Y CONVIVENCIA CIUDADANA  Y  LA MODERNIZACIN DE LAS INSPECCIONES DE POLICA EN EL DISTRITO DE  CARTAGENA DE INDIAS"/>
    <s v="06"/>
    <s v="00"/>
    <n v="208835100"/>
    <n v="0"/>
    <n v="208835100"/>
    <n v="26126648.050000001"/>
    <n v="182708451.94999999"/>
    <n v="26126648.050000001"/>
    <n v="12.51"/>
    <n v="14135340.9"/>
    <n v="6.77"/>
    <n v="182708451.94999999"/>
    <n v="14135340.9"/>
  </r>
  <r>
    <n v="2022"/>
    <n v="100"/>
    <x v="3"/>
    <s v="SECRETARIA DEL INTERIOR Y CONVIVENCIA CIUDADANAL"/>
    <s v="02 SECRETARIA DEL INTERIOR Y CONVIVENCIA CIUDADANAL"/>
    <n v="2020130010031"/>
    <s v="10. PILAR: CARTAGENA TRANSPARENTE"/>
    <s v="10.3 LÍNEA ESTRATÉGICA: CONVIVENCIA Y SEGURIDAD PARA LA GOBERNABILIDAD"/>
    <s v="10.3.3 PROGRAMA:  MEJORAR LA CONVIVENCIA CIUDADANA CON LA IMPLEMENTACIÓN DEL CÓDIGO NACIONAL DE SEGURIDAD Y CONVIVENCIA CIUDADANA"/>
    <s v="2,3,4501,1000,2020130010031"/>
    <s v="001"/>
    <s v="1,2,1,0,00-001 - ICLD"/>
    <s v="INV"/>
    <s v="NO"/>
    <s v="MEJORAMIENTO DE LA CONVIVENCIA CON LA IMPLEMENTACIN DEL CODIGO NACIONAL DE SEGURIDAD Y CONVIVENCIA CIUDADANA  Y  LA MODERNIZACIN DE LAS INSPECCIONES DE POLICA EN EL DISTRITO DE  CARTAGENA DE INDIAS"/>
    <s v="2020130010031 MEJORAMIENTO DE LA CONVIVENCIA CON LA IMPLEMENTACIN DEL CODIGO NACIONAL DE SEGURIDAD Y CONVIVENCIA CIUDADANA  Y  LA MODERNIZACIN DE LAS INSPECCIONES DE POLICA EN EL DISTRITO DE  CARTAGENA DE INDIAS"/>
    <s v="06"/>
    <s v="00"/>
    <n v="1340056338"/>
    <n v="223135200"/>
    <n v="1563191538"/>
    <n v="1334022912.6500001"/>
    <n v="229168625.34999999"/>
    <n v="1322399848.3900001"/>
    <n v="84.6"/>
    <n v="1288100883.3900001"/>
    <n v="82.4"/>
    <n v="240791689.61000001"/>
    <n v="1205300883.3900001"/>
  </r>
  <r>
    <n v="2022"/>
    <n v="100"/>
    <x v="3"/>
    <s v="SECRETARIA DEL INTERIOR Y CONVIVENCIA CIUDADANAL"/>
    <s v="02 SECRETARIA DEL INTERIOR Y CONVIVENCIA CIUDADANAL"/>
    <n v="2020130010032"/>
    <s v="10. PILAR: CARTAGENA TRANSPARENTE"/>
    <s v="10.4 LÍNEA ESTRATÉGICA DERECHOS HUMANOS PARA LA PAZ"/>
    <s v="10.4.2 PROGRAMA: SISTEMA PENITENCIARIO Y CARCELARIO EN EL MARCO DE LOS DERECHOS HUMANOS "/>
    <s v="2,3,1206,0800,2020130010032"/>
    <s v="816"/>
    <s v="1,3,3,11,03-95-138 R,B, DIVIDENDOS SOCIEDAD PORTUARIA"/>
    <s v="INV"/>
    <s v="NO"/>
    <s v="FORTALECIMIENTO Y ATENCION INTEGRAL A INTERNOS DE LOS ESTABLECIMIENTOS CARCELARIOS DEL DISTRITO DE  CARTAGENA DE INDIAS "/>
    <s v="2020130010032 FORTALECIMIENTO Y ATENCION INTEGRAL A INTERNOS DE LOS ESTABLECIMIENTOS CARCELARIOS DEL DISTRITO DE  CARTAGENA DE INDIAS "/>
    <s v="06"/>
    <s v="00"/>
    <n v="0"/>
    <n v="126709407.5"/>
    <n v="126709407.5"/>
    <n v="99999647"/>
    <n v="26709760.5"/>
    <n v="56019003"/>
    <n v="44.21"/>
    <n v="0"/>
    <n v="0"/>
    <n v="70690404.5"/>
    <n v="0"/>
  </r>
  <r>
    <n v="2022"/>
    <n v="100"/>
    <x v="3"/>
    <s v="SECRETARIA DEL INTERIOR Y CONVIVENCIA CIUDADANAL"/>
    <s v="02 SECRETARIA DEL INTERIOR Y CONVIVENCIA CIUDADANAL"/>
    <n v="2020130010032"/>
    <s v="10. PILAR: CARTAGENA TRANSPARENTE"/>
    <s v="10.4 LÍNEA ESTRATÉGICA DERECHOS HUMANOS PARA LA PAZ"/>
    <s v="10.4.2 PROGRAMA: SISTEMA PENITENCIARIO Y CARCELARIO EN EL MARCO DE LOS DERECHOS HUMANOS "/>
    <s v="2,3,1206,0800,2020130010032"/>
    <s v="001"/>
    <s v="1,2,1,0,00-001 - ICLD"/>
    <s v="INV"/>
    <s v="NO"/>
    <s v="FORTALECIMIENTO Y ATENCION INTEGRAL A INTERNOS DE LOS ESTABLECIMIENTOS CARCELARIOS DEL DISTRITO DE  CARTAGENA DE INDIAS "/>
    <s v="2020130010032 FORTALECIMIENTO Y ATENCION INTEGRAL A INTERNOS DE LOS ESTABLECIMIENTOS CARCELARIOS DEL DISTRITO DE  CARTAGENA DE INDIAS "/>
    <s v="06"/>
    <s v="00"/>
    <n v="2392957745"/>
    <n v="-323000000"/>
    <n v="2069957745"/>
    <n v="2016189561.3699999"/>
    <n v="53768183.630000003"/>
    <n v="1691632618.0599999"/>
    <n v="81.72"/>
    <n v="1532220329.73"/>
    <n v="74.02"/>
    <n v="378325126.94"/>
    <n v="1020489009.73"/>
  </r>
  <r>
    <n v="2022"/>
    <n v="100"/>
    <x v="4"/>
    <s v="DESPACHO DEL ALCALDE"/>
    <s v="01 DESPACHO DEL ALCALDE"/>
    <n v="2020130010033"/>
    <s v="07. PILAR CARTAGENA RESILIENTE"/>
    <s v="7.4 LÍNEA ESTRATÉGICA GESTIÓN DEL RIESGO"/>
    <s v="7.4.3 MANEJO DE DESASTRE"/>
    <s v="2,3,4503,1000,2020130010033"/>
    <s v="867"/>
    <s v="1,3,3,4,16-95-002 R,B, OTRAS TASAS Y DERECHOS ADMINISTRATIVOS SOBRETASA ALCANTARILLADO"/>
    <s v="INV"/>
    <s v="NO"/>
    <s v="CONTROL DE LOS RIESGOS EN NUESTRO TERRITORIO CARTAGENA DE INDIAS"/>
    <s v="2020130010033 CONTROL DE LOS RIESGOS EN NUESTRO TERRITORIO CARTAGENA DE INDIAS"/>
    <s v="06"/>
    <s v="00"/>
    <n v="0"/>
    <n v="5736714.1500000004"/>
    <n v="5736714.1500000004"/>
    <n v="5736714.1500000004"/>
    <n v="0"/>
    <n v="5736714.1500000004"/>
    <n v="100"/>
    <n v="0"/>
    <n v="0"/>
    <n v="0"/>
    <n v="0"/>
  </r>
  <r>
    <n v="2022"/>
    <n v="100"/>
    <x v="4"/>
    <s v="DESPACHO DEL ALCALDE"/>
    <s v="01 DESPACHO DEL ALCALDE"/>
    <n v="2020130010033"/>
    <s v="07. PILAR CARTAGENA RESILIENTE"/>
    <s v="7.4 LÍNEA ESTRATÉGICA GESTIÓN DEL RIESGO"/>
    <s v="7.4.3 MANEJO DE DESASTRE"/>
    <s v="2,3,4503,1000,2020130010033"/>
    <s v="868"/>
    <s v="1,3,3,4,16-95-008 R,B, OTRAS TASAS Y DERECHOS ADMINISTRATIVOS AMOBLAMIENTO URBANO"/>
    <s v="INV"/>
    <s v="NO"/>
    <s v="CONTROL DE LOS RIESGOS EN NUESTRO TERRITORIO  CARTAGENA DE INDIAS"/>
    <s v="2020130010033 CONTROL DE LOS RIESGOS EN NUESTRO TERRITORIO  CARTAGENA DE INDIAS"/>
    <s v="06"/>
    <s v="00"/>
    <n v="0"/>
    <n v="51464419"/>
    <n v="51464419"/>
    <n v="51464419"/>
    <n v="0"/>
    <n v="51464419"/>
    <n v="100"/>
    <n v="0"/>
    <n v="0"/>
    <n v="0"/>
    <n v="0"/>
  </r>
  <r>
    <n v="2022"/>
    <n v="100"/>
    <x v="4"/>
    <s v="DESPACHO DEL ALCALDE"/>
    <s v="01 DESPACHO DEL ALCALDE"/>
    <n v="2020130010033"/>
    <s v="07. PILAR CARTAGENA RESILIENTE"/>
    <s v="7.4 LÍNEA ESTRATÉGICA GESTIÓN DEL RIESGO"/>
    <s v="7.4.3 MANEJO DE DESASTRE"/>
    <s v="2,3,4503,1000,2020130010033"/>
    <s v="870"/>
    <s v="1,3,3,4,16-95-080 RB OTRAS TASAS Y DERECHOS ADMINISTRATIVOS OCUPACION DE VIAS"/>
    <s v="INV"/>
    <s v="NO"/>
    <s v="CONTROL DE LOS RIESGOS EN NUESTRO TERRITORIO CARTAGENA DE INDIAS"/>
    <s v="2020130010033 CONTROL DE LOS RIESGOS EN NUESTRO TERRITORIO CARTAGENA DE INDIAS"/>
    <s v="06"/>
    <s v="00"/>
    <n v="0"/>
    <n v="2002381853.6500001"/>
    <n v="2002381853.6500001"/>
    <n v="2002381853.5999999"/>
    <n v="0.05"/>
    <n v="2002381853.5999999"/>
    <n v="100"/>
    <n v="1894280490"/>
    <n v="94.6"/>
    <n v="0.05"/>
    <n v="1894280490"/>
  </r>
  <r>
    <n v="2022"/>
    <n v="100"/>
    <x v="4"/>
    <s v="DESPACHO DEL ALCALDE"/>
    <s v="01 DESPACHO DEL ALCALDE"/>
    <n v="2020130010033"/>
    <s v="07. PILAR CARTAGENA RESILIENTE"/>
    <s v="7.4 LÍNEA ESTRATÉGICA GESTIÓN DEL RIESGO"/>
    <s v="7.4.3 MANEJO DE DESASTRE"/>
    <s v="2,3,4503,1000,2020130010033"/>
    <s v="871"/>
    <s v="1,3,3,4,16-95-100 RB OTRAS TASAS Y DERECHOS ADMINISTRATIVOS APROVECHAMIENTO ESPACIO PUBLICO"/>
    <s v="INV"/>
    <s v="NO"/>
    <s v="CONTROL DE LOS RIESGOS EN NUESTRO TERRITORIO  CARTAGENA DE INDIAS"/>
    <s v="2020130010033 CONTROL DE LOS RIESGOS EN NUESTRO TERRITORIO  CARTAGENA DE INDIAS"/>
    <s v="06"/>
    <s v="00"/>
    <n v="0"/>
    <n v="26503817.190000001"/>
    <n v="26503817.190000001"/>
    <n v="26503817.190000001"/>
    <n v="0"/>
    <n v="26503817.190000001"/>
    <n v="100"/>
    <n v="0"/>
    <n v="0"/>
    <n v="0"/>
    <n v="0"/>
  </r>
  <r>
    <n v="2022"/>
    <n v="100"/>
    <x v="4"/>
    <s v="DESPACHO DEL ALCALDE"/>
    <s v="01 DESPACHO DEL ALCALDE"/>
    <n v="2020130010033"/>
    <s v="07. PILAR CARTAGENA RESILIENTE"/>
    <s v="7.4 LÍNEA ESTRATÉGICA GESTIÓN DEL RIESGO"/>
    <s v="7.4.3 MANEJO DE DESASTRE"/>
    <s v="2,3,4503,1000,2020130010033"/>
    <s v="886"/>
    <s v="1,3,3,4,21-95-034 R,B, VENTA DE SERVICIOS CEMENTERIOS"/>
    <s v="INV"/>
    <s v="NO"/>
    <s v="CONTROL DE LOS RIESGOS EN NUESTRO TERRITORIO  CARTAGENA DE INDIAS"/>
    <s v="2020130010033 CONTROL DE LOS RIESGOS EN NUESTRO TERRITORIO  CARTAGENA DE INDIAS"/>
    <s v="06"/>
    <s v="00"/>
    <n v="0"/>
    <n v="31121031"/>
    <n v="31121031"/>
    <n v="31121031"/>
    <n v="0"/>
    <n v="31121031"/>
    <n v="100"/>
    <n v="0"/>
    <n v="0"/>
    <n v="0"/>
    <n v="0"/>
  </r>
  <r>
    <n v="2022"/>
    <n v="100"/>
    <x v="4"/>
    <s v="DESPACHO DEL ALCALDE"/>
    <s v="01 DESPACHO DEL ALCALDE"/>
    <n v="2020130010033"/>
    <s v="07. PILAR CARTAGENA RESILIENTE"/>
    <s v="7.4 LÍNEA ESTRATÉGICA GESTIÓN DEL RIESGO"/>
    <s v="7.4.3 MANEJO DE DESASTRE"/>
    <s v="2,3,4503,1000,2020130010033"/>
    <s v="814"/>
    <s v="1,3,3,11,03-95-062 - RB DIVIDENDOS ACUACAR"/>
    <s v="INV"/>
    <s v="NO"/>
    <s v="CONTROL DE LOS RIESGOS EN NUESTRO TERRITORIO  CARTAGENA DE INDIAS"/>
    <s v="2020130010033 CONTROL DE LOS RIESGOS EN NUESTRO TERRITORIO  CARTAGENA DE INDIAS"/>
    <s v="06"/>
    <s v="00"/>
    <n v="0"/>
    <n v="577061331"/>
    <n v="577061331"/>
    <n v="577061331"/>
    <n v="0"/>
    <n v="577061331"/>
    <n v="100"/>
    <n v="105097725"/>
    <n v="18.21"/>
    <n v="0"/>
    <n v="105097725"/>
  </r>
  <r>
    <n v="2022"/>
    <n v="100"/>
    <x v="4"/>
    <s v="DESPACHO DEL ALCALDE"/>
    <s v="01 DESPACHO DEL ALCALDE"/>
    <n v="2020130010033"/>
    <s v="07. PILAR CARTAGENA RESILIENTE"/>
    <s v="7.4 LÍNEA ESTRATÉGICA GESTIÓN DEL RIESGO"/>
    <s v="7.4.3 MANEJO DE DESASTRE"/>
    <s v="2,3,4503,1000,2020130010033"/>
    <s v="821"/>
    <s v="1,3,3,11,06-93-086-01 RB DONACIONES COVID"/>
    <s v="INV"/>
    <s v="NO"/>
    <s v="CONTROL DE LOS RIESGOS EN NUESTRO TERRITORIO  CARTAGENA DE INDIAS"/>
    <s v="2020130010033 CONTROL DE LOS RIESGOS EN NUESTRO TERRITORIO  CARTAGENA DE INDIAS"/>
    <s v="06"/>
    <s v="00"/>
    <n v="0"/>
    <n v="30172287.199999999"/>
    <n v="30172287.199999999"/>
    <n v="0"/>
    <n v="30172287.199999999"/>
    <n v="0"/>
    <n v="0"/>
    <n v="0"/>
    <n v="0"/>
    <n v="30172287.199999999"/>
    <n v="0"/>
  </r>
  <r>
    <n v="2022"/>
    <n v="100"/>
    <x v="4"/>
    <s v="DESPACHO DEL ALCALDE"/>
    <s v="01 DESPACHO DEL ALCALDE"/>
    <n v="2020130010033"/>
    <s v="07. PILAR CARTAGENA RESILIENTE"/>
    <s v="7.4 LÍNEA ESTRATÉGICA GESTIÓN DEL RIESGO"/>
    <s v="7.4.3 MANEJO DE DESASTRE"/>
    <s v="2,3,4503,1000,2020130010033"/>
    <s v="822"/>
    <s v="1,3,3,11,06-95-086-01 RB DONACIONES COVID"/>
    <s v="INV"/>
    <s v="NO"/>
    <s v="CONTROL DE LOS RIESGOS EN NUESTRO TERRITORIO  CARTAGENA DE INDIAS"/>
    <s v="2020130010033 CONTROL DE LOS RIESGOS EN NUESTRO TERRITORIO  CARTAGENA DE INDIAS"/>
    <s v="06"/>
    <s v="00"/>
    <n v="0"/>
    <n v="305257136.47000003"/>
    <n v="305257136.47000003"/>
    <n v="0"/>
    <n v="305257136.47000003"/>
    <n v="0"/>
    <n v="0"/>
    <n v="0"/>
    <n v="0"/>
    <n v="305257136.47000003"/>
    <n v="0"/>
  </r>
  <r>
    <n v="2022"/>
    <n v="100"/>
    <x v="4"/>
    <s v="DESPACHO DEL ALCALDE"/>
    <s v="01 DESPACHO DEL ALCALDE"/>
    <n v="2020130010033"/>
    <s v="07. PILAR CARTAGENA RESILIENTE"/>
    <s v="7.4 LÍNEA ESTRATÉGICA GESTIÓN DEL RIESGO"/>
    <s v="7.4.3 MANEJO DE DESASTRE"/>
    <s v="2,3,4503,1000,2020130010033"/>
    <s v="823"/>
    <s v="1,3,3,11,06-95-086-02 RB DONACIONES IOTA"/>
    <s v="INV"/>
    <s v="NO"/>
    <s v="CONTROL DE LOS RIESGOS EN NUESTRO TERRITORIO  CARTAGENA DE INDIAS"/>
    <s v="2020130010033 CONTROL DE LOS RIESGOS EN NUESTRO TERRITORIO  CARTAGENA DE INDIAS"/>
    <s v="06"/>
    <s v="00"/>
    <n v="0"/>
    <n v="22120795.870000001"/>
    <n v="22120795.870000001"/>
    <n v="0"/>
    <n v="22120795.870000001"/>
    <n v="0"/>
    <n v="0"/>
    <n v="0"/>
    <n v="0"/>
    <n v="22120795.870000001"/>
    <n v="0"/>
  </r>
  <r>
    <n v="2022"/>
    <n v="100"/>
    <x v="4"/>
    <s v="DESPACHO DEL ALCALDE"/>
    <s v="01 DESPACHO DEL ALCALDE"/>
    <n v="2020130010033"/>
    <s v="07. PILAR CARTAGENA RESILIENTE"/>
    <s v="7.4 LÍNEA ESTRATÉGICA GESTIÓN DEL RIESGO"/>
    <s v="7.4.3 MANEJO DE DESASTRE"/>
    <s v="2,3,4503,1000,2020130010033"/>
    <s v="840"/>
    <s v="1,3,3,2,00-95-083 RB  ICDE DISTRISEGURIDAD 10% DELINEACION URBANA"/>
    <s v="INV"/>
    <s v="NO"/>
    <s v="CONTROL DE LOS RIESGOS EN NUESTRO TERRITORIO  CARTAGENA DE INDIAS"/>
    <s v="2020130010033 CONTROL DE LOS RIESGOS EN NUESTRO TERRITORIO  CARTAGENA DE INDIAS"/>
    <s v="06"/>
    <s v="00"/>
    <n v="0"/>
    <n v="131372954.40000001"/>
    <n v="131372954.40000001"/>
    <n v="131372954.40000001"/>
    <n v="0"/>
    <n v="131372954.40000001"/>
    <n v="100"/>
    <n v="0"/>
    <n v="0"/>
    <n v="0"/>
    <n v="0"/>
  </r>
  <r>
    <n v="2022"/>
    <n v="100"/>
    <x v="4"/>
    <s v="DESPACHO DEL ALCALDE"/>
    <s v="01 DESPACHO DEL ALCALDE"/>
    <n v="2020130010033"/>
    <s v="07. PILAR CARTAGENA RESILIENTE"/>
    <s v="7.4 LÍNEA ESTRATÉGICA GESTIÓN DEL RIESGO"/>
    <s v="7.4.3 MANEJO DE DESASTRE"/>
    <s v="2,3,4503,1000,2020130010033"/>
    <s v="852"/>
    <s v="1,3,3,3,17-95-124 RB IMPUESTO DE TRANSPORTE POR OLEODUCTOS Y GASODUCTOS"/>
    <s v="INV"/>
    <s v="NO"/>
    <s v="CONTROL DE LOS RIESGOS EN NUESTRO TERRITORIO  CARTAGENA DE INDIAS"/>
    <s v="2020130010033 CONTROL DE LOS RIESGOS EN NUESTRO TERRITORIO  CARTAGENA DE INDIAS"/>
    <s v="06"/>
    <s v="00"/>
    <n v="0"/>
    <n v="400000000"/>
    <n v="400000000"/>
    <n v="400000000"/>
    <n v="0"/>
    <n v="400000000"/>
    <n v="100"/>
    <n v="0"/>
    <n v="0"/>
    <n v="0"/>
    <n v="0"/>
  </r>
  <r>
    <n v="2022"/>
    <n v="100"/>
    <x v="4"/>
    <s v="DESPACHO DEL ALCALDE"/>
    <s v="01 DESPACHO DEL ALCALDE"/>
    <n v="2020130010033"/>
    <s v="07. PILAR CARTAGENA RESILIENTE"/>
    <s v="7.4 LÍNEA ESTRATÉGICA GESTIÓN DEL RIESGO"/>
    <s v="7.4.3 MANEJO DE DESASTRE"/>
    <s v="2,3,4503,1000,2020130010033"/>
    <s v="922"/>
    <s v="1,3,3,8,03-95-070 R,B, SGP-PROPOSITO GENERAL-PROPOSITO GENERAL LIBRE INVERSION"/>
    <s v="INV"/>
    <s v="NO"/>
    <s v="CONTROL DE LOS RIESGOS EN NUESTRO TERRITORIO  CARTAGENA DE INDIAS"/>
    <s v="2020130010033 CONTROL DE LOS RIESGOS EN NUESTRO TERRITORIO  CARTAGENA DE INDIAS"/>
    <s v="06"/>
    <s v="00"/>
    <n v="0"/>
    <n v="408450013.44"/>
    <n v="408450013.44"/>
    <n v="408450013.44"/>
    <n v="0"/>
    <n v="408450013.44"/>
    <n v="100"/>
    <n v="0"/>
    <n v="0"/>
    <n v="0"/>
    <n v="0"/>
  </r>
  <r>
    <n v="2022"/>
    <n v="100"/>
    <x v="4"/>
    <s v="DESPACHO DEL ALCALDE"/>
    <s v="01 DESPACHO DEL ALCALDE"/>
    <n v="2020130010033"/>
    <s v="07. PILAR CARTAGENA RESILIENTE"/>
    <s v="7.4 LÍNEA ESTRATÉGICA GESTIÓN DEL RIESGO"/>
    <s v="7.4.3 MANEJO DE DESASTRE"/>
    <s v="2,3,4503,1000,2020130010033"/>
    <s v="806"/>
    <s v="1,3,3,1,00-93-009 RB RECURSOS PROVISIONADOS"/>
    <s v="INV"/>
    <s v="NO"/>
    <s v="CONTROL DE LOS RIESGOS EN NUESTRO TERRITORIO  CARTAGENA DE INDIAS"/>
    <s v="2020130010033 CONTROL DE LOS RIESGOS EN NUESTRO TERRITORIO  CARTAGENA DE INDIAS"/>
    <s v="06"/>
    <s v="00"/>
    <n v="0"/>
    <n v="17800585.260000002"/>
    <n v="17800585.260000002"/>
    <n v="17800585.260000002"/>
    <n v="0"/>
    <n v="17800585.260000002"/>
    <n v="100"/>
    <n v="0"/>
    <n v="0"/>
    <n v="0"/>
    <n v="0"/>
  </r>
  <r>
    <n v="2022"/>
    <n v="100"/>
    <x v="4"/>
    <s v="DESPACHO DEL ALCALDE"/>
    <s v="01 DESPACHO DEL ALCALDE"/>
    <n v="2020130010033"/>
    <s v="07. PILAR CARTAGENA RESILIENTE"/>
    <s v="7.4 LÍNEA ESTRATÉGICA GESTIÓN DEL RIESGO"/>
    <s v="7.4.3 MANEJO DE DESASTRE"/>
    <s v="2,3,4503,1000,2020130010033"/>
    <s v="807"/>
    <s v="1,3,3,1,00-95-009 RB RECURSOS PROVISIONADOS"/>
    <s v="INV"/>
    <s v="NO"/>
    <s v="CONTROL DE LOS RIESGOS EN NUESTRO TERRITORIO  CARTAGENA DE INDIAS"/>
    <s v="2020130010033 CONTROL DE LOS RIESGOS EN NUESTRO TERRITORIO  CARTAGENA DE INDIAS"/>
    <s v="06"/>
    <s v="00"/>
    <n v="0"/>
    <n v="783735912.27999997"/>
    <n v="783735912.27999997"/>
    <n v="783735912.27999997"/>
    <n v="0"/>
    <n v="735833492.27999997"/>
    <n v="93.89"/>
    <n v="454154330"/>
    <n v="57.95"/>
    <n v="47902420"/>
    <n v="454154330"/>
  </r>
  <r>
    <n v="2022"/>
    <n v="100"/>
    <x v="4"/>
    <s v="DESPACHO DEL ALCALDE"/>
    <s v="01 DESPACHO DEL ALCALDE"/>
    <n v="2020130010033"/>
    <s v="07. PILAR CARTAGENA RESILIENTE"/>
    <s v="7.4 LÍNEA ESTRATÉGICA GESTIÓN DEL RIESGO"/>
    <s v="7.4.3 MANEJO DE DESASTRE"/>
    <s v="2,3,4503,1000,2020130010033"/>
    <s v="810"/>
    <s v="1,3,3,11,01-93-182 R,B, VENTA DE ACTIVOS"/>
    <s v="INV"/>
    <s v="NO"/>
    <s v="CONTROL DE LOS RIESGOS EN NUESTRO TERRITORIO  CARTAGENA DE INDIAS"/>
    <s v="2020130010033 CONTROL DE LOS RIESGOS EN NUESTRO TERRITORIO  CARTAGENA DE INDIAS"/>
    <s v="06"/>
    <s v="00"/>
    <n v="0"/>
    <n v="2868205.18"/>
    <n v="2868205.18"/>
    <n v="2868205.18"/>
    <n v="0"/>
    <n v="2868205.18"/>
    <n v="100"/>
    <n v="0"/>
    <n v="0"/>
    <n v="0"/>
    <n v="0"/>
  </r>
  <r>
    <n v="2022"/>
    <n v="100"/>
    <x v="4"/>
    <s v="DESPACHO DEL ALCALDE"/>
    <s v="01 DESPACHO DEL ALCALDE"/>
    <n v="2020130010033"/>
    <s v="07. PILAR CARTAGENA RESILIENTE"/>
    <s v="7.4 LÍNEA ESTRATÉGICA GESTIÓN DEL RIESGO"/>
    <s v="7.4.3 MANEJO DE DESASTRE"/>
    <s v="2,3,4503,1000,2020130010033"/>
    <s v="811"/>
    <s v="1,3,3,11,01-95-182 R,B, VENTA DE ACTIVOS"/>
    <s v="INV"/>
    <s v="NO"/>
    <s v="CONTROL DE LOS RIESGOS EN NUESTRO TERRITORIO  CARTAGENA DE INDIAS"/>
    <s v="2020130010033 CONTROL DE LOS RIESGOS EN NUESTRO TERRITORIO  CARTAGENA DE INDIAS"/>
    <s v="06"/>
    <s v="00"/>
    <n v="0"/>
    <n v="65564180.5"/>
    <n v="65564180.5"/>
    <n v="65564180.5"/>
    <n v="0"/>
    <n v="65564180.5"/>
    <n v="100"/>
    <n v="0"/>
    <n v="0"/>
    <n v="0"/>
    <n v="0"/>
  </r>
  <r>
    <n v="2022"/>
    <n v="100"/>
    <x v="4"/>
    <s v="DESPACHO DEL ALCALDE"/>
    <s v="01 DESPACHO DEL ALCALDE"/>
    <n v="2020130010033"/>
    <s v="07. PILAR CARTAGENA RESILIENTE"/>
    <s v="7.4 LÍNEA ESTRATÉGICA GESTIÓN DEL RIESGO"/>
    <s v="7.4.3 MANEJO DE DESASTRE"/>
    <s v="2,3,4503,1000,2020130010033"/>
    <s v="070"/>
    <s v="1,2,4,3,03-070 - SGP LIBRE INVERSION"/>
    <s v="INV"/>
    <s v="NO"/>
    <s v="CONTROL DE LOS RIESGOS EN NUESTRO TERRITORIO  CARTAGENA DE INDIAS"/>
    <s v="2020130010033 CONTROL DE LOS RIESGOS EN NUESTRO TERRITORIO  CARTAGENA DE INDIAS"/>
    <s v="06"/>
    <s v="00"/>
    <n v="410000000"/>
    <n v="21752487"/>
    <n v="431752487"/>
    <n v="431752486.75999999"/>
    <n v="0.24"/>
    <n v="427709735.72000003"/>
    <n v="99.06"/>
    <n v="320385095.98000002"/>
    <n v="74.209999999999994"/>
    <n v="4042751.28"/>
    <n v="236201890.97999999"/>
  </r>
  <r>
    <n v="2022"/>
    <n v="100"/>
    <x v="4"/>
    <s v="DESPACHO DEL ALCALDE"/>
    <s v="01 DESPACHO DEL ALCALDE"/>
    <n v="2020130010033"/>
    <s v="07. PILAR CARTAGENA RESILIENTE"/>
    <s v="7.4 LÍNEA ESTRATÉGICA GESTIÓN DEL RIESGO"/>
    <s v="7.4.3 MANEJO DE DESASTRE"/>
    <s v="2,3,4503,1000,2020130010033"/>
    <s v="086"/>
    <s v="1,3,1,1,06-086 - DONACIONES"/>
    <s v="INV"/>
    <s v="NO"/>
    <s v="CONTROL DE LOS RIESGOS EN NUESTRO TERRITORIO  CARTAGENA DE INDIAS"/>
    <s v="2020130010033 CONTROL DE LOS RIESGOS EN NUESTRO TERRITORIO  CARTAGENA DE INDIAS"/>
    <s v="06"/>
    <s v="00"/>
    <n v="1"/>
    <n v="0"/>
    <n v="1"/>
    <n v="0"/>
    <n v="1"/>
    <n v="0"/>
    <n v="0"/>
    <n v="0"/>
    <n v="0"/>
    <n v="1"/>
    <n v="0"/>
  </r>
  <r>
    <n v="2022"/>
    <n v="100"/>
    <x v="4"/>
    <s v="DESPACHO DEL ALCALDE"/>
    <s v="01 DESPACHO DEL ALCALDE"/>
    <n v="2020130010033"/>
    <s v="07. PILAR CARTAGENA RESILIENTE"/>
    <s v="7.4 LÍNEA ESTRATÉGICA GESTIÓN DEL RIESGO"/>
    <s v="7.4.3 MANEJO DE DESASTRE"/>
    <s v="2,3,4503,1000,2020130010033"/>
    <s v="119"/>
    <s v="1,2,2,0,00-119 - ICDE  FONDO DE RIESGO 1% ICLD"/>
    <s v="INV"/>
    <s v="NO"/>
    <s v="CONTROL DE LOS RIESGOS EN NUESTRO TERRITORIO  CARTAGENA DE INDIAS"/>
    <s v="2020130010033 CONTROL DE LOS RIESGOS EN NUESTRO TERRITORIO  CARTAGENA DE INDIAS"/>
    <s v="06"/>
    <s v="00"/>
    <n v="4179924000"/>
    <n v="0"/>
    <n v="4179924000"/>
    <n v="4158287365"/>
    <n v="21636635"/>
    <n v="3862666719"/>
    <n v="92.41"/>
    <n v="3471333184.9400001"/>
    <n v="83.05"/>
    <n v="317257281"/>
    <n v="3149026995.9400001"/>
  </r>
  <r>
    <n v="2022"/>
    <n v="100"/>
    <x v="4"/>
    <s v="DESPACHO DEL ALCALDE"/>
    <s v="01 DESPACHO DEL ALCALDE"/>
    <n v="2020130010033"/>
    <s v="07. PILAR CARTAGENA RESILIENTE"/>
    <s v="7.4 LÍNEA ESTRATÉGICA GESTIÓN DEL RIESGO"/>
    <s v="7.4.3 MANEJO DE DESASTRE"/>
    <s v="2,3,4503,1000,2020130010033"/>
    <s v="001"/>
    <s v="1,2,1,0,00-001 - ICLD"/>
    <s v="INV"/>
    <s v="NO"/>
    <s v="CONTROL DE LOS RIESGOS EN NUESTRO TERRITORIO  CARTAGENA DE INDIAS"/>
    <s v="2020130010033 CONTROL DE LOS RIESGOS EN NUESTRO TERRITORIO  CARTAGENA DE INDIAS"/>
    <s v="06"/>
    <s v="00"/>
    <n v="219999999"/>
    <n v="-120289050"/>
    <n v="99710949"/>
    <n v="32198937"/>
    <n v="67512012"/>
    <n v="30776496"/>
    <n v="30.87"/>
    <n v="30776496"/>
    <n v="30.87"/>
    <n v="68934453"/>
    <n v="0"/>
  </r>
  <r>
    <n v="2022"/>
    <n v="100"/>
    <x v="4"/>
    <s v="DESPACHO DEL ALCALDE"/>
    <s v="01 DESPACHO DEL ALCALDE"/>
    <n v="2020130010034"/>
    <s v="07. PILAR CARTAGENA RESILIENTE"/>
    <s v="7.4 LÍNEA ESTRATÉGICA GESTIÓN DEL RIESGO"/>
    <s v="7.4.2 REDUCCIÓN DEL RIESGO"/>
    <s v="2,3,4503,1000,2020130010034"/>
    <s v="922"/>
    <s v="1,3,3,8,03-95-070 R,B, SGP-PROPOSITO GENERAL-PROPOSITO GENERAL LIBRE INVERSION"/>
    <s v="INV"/>
    <s v="NO"/>
    <s v="APORTES PARA MITIGAR EL RIESGO EN LAS COMUNIDADES DEL DISTRITO   CARTAGENA DE INDIAS"/>
    <s v="2020130010034 APORTES PARA MITIGAR EL RIESGO EN LAS COMUNIDADES DEL DISTRITO   CARTAGENA DE INDIAS"/>
    <s v="06"/>
    <s v="00"/>
    <n v="0"/>
    <n v="220599901.09999999"/>
    <n v="220599901.09999999"/>
    <n v="52352250"/>
    <n v="168247651.09999999"/>
    <n v="50039500"/>
    <n v="22.68"/>
    <n v="50039500"/>
    <n v="22.68"/>
    <n v="170560401.09999999"/>
    <n v="50039500"/>
  </r>
  <r>
    <n v="2022"/>
    <n v="100"/>
    <x v="4"/>
    <s v="DESPACHO DEL ALCALDE"/>
    <s v="01 DESPACHO DEL ALCALDE"/>
    <n v="2020130010034"/>
    <s v="07. PILAR CARTAGENA RESILIENTE"/>
    <s v="7.4 LÍNEA ESTRATÉGICA GESTIÓN DEL RIESGO"/>
    <s v="7.4.2 REDUCCIÓN DEL RIESGO"/>
    <s v="2,3,4503,1000,2020130010034"/>
    <s v="070"/>
    <s v="1,2,4,3,03-070 - SGP LIBRE INVERSION"/>
    <s v="INV"/>
    <s v="NO"/>
    <s v="APORTES PARA MITIGAR EL RIESGO EN LAS COMUNIDADES DEL DISTRITO   CARTAGENA DE INDIAS"/>
    <s v="2020130010034 APORTES PARA MITIGAR EL RIESGO EN LAS COMUNIDADES DEL DISTRITO   CARTAGENA DE INDIAS"/>
    <s v="06"/>
    <s v="00"/>
    <n v="390245667"/>
    <n v="0"/>
    <n v="390245667"/>
    <n v="360176751.19999999"/>
    <n v="30068915.800000001"/>
    <n v="350321433"/>
    <n v="89.77"/>
    <n v="225576850"/>
    <n v="57.8"/>
    <n v="39924234"/>
    <n v="225576850"/>
  </r>
  <r>
    <n v="2022"/>
    <n v="100"/>
    <x v="4"/>
    <s v="DESPACHO DEL ALCALDE"/>
    <s v="01 DESPACHO DEL ALCALDE"/>
    <n v="2020130010034"/>
    <s v="07. PILAR CARTAGENA RESILIENTE"/>
    <s v="7.4 LÍNEA ESTRATÉGICA GESTIÓN DEL RIESGO"/>
    <s v="7.4.2 REDUCCIÓN DEL RIESGO"/>
    <s v="2,3,4503,1000,2020130010034"/>
    <s v="119"/>
    <s v="1,2,2,0,00-119 - ICDE  FONDO DE RIESGO 1% ICLD"/>
    <s v="INV"/>
    <s v="NO"/>
    <s v="APORTES PARA MITIGAR EL RIESGO EN LAS COMUNIDADES DEL DISTRITO   CARTAGENA DE INDIAS"/>
    <s v="2020130010034 APORTES PARA MITIGAR EL RIESGO EN LAS COMUNIDADES DEL DISTRITO   CARTAGENA DE INDIAS"/>
    <s v="06"/>
    <s v="00"/>
    <n v="878000000"/>
    <n v="974572155"/>
    <n v="1852572155"/>
    <n v="1402572155"/>
    <n v="450000000"/>
    <n v="1382732154"/>
    <n v="74.64"/>
    <n v="1382732154"/>
    <n v="74.64"/>
    <n v="469840001"/>
    <n v="1378332154"/>
  </r>
  <r>
    <n v="2022"/>
    <n v="100"/>
    <x v="4"/>
    <s v="DESPACHO DEL ALCALDE"/>
    <s v="01 DESPACHO DEL ALCALDE"/>
    <n v="2020130010034"/>
    <s v="07. PILAR CARTAGENA RESILIENTE"/>
    <s v="7.4 LÍNEA ESTRATÉGICA GESTIÓN DEL RIESGO"/>
    <s v="7.4.2 REDUCCIÓN DEL RIESGO"/>
    <s v="2,3,4503,1000,2020130010034"/>
    <s v="001"/>
    <s v="1,2,1,0,00-001 - ICLD"/>
    <s v="INV"/>
    <s v="NO"/>
    <s v="APORTES PARA MITIGAR EL RIESGO EN LAS COMUNIDADES DEL DISTRITO   CARTAGENA DE INDIAS"/>
    <s v="2020130010034 APORTES PARA MITIGAR EL RIESGO EN LAS COMUNIDADES DEL DISTRITO   CARTAGENA DE INDIAS"/>
    <s v="06"/>
    <s v="00"/>
    <n v="520704000"/>
    <n v="-260414949"/>
    <n v="260289051"/>
    <n v="251257263.5"/>
    <n v="9031787.5"/>
    <n v="227133124.19999999"/>
    <n v="87.26"/>
    <n v="137949955.59"/>
    <n v="53"/>
    <n v="33155926.800000001"/>
    <n v="57078957.200000003"/>
  </r>
  <r>
    <n v="2022"/>
    <n v="100"/>
    <x v="4"/>
    <s v="DESPACHO DEL ALCALDE"/>
    <s v="01 DESPACHO DEL ALCALDE"/>
    <n v="2020130010036"/>
    <s v="08. PILAR CARTAGENA INCLUYENTE"/>
    <s v="8.4 LÍNEA ESTRATÉGICA DEPORTE Y RECREACIÓN PARA LA TRANSFORMACION SOCIAL "/>
    <s v="8.4.7 ADMINISTRACION, MANTENIMIENTO, ADECUACION, MEJORAMIENTO Y CONSTRUCCION DE ESCENARIOS DEPORTIVOS"/>
    <s v="2,3,4301,1604,2020130010036"/>
    <s v="001"/>
    <s v="1,2,1,0,00-001 - ICLD"/>
    <s v="INV"/>
    <s v="NO"/>
    <s v="CONSERVACION , MANTENIMIENTO CONSERVACION, MANTENIMIENTO Y MEJORAMIENTO DE LOS ESCENARIOS DEPORTIVOS DE LA CIUDAD COMO ESTRATEGIA DE PRESERVACION DEL PATRIMONIO MATERIAL DEL DISTRITO DE CARTAGENA DE INDIAS"/>
    <s v="2020130010036 CONSERVACION , MANTENIMIENTO CONSERVACION, MANTENIMIENTO Y MEJORAMIENTO DE LOS ESCENARIOS DEPORTIVOS DE LA CIUDAD COMO ESTRATEGIA DE PRESERVACION DEL PATRIMONIO MATERIAL DEL DISTRITO DE CARTAGENA DE INDIAS"/>
    <s v="06"/>
    <s v="00"/>
    <n v="0"/>
    <n v="3311507151.29"/>
    <n v="3311507151.29"/>
    <n v="3311507151.29"/>
    <n v="0"/>
    <n v="3311507151.29"/>
    <n v="100"/>
    <n v="3311507151.29"/>
    <n v="100"/>
    <n v="0"/>
    <n v="3311507151.29"/>
  </r>
  <r>
    <n v="2022"/>
    <n v="100"/>
    <x v="5"/>
    <s v="INSTITUTO DE DEPORTE Y RECREACION"/>
    <s v="15 INSTITUTO DE DEPORTE Y RECREACION"/>
    <n v="2020130010036"/>
    <s v="08. PILAR CARTAGENA INCLUYENTE"/>
    <s v="8.4 LÍNEA ESTRATÉGICA DEPORTE Y RECREACIÓN PARA LA TRANSFORMACION SOCIAL "/>
    <s v="8.4.7 ADMINISTRACION, MANTENIMIENTO, ADECUACION, MEJORAMIENTO Y CONSTRUCCION DE ESCENARIOS DEPORTIVOS"/>
    <s v="2,3,4301,1604,2020130010036"/>
    <s v="834"/>
    <s v="1,3,3,2,00-93-097 R,B, ICDE IDER 3% ICA"/>
    <s v="INV"/>
    <s v="NO"/>
    <s v="CONSERVACION, MANTENIMIENTO Y MEJORAMIENTO DE LOS ESCENARIOS DEPORTIVOS DE LA CIUDAD COMO ESTRATEGIA DE PRESERVACION DEL PATRIMONIO MATERIAL DEL DISTRITO DE   CARTAGENA DE INDIAS"/>
    <s v="2020130010036 CONSERVACION, MANTENIMIENTO Y MEJORAMIENTO DE LOS ESCENARIOS DEPORTIVOS DE LA CIUDAD COMO ESTRATEGIA DE PRESERVACION DEL PATRIMONIO MATERIAL DEL DISTRITO DE   CARTAGENA DE INDIAS"/>
    <s v="06"/>
    <s v="00"/>
    <n v="0"/>
    <n v="893992064.37"/>
    <n v="893992064.37"/>
    <n v="893992064"/>
    <n v="0.37"/>
    <n v="893992064"/>
    <n v="100"/>
    <n v="893992064"/>
    <n v="100"/>
    <n v="0.37"/>
    <n v="893992064"/>
  </r>
  <r>
    <n v="2022"/>
    <n v="100"/>
    <x v="5"/>
    <s v="INSTITUTO DE DEPORTE Y RECREACION"/>
    <s v="15 INSTITUTO DE DEPORTE Y RECREACION"/>
    <n v="2020130010036"/>
    <s v="08. PILAR CARTAGENA INCLUYENTE"/>
    <s v="8.4 LÍNEA ESTRATÉGICA DEPORTE Y RECREACIÓN PARA LA TRANSFORMACION SOCIAL "/>
    <s v="8.4.7 ADMINISTRACION, MANTENIMIENTO, ADECUACION, MEJORAMIENTO Y CONSTRUCCION DE ESCENARIOS DEPORTIVOS"/>
    <s v="2,3,4301,1604,2020130010036"/>
    <s v="841"/>
    <s v="1,3,3,2,00-95-097 R,B, ICDE IDER 3% ICA"/>
    <s v="INV"/>
    <s v="NO"/>
    <s v="CONSERVACION, MANTENIMIENTO Y MEJORAMIENTO DE LOS ESCENARIOS DEPORTIVOS DE LA CIUDAD COMO ESTRATEGIA DE PRESERVACION DEL PATRIMONIO MATERIAL DEL DISTRITO DE   CARTAGENA DE INDIAS"/>
    <s v="2020130010036 CONSERVACION, MANTENIMIENTO Y MEJORAMIENTO DE LOS ESCENARIOS DEPORTIVOS DE LA CIUDAD COMO ESTRATEGIA DE PRESERVACION DEL PATRIMONIO MATERIAL DEL DISTRITO DE   CARTAGENA DE INDIAS"/>
    <s v="06"/>
    <s v="00"/>
    <n v="0"/>
    <n v="801289815.91999996"/>
    <n v="801289815.91999996"/>
    <n v="559357977"/>
    <n v="241931838.91999999"/>
    <n v="559357977"/>
    <n v="69.81"/>
    <n v="559357977"/>
    <n v="69.81"/>
    <n v="241931838.91999999"/>
    <n v="285393714"/>
  </r>
  <r>
    <n v="2022"/>
    <n v="100"/>
    <x v="5"/>
    <s v="INSTITUTO DE DEPORTE Y RECREACION"/>
    <s v="15 INSTITUTO DE DEPORTE Y RECREACION"/>
    <n v="2020130010036"/>
    <s v="08. PILAR CARTAGENA INCLUYENTE"/>
    <s v="8.4 LÍNEA ESTRATÉGICA DEPORTE Y RECREACIÓN PARA LA TRANSFORMACION SOCIAL "/>
    <s v="8.4.7 ADMINISTRACION, MANTENIMIENTO, ADECUACION, MEJORAMIENTO Y CONSTRUCCION DE ESCENARIOS DEPORTIVOS"/>
    <s v="2,3,4301,1604,2020130010036"/>
    <s v="917"/>
    <s v="1,3,3,8,01-93-122 R,B, SGP DEPORTE"/>
    <s v="INV"/>
    <s v="NO"/>
    <s v="CONSERVACION, MANTENIMIENTO Y MEJORAMIENTO DE LOS ESCENARIOS DEPORTIVOS DE LA CIUDAD COMO ESTRATEGIA DE PRESERVACION DEL PATRIMONIO MATERIAL DEL DISTRITO DE   CARTAGENA DE INDIAS"/>
    <s v="2020130010036 CONSERVACION, MANTENIMIENTO Y MEJORAMIENTO DE LOS ESCENARIOS DEPORTIVOS DE LA CIUDAD COMO ESTRATEGIA DE PRESERVACION DEL PATRIMONIO MATERIAL DEL DISTRITO DE   CARTAGENA DE INDIAS"/>
    <s v="06"/>
    <s v="00"/>
    <n v="0"/>
    <n v="9644123.6400000006"/>
    <n v="9644123.6400000006"/>
    <n v="0"/>
    <n v="9644123.6400000006"/>
    <n v="0"/>
    <n v="0"/>
    <n v="0"/>
    <n v="0"/>
    <n v="9644123.6400000006"/>
    <n v="0"/>
  </r>
  <r>
    <n v="2022"/>
    <n v="100"/>
    <x v="5"/>
    <s v="INSTITUTO DE DEPORTE Y RECREACION"/>
    <s v="15 INSTITUTO DE DEPORTE Y RECREACION"/>
    <n v="2020130010036"/>
    <s v="08. PILAR CARTAGENA INCLUYENTE"/>
    <s v="8.4 LÍNEA ESTRATÉGICA DEPORTE Y RECREACIÓN PARA LA TRANSFORMACION SOCIAL "/>
    <s v="8.4.7 ADMINISTRACION, MANTENIMIENTO, ADECUACION, MEJORAMIENTO Y CONSTRUCCION DE ESCENARIOS DEPORTIVOS"/>
    <s v="2,3,4301,1604,2020130010036"/>
    <s v="918"/>
    <s v="1,3,3,8,01-95-059 - R,B, SGP DEPORTE"/>
    <s v="INV"/>
    <s v="NO"/>
    <s v="CONSERVACION, MANTENIMIENTO Y MEJORAMIENTO DE LOS ESCENARIOS DEPORTIVOS DE LA CIUDAD COMO ESTRATEGIA DE PRESERVACION DEL PATRIMONIO MATERIAL DEL DISTRITO DE   CARTAGENA DE INDIAS"/>
    <s v="2020130010036 CONSERVACION, MANTENIMIENTO Y MEJORAMIENTO DE LOS ESCENARIOS DEPORTIVOS DE LA CIUDAD COMO ESTRATEGIA DE PRESERVACION DEL PATRIMONIO MATERIAL DEL DISTRITO DE   CARTAGENA DE INDIAS"/>
    <s v="06"/>
    <s v="00"/>
    <n v="0"/>
    <n v="1161353537.6600001"/>
    <n v="1161353537.6600001"/>
    <n v="1161353537"/>
    <n v="0.66"/>
    <n v="1161353537"/>
    <n v="100"/>
    <n v="1161353537"/>
    <n v="100"/>
    <n v="0.66"/>
    <n v="1161353537"/>
  </r>
  <r>
    <n v="2022"/>
    <n v="100"/>
    <x v="5"/>
    <s v="INSTITUTO DE DEPORTE Y RECREACION"/>
    <s v="15 INSTITUTO DE DEPORTE Y RECREACION"/>
    <n v="2020130010036"/>
    <s v="08. PILAR CARTAGENA INCLUYENTE"/>
    <s v="8.4 LÍNEA ESTRATÉGICA DEPORTE Y RECREACIÓN PARA LA TRANSFORMACION SOCIAL "/>
    <s v="8.4.7 ADMINISTRACION, MANTENIMIENTO, ADECUACION, MEJORAMIENTO Y CONSTRUCCION DE ESCENARIOS DEPORTIVOS"/>
    <s v="2,3,4301,1604,2020130010036"/>
    <s v="919"/>
    <s v="1,3,3,8,01-95-122 R,B, SGP DEPORTE"/>
    <s v="INV"/>
    <s v="NO"/>
    <s v="CONSERVACION, MANTENIMIENTO Y MEJORAMIENTO DE LOS ESCENARIOS DEPORTIVOS DE LA CIUDAD COMO ESTRATEGIA DE PRESERVACION DEL PATRIMONIO MATERIAL DEL DISTRITO DE   CARTAGENA DE INDIAS"/>
    <s v="2020130010036 CONSERVACION, MANTENIMIENTO Y MEJORAMIENTO DE LOS ESCENARIOS DEPORTIVOS DE LA CIUDAD COMO ESTRATEGIA DE PRESERVACION DEL PATRIMONIO MATERIAL DEL DISTRITO DE   CARTAGENA DE INDIAS"/>
    <s v="06"/>
    <s v="00"/>
    <n v="0"/>
    <n v="29254560"/>
    <n v="29254560"/>
    <n v="28614458.780000001"/>
    <n v="640101.22"/>
    <n v="28614458.780000001"/>
    <n v="97.81"/>
    <n v="28614458.780000001"/>
    <n v="97.81"/>
    <n v="640101.22"/>
    <n v="28614458.780000001"/>
  </r>
  <r>
    <n v="2022"/>
    <n v="100"/>
    <x v="5"/>
    <s v="INSTITUTO DE DEPORTE Y RECREACION"/>
    <s v="15 INSTITUTO DE DEPORTE Y RECREACION"/>
    <n v="2020130010036"/>
    <s v="08. PILAR CARTAGENA INCLUYENTE"/>
    <s v="8.4 LÍNEA ESTRATÉGICA DEPORTE Y RECREACIÓN PARA LA TRANSFORMACION SOCIAL "/>
    <s v="8.4.7 ADMINISTRACION, MANTENIMIENTO, ADECUACION, MEJORAMIENTO Y CONSTRUCCION DE ESCENARIOS DEPORTIVOS"/>
    <s v="2,3,4301,1604,2020130010036"/>
    <s v="932"/>
    <s v="1,3,3,1,00-95-001 RB DE LIBRE DESTINACION"/>
    <s v="INV"/>
    <s v="NO"/>
    <s v="CONSERVACION , MANTENIMIENTO Y MEJORAMIENTO DE LOS ESCENARIOS DEPORTIVOS DE LA CIUDAD COMO ESTRATEGIA DE PRESERVACION DEL PATRIMONIO MATERIAL DEL DISTRITO DE   CARTAGENA DE INDIAS ? DEFICIT"/>
    <s v="2020130010036 CONSERVACION , MANTENIMIENTO Y MEJORAMIENTO DE LOS ESCENARIOS DEPORTIVOS DE LA CIUDAD COMO ESTRATEGIA DE PRESERVACION DEL PATRIMONIO MATERIAL DEL DISTRITO DE   CARTAGENA DE INDIAS ? DEFICIT"/>
    <s v="06"/>
    <s v="00"/>
    <n v="0"/>
    <n v="82041252.579999998"/>
    <n v="82041252.579999998"/>
    <n v="0"/>
    <n v="82041252.579999998"/>
    <n v="0"/>
    <n v="0"/>
    <n v="0"/>
    <n v="0"/>
    <n v="82041252.579999998"/>
    <n v="0"/>
  </r>
  <r>
    <n v="2022"/>
    <n v="100"/>
    <x v="5"/>
    <s v="INSTITUTO DE DEPORTE Y RECREACION"/>
    <s v="15 INSTITUTO DE DEPORTE Y RECREACION"/>
    <n v="2020130010036"/>
    <s v="08. PILAR CARTAGENA INCLUYENTE"/>
    <s v="8.4 LÍNEA ESTRATÉGICA DEPORTE Y RECREACIÓN PARA LA TRANSFORMACION SOCIAL "/>
    <s v="8.4.7 ADMINISTRACION, MANTENIMIENTO, ADECUACION, MEJORAMIENTO Y CONSTRUCCION DE ESCENARIOS DEPORTIVOS"/>
    <s v="2,3,4301,1604,2020130010036"/>
    <s v="933"/>
    <s v="1,3,1,1,02-03 -EXCEDENTES FINANCIEROS IDER"/>
    <s v="INV"/>
    <s v="NO"/>
    <s v="CONSERVACION , MANTENIMIENTO Y MEJORAMIENTO DE LOS ESCENARIOS DEPORTIVOS DE LA CIUDAD COMO ESTRATEGIA DE PRESERVACION DEL PATRIMONIO MATERIAL DEL DISTRITO DE   CARTAGENA DE INDIAS ? DEFICIT"/>
    <s v="2020130010036 CONSERVACION , MANTENIMIENTO Y MEJORAMIENTO DE LOS ESCENARIOS DEPORTIVOS DE LA CIUDAD COMO ESTRATEGIA DE PRESERVACION DEL PATRIMONIO MATERIAL DEL DISTRITO DE   CARTAGENA DE INDIAS ? DEFICIT"/>
    <s v="06"/>
    <s v="00"/>
    <n v="0"/>
    <n v="90028747.420000002"/>
    <n v="90028747.420000002"/>
    <n v="0"/>
    <n v="90028747.420000002"/>
    <n v="0"/>
    <n v="0"/>
    <n v="0"/>
    <n v="0"/>
    <n v="90028747.420000002"/>
    <n v="0"/>
  </r>
  <r>
    <n v="2022"/>
    <n v="100"/>
    <x v="5"/>
    <s v="INSTITUTO DE DEPORTE Y RECREACION"/>
    <s v="15 INSTITUTO DE DEPORTE Y RECREACION"/>
    <n v="2020130010036"/>
    <s v="08. PILAR CARTAGENA INCLUYENTE"/>
    <s v="8.4 LÍNEA ESTRATÉGICA DEPORTE Y RECREACIÓN PARA LA TRANSFORMACION SOCIAL "/>
    <s v="8.4.7 ADMINISTRACION, MANTENIMIENTO, ADECUACION, MEJORAMIENTO Y CONSTRUCCION DE ESCENARIOS DEPORTIVOS"/>
    <s v="2,3,4301,1604,2020130010036"/>
    <s v="059"/>
    <s v="1,2,4,3,01-059 - SGP DEPORTE"/>
    <s v="INV"/>
    <s v="NO"/>
    <s v="CONSERVACION , MANTENIMIENTO Y MEJORAMIENTO DE LOS ESCENARIOS DEPORTIVOS DE LA CIUDAD COMO ESTRATEGIA DE PRESERVACION DEL PATRIMONIO MATERIAL DEL DISTRITO DE   CARTAGENA DE INDIAS"/>
    <s v="2020130010036 CONSERVACION , MANTENIMIENTO Y MEJORAMIENTO DE LOS ESCENARIOS DEPORTIVOS DE LA CIUDAD COMO ESTRATEGIA DE PRESERVACION DEL PATRIMONIO MATERIAL DEL DISTRITO DE   CARTAGENA DE INDIAS"/>
    <s v="06"/>
    <s v="00"/>
    <n v="521282650"/>
    <n v="0"/>
    <n v="521282650"/>
    <n v="245164282"/>
    <n v="276118368"/>
    <n v="245164282"/>
    <n v="47.03"/>
    <n v="245164282"/>
    <n v="47.03"/>
    <n v="276118368"/>
    <n v="190000000"/>
  </r>
  <r>
    <n v="2022"/>
    <n v="100"/>
    <x v="5"/>
    <s v="INSTITUTO DE DEPORTE Y RECREACION"/>
    <s v="15 INSTITUTO DE DEPORTE Y RECREACION"/>
    <n v="2020130010036"/>
    <s v="08. PILAR CARTAGENA INCLUYENTE"/>
    <s v="8.4 LÍNEA ESTRATÉGICA DEPORTE Y RECREACIÓN PARA LA TRANSFORMACION SOCIAL "/>
    <s v="8.4.7 ADMINISTRACION, MANTENIMIENTO, ADECUACION, MEJORAMIENTO Y CONSTRUCCION DE ESCENARIOS DEPORTIVOS"/>
    <s v="2,3,4301,1604,2020130010036"/>
    <s v="097"/>
    <s v="1,2,2,0,00-097 - ICDE IDER 3% ICA"/>
    <s v="INV"/>
    <s v="NO"/>
    <s v="CONSERVACION , MANTENIMIENTO Y MEJORAMIENTO DE LOS ESCENARIOS DEPORTIVOS DE LA CIUDAD COMO ESTRATEGIA DE PRESERVACION DEL PATRIMONIO MATERIAL DEL DISTRITO DE   CARTAGENA DE INDIAS"/>
    <s v="2020130010036 CONSERVACION , MANTENIMIENTO Y MEJORAMIENTO DE LOS ESCENARIOS DEPORTIVOS DE LA CIUDAD COMO ESTRATEGIA DE PRESERVACION DEL PATRIMONIO MATERIAL DEL DISTRITO DE   CARTAGENA DE INDIAS"/>
    <s v="06"/>
    <s v="00"/>
    <n v="3372871474"/>
    <n v="2961691538"/>
    <n v="6334563012"/>
    <n v="6149433470.2200003"/>
    <n v="185129541.78"/>
    <n v="6149433470.2200003"/>
    <n v="97.08"/>
    <n v="6149433470.2200003"/>
    <n v="97.08"/>
    <n v="185129541.78"/>
    <n v="5899426139.2200003"/>
  </r>
  <r>
    <n v="2022"/>
    <n v="100"/>
    <x v="5"/>
    <s v="INSTITUTO DE DEPORTE Y RECREACION"/>
    <s v="15 INSTITUTO DE DEPORTE Y RECREACION"/>
    <n v="2020130010036"/>
    <s v="08. PILAR CARTAGENA INCLUYENTE"/>
    <s v="8.4 LÍNEA ESTRATÉGICA DEPORTE Y RECREACIÓN PARA LA TRANSFORMACION SOCIAL "/>
    <s v="8.4.7 ADMINISTRACION, MANTENIMIENTO, ADECUACION, MEJORAMIENTO Y CONSTRUCCION DE ESCENARIOS DEPORTIVOS"/>
    <s v="2,3,4301,1604,2020130010036"/>
    <s v="025"/>
    <s v="1,2,3,2,05-025 - OTRAS TASAS Y DERECHOS ADMINISTRATIVOS TASA PRODEPORTE"/>
    <s v="INV"/>
    <s v="NO"/>
    <s v="CONSERVACION , MANTENIMIENTO Y MEJORAMIENTO DE LOS ESCENARIOS DEPORTIVOS DE LA CIUDAD COMO ESTRATEGIA DE PRESERVACION DEL PATRIMONIO MATERIAL DEL DISTRITO DE   CARTAGENA DE INDIAS"/>
    <s v="2020130010036 CONSERVACION , MANTENIMIENTO Y MEJORAMIENTO DE LOS ESCENARIOS DEPORTIVOS DE LA CIUDAD COMO ESTRATEGIA DE PRESERVACION DEL PATRIMONIO MATERIAL DEL DISTRITO DE   CARTAGENA DE INDIAS"/>
    <s v="06"/>
    <s v="00"/>
    <n v="3202000000"/>
    <n v="0"/>
    <n v="3202000000"/>
    <n v="3081999999.4200001"/>
    <n v="120000000.58"/>
    <n v="3081999899.4200001"/>
    <n v="96.25"/>
    <n v="3081999899.4200001"/>
    <n v="96.25"/>
    <n v="120000100.58"/>
    <n v="3081999899.4200001"/>
  </r>
  <r>
    <n v="2022"/>
    <n v="100"/>
    <x v="3"/>
    <s v="SECRETARIA DEL INTERIOR Y CONVIVENCIA CIUDADANAL"/>
    <s v="02 SECRETARIA DEL INTERIOR Y CONVIVENCIA CIUDADANAL"/>
    <n v="2020130010037"/>
    <s v="10. PILAR: CARTAGENA TRANSPARENTE"/>
    <s v="10.3 LÍNEA ESTRATÉGICA: CONVIVENCIA Y SEGURIDAD PARA LA GOBERNABILIDAD"/>
    <s v="10.3.2 PROGRAMA: FORTALECIMIENTO DE LA CONVIVENCIA Y LA SEGURIDAD CIUDADANA"/>
    <s v="2,3,4501,1000,2020130010037"/>
    <s v="800"/>
    <s v="1,3,3,11,07-93-005 R,B, TRANSFERENCIAS DE CAPITAL CONVENIO FONSECON"/>
    <s v="INV"/>
    <s v="NO"/>
    <s v="FORTALECIMIENTO DE LOS MECANISMOS COMUNITARIOS E INSTITUCIONALES DE PREVENCION Y REACCION A SITUACIONES DE RIESGO POR CONDUCTAS DELICTIVAS EN EL DISTRITO DE CARTAGENA DE INDIAS"/>
    <s v="2020130010037 FORTALECIMIENTO DE LOS MECANISMOS COMUNITARIOS E INSTITUCIONALES DE PREVENCION Y REACCION A SITUACIONES DE RIESGO POR CONDUCTAS DELICTIVAS EN EL DISTRITO DE CARTAGENA DE INDIAS"/>
    <s v="06"/>
    <s v="00"/>
    <n v="0"/>
    <n v="1038000000"/>
    <n v="1038000000"/>
    <n v="1038000000"/>
    <n v="0"/>
    <n v="1038000000"/>
    <n v="100"/>
    <n v="1038000000"/>
    <n v="100"/>
    <n v="0"/>
    <n v="1038000000"/>
  </r>
  <r>
    <n v="2022"/>
    <n v="100"/>
    <x v="3"/>
    <s v="SECRETARIA DEL INTERIOR Y CONVIVENCIA CIUDADANAL"/>
    <s v="02 SECRETARIA DEL INTERIOR Y CONVIVENCIA CIUDADANAL"/>
    <n v="2020130010037"/>
    <s v="10. PILAR: CARTAGENA TRANSPARENTE"/>
    <s v="10.3 LÍNEA ESTRATÉGICA: CONVIVENCIA Y SEGURIDAD PARA LA GOBERNABILIDAD"/>
    <s v="10.3.2 PROGRAMA: FORTALECIMIENTO DE LA CONVIVENCIA Y LA SEGURIDAD CIUDADANA"/>
    <s v="2,3,4501,1000,2020130010037"/>
    <s v="801"/>
    <s v="1,3,3,11,07-95-158 R,B, TRANSFERENCIAS DE CAPITAL CONVENIO FONSECON"/>
    <s v="INV"/>
    <s v="NO"/>
    <s v="FORTALECIMIENTO DE LOS MECANISMOS COMUNITARIOS E INSTITUCIONALES DE PREVENCION Y REACCION A SITUACIONES DE RIESGO POR CONDUCTAS DELICTIVAS EN EL DISTRITO DE CARTAGENA DE INDIAS"/>
    <s v="2020130010037 FORTALECIMIENTO DE LOS MECANISMOS COMUNITARIOS E INSTITUCIONALES DE PREVENCION Y REACCION A SITUACIONES DE RIESGO POR CONDUCTAS DELICTIVAS EN EL DISTRITO DE CARTAGENA DE INDIAS"/>
    <s v="06"/>
    <s v="00"/>
    <n v="0"/>
    <n v="122081887.2"/>
    <n v="122081887.2"/>
    <n v="0"/>
    <n v="122081887.2"/>
    <n v="0"/>
    <n v="0"/>
    <n v="0"/>
    <n v="0"/>
    <n v="122081887.2"/>
    <n v="0"/>
  </r>
  <r>
    <n v="2022"/>
    <n v="100"/>
    <x v="3"/>
    <s v="SECRETARIA DEL INTERIOR Y CONVIVENCIA CIUDADANAL"/>
    <s v="02 SECRETARIA DEL INTERIOR Y CONVIVENCIA CIUDADANAL"/>
    <n v="2020130010037"/>
    <s v="10. PILAR: CARTAGENA TRANSPARENTE"/>
    <s v="10.3 LÍNEA ESTRATÉGICA: CONVIVENCIA Y SEGURIDAD PARA LA GOBERNABILIDAD"/>
    <s v="10.3.2 PROGRAMA: FORTALECIMIENTO DE LA CONVIVENCIA Y LA SEGURIDAD CIUDADANA"/>
    <s v="2,3,4501,1000,2020130010037"/>
    <s v="802"/>
    <s v="1,3,3,11,07-93-158 R,B, TRANSFERENCIAS DE CAPITAL CONVENIO FONSECON"/>
    <s v="INV"/>
    <s v="NO"/>
    <s v="FORTALECIMIENTO DE LOS MECANISMOS COMUNITARIOS E INSTITUCIONALES DE PREVENCION Y REACCION A SITUACIONES DE RIESGO POR CONDUCTAS DELICTIVAS EN EL DISTRITO DE CARTAGENA DE INDIAS"/>
    <s v="2020130010037 FORTALECIMIENTO DE LOS MECANISMOS COMUNITARIOS E INSTITUCIONALES DE PREVENCION Y REACCION A SITUACIONES DE RIESGO POR CONDUCTAS DELICTIVAS EN EL DISTRITO DE CARTAGENA DE INDIAS"/>
    <s v="06"/>
    <s v="00"/>
    <n v="0"/>
    <n v="18234351.210000001"/>
    <n v="18234351.210000001"/>
    <n v="0"/>
    <n v="18234351.210000001"/>
    <n v="0"/>
    <n v="0"/>
    <n v="0"/>
    <n v="0"/>
    <n v="18234351.210000001"/>
    <n v="0"/>
  </r>
  <r>
    <n v="2022"/>
    <n v="100"/>
    <x v="3"/>
    <s v="SECRETARIA DEL INTERIOR Y CONVIVENCIA CIUDADANAL"/>
    <s v="02 SECRETARIA DEL INTERIOR Y CONVIVENCIA CIUDADANAL"/>
    <n v="2020130010037"/>
    <s v="10. PILAR: CARTAGENA TRANSPARENTE"/>
    <s v="10.3 LÍNEA ESTRATÉGICA: CONVIVENCIA Y SEGURIDAD PARA LA GOBERNABILIDAD"/>
    <s v="10.3.2 PROGRAMA: FORTALECIMIENTO DE LA CONVIVENCIA Y LA SEGURIDAD CIUDADANA"/>
    <s v="2,3,4501,1000,2020130010037"/>
    <s v="803"/>
    <s v="1,3,3,11,07-95-005 R,B, TRANSFERENCIAS DE CAPITAL CONVENIO FONSECON"/>
    <s v="INV"/>
    <s v="NO"/>
    <s v="FORTALECIMIENTO DE LOS MECANISMOS COMUNITARIOS E INSTITUCIONALES DE PREVENCION Y REACCION A SITUACIONES DE RIESGO POR CONDUCTAS DELICTIVAS EN EL DISTRITO DE CARTAGENA DE INDIAS"/>
    <s v="2020130010037 FORTALECIMIENTO DE LOS MECANISMOS COMUNITARIOS E INSTITUCIONALES DE PREVENCION Y REACCION A SITUACIONES DE RIESGO POR CONDUCTAS DELICTIVAS EN EL DISTRITO DE CARTAGENA DE INDIAS"/>
    <s v="06"/>
    <s v="00"/>
    <n v="0"/>
    <n v="575421919.25"/>
    <n v="575421919.25"/>
    <n v="515029740.33999997"/>
    <n v="60392178.909999996"/>
    <n v="515029740.33999997"/>
    <n v="89.5"/>
    <n v="515029740.33999997"/>
    <n v="89.5"/>
    <n v="60392178.909999996"/>
    <n v="515029740.33999997"/>
  </r>
  <r>
    <n v="2022"/>
    <n v="100"/>
    <x v="3"/>
    <s v="SECRETARIA DEL INTERIOR Y CONVIVENCIA CIUDADANAL"/>
    <s v="02 SECRETARIA DEL INTERIOR Y CONVIVENCIA CIUDADANAL"/>
    <n v="2020130010037"/>
    <s v="10. PILAR: CARTAGENA TRANSPARENTE"/>
    <s v="10.3 LÍNEA ESTRATÉGICA: CONVIVENCIA Y SEGURIDAD PARA LA GOBERNABILIDAD"/>
    <s v="10.3.2 PROGRAMA: FORTALECIMIENTO DE LA CONVIVENCIA Y LA SEGURIDAD CIUDADANA"/>
    <s v="2,3,4501,1000,2020130010037"/>
    <s v="001"/>
    <s v="1,2,1,0,00-001 - ICLD"/>
    <s v="INV"/>
    <s v="NO"/>
    <s v="FORTALECIMIENTO DE LOS MECANISMOS COMUNITARIOS  E INSTITUCIONALES DE PREVENCION Y REACCION A SITUACIONES DE RIESGO POR CONDUCTAS DELICTIVAS EN EL DISTRITO DE   CARTAGENA DE INDIAS"/>
    <s v="2020130010037 FORTALECIMIENTO DE LOS MECANISMOS COMUNITARIOS  E INSTITUCIONALES DE PREVENCION Y REACCION A SITUACIONES DE RIESGO POR CONDUCTAS DELICTIVAS EN EL DISTRITO DE   CARTAGENA DE INDIAS"/>
    <s v="06"/>
    <s v="00"/>
    <n v="382873239"/>
    <n v="0"/>
    <n v="382873239"/>
    <n v="379786085"/>
    <n v="3087154"/>
    <n v="375036085.00999999"/>
    <n v="97.95"/>
    <n v="364919418.33999997"/>
    <n v="95.31"/>
    <n v="7837153.9900000002"/>
    <n v="355459418.33999997"/>
  </r>
  <r>
    <n v="2022"/>
    <n v="100"/>
    <x v="5"/>
    <s v="INSTITUTO DE DEPORTE Y RECREACION"/>
    <s v="15 INSTITUTO DE DEPORTE Y RECREACION"/>
    <n v="2020130010038"/>
    <s v="08. PILAR CARTAGENA INCLUYENTE"/>
    <s v="8.4 LÍNEA ESTRATÉGICA DEPORTE Y RECREACIÓN PARA LA TRANSFORMACION SOCIAL "/>
    <s v="8.4.2 DEPORTE ASOCIADO &quot;INCENTIVOS CON-SENTIDO&quot;"/>
    <s v="2,3,4302,1604,2020130010038"/>
    <s v="918"/>
    <s v="1,3,3,8,01-95-059 - R,B, SGP DEPORTE"/>
    <s v="INV"/>
    <s v="NO"/>
    <s v="CONSOLIDACION DEL SISTEMA DEPORTIVO DISTRITAL MEDIANTE UNA ESTRATEGIA DE ESTIMULOS Y/O APOYOS A LAS ORGANIZACIONES DEPORTIVAS Y DEPORTISTAS DE ALTOS LOGROS-0  CARTAGENA DE INDIAS"/>
    <s v="2020130010038 CONSOLIDACION DEL SISTEMA DEPORTIVO DISTRITAL MEDIANTE UNA ESTRATEGIA DE ESTIMULOS Y/O APOYOS A LAS ORGANIZACIONES DEPORTIVAS Y DEPORTISTAS DE ALTOS LOGROS-0  CARTAGENA DE INDIAS"/>
    <s v="06"/>
    <s v="00"/>
    <n v="0"/>
    <n v="494114520.01999998"/>
    <n v="494114520.01999998"/>
    <n v="75000000"/>
    <n v="419114520.01999998"/>
    <n v="75000000"/>
    <n v="15.18"/>
    <n v="75000000"/>
    <n v="15.18"/>
    <n v="419114520.01999998"/>
    <n v="75000000"/>
  </r>
  <r>
    <n v="2022"/>
    <n v="100"/>
    <x v="5"/>
    <s v="INSTITUTO DE DEPORTE Y RECREACION"/>
    <s v="15 INSTITUTO DE DEPORTE Y RECREACION"/>
    <n v="2020130010038"/>
    <s v="08. PILAR CARTAGENA INCLUYENTE"/>
    <s v="8.4 LÍNEA ESTRATÉGICA DEPORTE Y RECREACIÓN PARA LA TRANSFORMACION SOCIAL "/>
    <s v="8.4.2 DEPORTE ASOCIADO &quot;INCENTIVOS CON-SENTIDO&quot;"/>
    <s v="2,3,4302,1604,2020130010038"/>
    <s v="059"/>
    <s v="1,2,4,3,01-059 - SGP DEPORTE"/>
    <s v="INV"/>
    <s v="NO"/>
    <s v="CONSOLIDACION DEL SISTEMA DEPORTIVO DISTRITAL MEDIANTE UNA ESTRATEGIA DE ESTIMULOS Y/O APOYOS A LAS ORGANIZACIONES DEPORTIVAS Y DEPORTISTAS DE ALTOS LOGROS-0  CARTAGENA DE INDIAS"/>
    <s v="2020130010038 CONSOLIDACION DEL SISTEMA DEPORTIVO DISTRITAL MEDIANTE UNA ESTRATEGIA DE ESTIMULOS Y/O APOYOS A LAS ORGANIZACIONES DEPORTIVAS Y DEPORTISTAS DE ALTOS LOGROS-0  CARTAGENA DE INDIAS"/>
    <s v="06"/>
    <s v="00"/>
    <n v="582610025"/>
    <n v="0"/>
    <n v="582610025"/>
    <n v="580000000"/>
    <n v="2610025"/>
    <n v="580000000"/>
    <n v="99.55"/>
    <n v="580000000"/>
    <n v="99.55"/>
    <n v="2610025"/>
    <n v="580000000"/>
  </r>
  <r>
    <n v="2022"/>
    <n v="100"/>
    <x v="5"/>
    <s v="INSTITUTO DE DEPORTE Y RECREACION"/>
    <s v="15 INSTITUTO DE DEPORTE Y RECREACION"/>
    <n v="2020130010038"/>
    <s v="08. PILAR CARTAGENA INCLUYENTE"/>
    <s v="8.4 LÍNEA ESTRATÉGICA DEPORTE Y RECREACIÓN PARA LA TRANSFORMACION SOCIAL "/>
    <s v="8.4.2 DEPORTE ASOCIADO &quot;INCENTIVOS CON-SENTIDO&quot;"/>
    <s v="2,3,4302,1604,2020130010038"/>
    <s v="097"/>
    <s v="1,2,2,0,00-097 - ICDE IDER 3% ICA"/>
    <s v="INV"/>
    <s v="NO"/>
    <s v="CONSOLIDACION DEL SISTEMA DEPORTIVO DISTRITAL MEDIANTE UNA ESTRATEGIA DE ESTIMULOS Y/O APOYOS A LAS ORGANIZACIONES DEPORTIVAS Y DEPORTISTAS DE ALTOS LOGROS-0  CARTAGENA DE INDIAS"/>
    <s v="2020130010038 CONSOLIDACION DEL SISTEMA DEPORTIVO DISTRITAL MEDIANTE UNA ESTRATEGIA DE ESTIMULOS Y/O APOYOS A LAS ORGANIZACIONES DEPORTIVAS Y DEPORTISTAS DE ALTOS LOGROS-0  CARTAGENA DE INDIAS"/>
    <s v="06"/>
    <s v="00"/>
    <n v="1499053988"/>
    <n v="0"/>
    <n v="1499053988"/>
    <n v="1299452896.8599999"/>
    <n v="199601091.13999999"/>
    <n v="1299452896.8599999"/>
    <n v="86.68"/>
    <n v="1299452896.8599999"/>
    <n v="86.68"/>
    <n v="199601091.13999999"/>
    <n v="971888000"/>
  </r>
  <r>
    <n v="2022"/>
    <n v="100"/>
    <x v="5"/>
    <s v="INSTITUTO DE DEPORTE Y RECREACION"/>
    <s v="15 INSTITUTO DE DEPORTE Y RECREACION"/>
    <n v="2020130010038"/>
    <s v="08. PILAR CARTAGENA INCLUYENTE"/>
    <s v="8.4 LÍNEA ESTRATÉGICA DEPORTE Y RECREACIÓN PARA LA TRANSFORMACION SOCIAL "/>
    <s v="8.4.2 DEPORTE ASOCIADO &quot;INCENTIVOS CON-SENTIDO&quot;"/>
    <s v="2,3,4302,1604,2020130010038"/>
    <s v="025"/>
    <s v="1,2,3,2,05-025 - OTRAS TASAS Y DERECHOS ADMINISTRATIVOS TASA PRODEPORTE"/>
    <s v="INV"/>
    <s v="NO"/>
    <s v="CONSOLIDACION DEL SISTEMA DEPORTIVO DISTRITAL MEDIANTE UNA ESTRATEGIA DE ESTIMULOS Y/O APOYOS A LAS ORGANIZACIONES DEPORTIVAS Y DEPORTISTAS DE ALTOS LOGROS-0  CARTAGENA DE INDIAS"/>
    <s v="2020130010038 CONSOLIDACION DEL SISTEMA DEPORTIVO DISTRITAL MEDIANTE UNA ESTRATEGIA DE ESTIMULOS Y/O APOYOS A LAS ORGANIZACIONES DEPORTIVAS Y DEPORTISTAS DE ALTOS LOGROS-0  CARTAGENA DE INDIAS"/>
    <s v="06"/>
    <s v="00"/>
    <n v="300000000"/>
    <n v="0"/>
    <n v="300000000"/>
    <n v="300000000"/>
    <n v="0"/>
    <n v="300000000"/>
    <n v="100"/>
    <n v="300000000"/>
    <n v="100"/>
    <n v="0"/>
    <n v="0"/>
  </r>
  <r>
    <n v="2022"/>
    <n v="100"/>
    <x v="6"/>
    <s v="INSTITUTO DE PATRIMONIO Y CULTURA DE CARTAGENA DE INDIAS"/>
    <s v="17 INSTITUTO DE PATRIMONIO Y CULTURA DE CARTAGENA DE INDIAS"/>
    <n v="2020130010042"/>
    <s v="08. PILAR CARTAGENA INCLUYENTE"/>
    <s v="8.5 LÍNEA ESTRATÉGICA ARTES, CULTURA Y PATRIMONIO PARA UNA CARTAGENA INCLUYENTE"/>
    <s v="8.5.1 PROGRAMA: MEDIACION Y BIBLIOTECAS PARA LA INCLUSION"/>
    <s v="2,3,3301,1603,2020130010042"/>
    <s v="057"/>
    <s v="1,2,4,3,02-057 - SGP CULTURA"/>
    <s v="INV"/>
    <s v="NO"/>
    <s v="FORTALECIMIENTO DE LOS PROCESOS DE MEDIACION Y BIBLIOTECAS PARA LA INCLUSION EN EL DISTRITO DE  CARTAGENA DE INDIAS"/>
    <s v="2020130010042 FORTALECIMIENTO DE LOS PROCESOS DE MEDIACION Y BIBLIOTECAS PARA LA INCLUSION EN EL DISTRITO DE  CARTAGENA DE INDIAS"/>
    <s v="06"/>
    <s v="00"/>
    <n v="233350515"/>
    <n v="0"/>
    <n v="233350515"/>
    <n v="233350515"/>
    <n v="0"/>
    <n v="233350515"/>
    <n v="100"/>
    <n v="175012886"/>
    <n v="75"/>
    <n v="0"/>
    <n v="155567010"/>
  </r>
  <r>
    <n v="2022"/>
    <n v="100"/>
    <x v="6"/>
    <s v="INSTITUTO DE PATRIMONIO Y CULTURA DE CARTAGENA DE INDIAS"/>
    <s v="17 INSTITUTO DE PATRIMONIO Y CULTURA DE CARTAGENA DE INDIAS"/>
    <n v="2020130010042"/>
    <s v="08. PILAR CARTAGENA INCLUYENTE"/>
    <s v="8.5 LÍNEA ESTRATÉGICA ARTES, CULTURA Y PATRIMONIO PARA UNA CARTAGENA INCLUYENTE"/>
    <s v="8.5.1 PROGRAMA: MEDIACION Y BIBLIOTECAS PARA LA INCLUSION"/>
    <s v="2,3,3301,1603,2020130010042"/>
    <s v="082"/>
    <s v="1,2,3,1,19-082 - ESTAMPILLAS PROCULTURA"/>
    <s v="INV"/>
    <s v="NO"/>
    <s v="FORTALECIMIENTO DE LOS PROCESOS DE MEDIACION Y BIBLIOTECAS PARA LA INCLUSION EN EL DISTRITO DE  CARTAGENA DE INDIAS"/>
    <s v="2020130010042 FORTALECIMIENTO DE LOS PROCESOS DE MEDIACION Y BIBLIOTECAS PARA LA INCLUSION EN EL DISTRITO DE  CARTAGENA DE INDIAS"/>
    <s v="06"/>
    <s v="00"/>
    <n v="80000000"/>
    <n v="0"/>
    <n v="80000000"/>
    <n v="0"/>
    <n v="80000000"/>
    <n v="0"/>
    <n v="0"/>
    <n v="0"/>
    <n v="0"/>
    <n v="80000000"/>
    <n v="0"/>
  </r>
  <r>
    <n v="2022"/>
    <n v="100"/>
    <x v="6"/>
    <s v="INSTITUTO DE PATRIMONIO Y CULTURA DE CARTAGENA DE INDIAS"/>
    <s v="17 INSTITUTO DE PATRIMONIO Y CULTURA DE CARTAGENA DE INDIAS"/>
    <n v="2020130010042"/>
    <s v="08. PILAR CARTAGENA INCLUYENTE"/>
    <s v="8.5 LÍNEA ESTRATÉGICA ARTES, CULTURA Y PATRIMONIO PARA UNA CARTAGENA INCLUYENTE"/>
    <s v="8.5.1 PROGRAMA: MEDIACION Y BIBLIOTECAS PARA LA INCLUSION"/>
    <s v="2,3,3301,1603,2020130010042"/>
    <s v="001"/>
    <s v="1,2,1,0,00-001 - ICLD"/>
    <s v="INV"/>
    <s v="NO"/>
    <s v="FORTALECIMIENTO DE LOS PROCESOS DE MEDIACION Y BIBLIOTECAS PARA LA INCLUSION EN EL DISTRITO DE  CARTAGENA DE INDIAS"/>
    <s v="2020130010042 FORTALECIMIENTO DE LOS PROCESOS DE MEDIACION Y BIBLIOTECAS PARA LA INCLUSION EN EL DISTRITO DE  CARTAGENA DE INDIAS"/>
    <s v="06"/>
    <s v="00"/>
    <n v="850000000"/>
    <n v="0"/>
    <n v="850000000"/>
    <n v="850000000"/>
    <n v="0"/>
    <n v="850000000"/>
    <n v="100"/>
    <n v="850000000"/>
    <n v="100"/>
    <n v="0"/>
    <n v="850000000"/>
  </r>
  <r>
    <n v="2022"/>
    <n v="100"/>
    <x v="6"/>
    <s v="INSTITUTO DE PATRIMONIO Y CULTURA DE CARTAGENA DE INDIAS"/>
    <s v="17 INSTITUTO DE PATRIMONIO Y CULTURA DE CARTAGENA DE INDIAS"/>
    <n v="2020130010043"/>
    <s v="08. PILAR CARTAGENA INCLUYENTE"/>
    <s v="8.5 LÍNEA ESTRATÉGICA ARTES, CULTURA Y PATRIMONIO PARA UNA CARTAGENA INCLUYENTE"/>
    <s v="8.5.2 PROGRAMA: ESTIMULOS PARA LAS ARTES Y EL EMPRENDIMIENTO PARA UNA CARTAGENA INCLUYENTE"/>
    <s v="2,3,3301,1603,2020130010043"/>
    <s v="057"/>
    <s v="1,2,4,3,02-057 - SGP CULTURA"/>
    <s v="INV"/>
    <s v="NO"/>
    <s v="FORTALECIMIENTO DE ESTIMULOS PARA LAS ARTES Y LA CULTURA EN EL DISTRITO DE  CARTAGENA DE INDIAS"/>
    <s v="2020130010043 FORTALECIMIENTO DE ESTIMULOS PARA LAS ARTES Y LA CULTURA EN EL DISTRITO DE  CARTAGENA DE INDIAS"/>
    <s v="06"/>
    <s v="00"/>
    <n v="267962307"/>
    <n v="34346032"/>
    <n v="302308339"/>
    <n v="302308339"/>
    <n v="0"/>
    <n v="302308339"/>
    <n v="100"/>
    <n v="257647954.5"/>
    <n v="85.23"/>
    <n v="0"/>
    <n v="145996993.5"/>
  </r>
  <r>
    <n v="2022"/>
    <n v="100"/>
    <x v="6"/>
    <s v="INSTITUTO DE PATRIMONIO Y CULTURA DE CARTAGENA DE INDIAS"/>
    <s v="17 INSTITUTO DE PATRIMONIO Y CULTURA DE CARTAGENA DE INDIAS"/>
    <n v="2020130010043"/>
    <s v="08. PILAR CARTAGENA INCLUYENTE"/>
    <s v="8.5 LÍNEA ESTRATÉGICA ARTES, CULTURA Y PATRIMONIO PARA UNA CARTAGENA INCLUYENTE"/>
    <s v="8.5.2 PROGRAMA: ESTIMULOS PARA LAS ARTES Y EL EMPRENDIMIENTO PARA UNA CARTAGENA INCLUYENTE"/>
    <s v="2,3,3301,1603,2020130010043"/>
    <s v="082"/>
    <s v="1,2,3,1,19-082 - ESTAMPILLAS PROCULTURA"/>
    <s v="INV"/>
    <s v="NO"/>
    <s v="FORTALECIMIENTO DE ESTIMULOS PARA LAS ARTES Y LA CULTURA EN EL DISTRITO DE  CARTAGENA DE INDIAS"/>
    <s v="2020130010043 FORTALECIMIENTO DE ESTIMULOS PARA LAS ARTES Y LA CULTURA EN EL DISTRITO DE  CARTAGENA DE INDIAS"/>
    <s v="06"/>
    <s v="00"/>
    <n v="80000000"/>
    <n v="0"/>
    <n v="80000000"/>
    <n v="0"/>
    <n v="80000000"/>
    <n v="0"/>
    <n v="0"/>
    <n v="0"/>
    <n v="0"/>
    <n v="80000000"/>
    <n v="0"/>
  </r>
  <r>
    <n v="2022"/>
    <n v="100"/>
    <x v="6"/>
    <s v="INSTITUTO DE PATRIMONIO Y CULTURA DE CARTAGENA DE INDIAS"/>
    <s v="17 INSTITUTO DE PATRIMONIO Y CULTURA DE CARTAGENA DE INDIAS"/>
    <n v="2020130010043"/>
    <s v="08. PILAR CARTAGENA INCLUYENTE"/>
    <s v="8.5 LÍNEA ESTRATÉGICA ARTES, CULTURA Y PATRIMONIO PARA UNA CARTAGENA INCLUYENTE"/>
    <s v="8.5.2 PROGRAMA: ESTIMULOS PARA LAS ARTES Y EL EMPRENDIMIENTO PARA UNA CARTAGENA INCLUYENTE"/>
    <s v="2,3,3301,1603,2020130010043"/>
    <s v="001"/>
    <s v="1,2,1,0,00-001 - ICLD"/>
    <s v="INV"/>
    <s v="NO"/>
    <s v="FORTALECIMIENTO DE ESTIMULOS PARA LAS ARTES Y LA CULTURA EN EL DISTRITO DE  CARTAGENA DE INDIAS"/>
    <s v="2020130010043 FORTALECIMIENTO DE ESTIMULOS PARA LAS ARTES Y LA CULTURA EN EL DISTRITO DE  CARTAGENA DE INDIAS"/>
    <s v="06"/>
    <s v="00"/>
    <n v="250000000"/>
    <n v="0"/>
    <n v="250000000"/>
    <n v="250000000"/>
    <n v="0"/>
    <n v="250000000"/>
    <n v="100"/>
    <n v="250000000"/>
    <n v="100"/>
    <n v="0"/>
    <n v="250000000"/>
  </r>
  <r>
    <n v="2022"/>
    <n v="100"/>
    <x v="6"/>
    <s v="INSTITUTO DE PATRIMONIO Y CULTURA DE CARTAGENA DE INDIAS"/>
    <s v="17 INSTITUTO DE PATRIMONIO Y CULTURA DE CARTAGENA DE INDIAS"/>
    <n v="2020130010045"/>
    <s v="08. PILAR CARTAGENA INCLUYENTE"/>
    <s v="8.5 LÍNEA ESTRATÉGICA ARTES, CULTURA Y PATRIMONIO PARA UNA CARTAGENA INCLUYENTE"/>
    <s v="8.5.2 PROGRAMA: ESTIMULOS PARA LAS ARTES Y EL EMPRENDIMIENTO PARA UNA CARTAGENA INCLUYENTE"/>
    <s v="2,3,3301,1603,2020130010045"/>
    <s v="057"/>
    <s v="1,2,4,3,02-057 - SGP CULTURA"/>
    <s v="INV"/>
    <s v="NO"/>
    <s v="FORMACION Y DIVULGACION PARA LAS ARTES Y EL EMPRENDIMIENTO EN EL DISTRITO DE  CARTAGENA DE INDIAS"/>
    <s v="2020130010045 FORMACION Y DIVULGACION PARA LAS ARTES Y EL EMPRENDIMIENTO EN EL DISTRITO DE  CARTAGENA DE INDIAS"/>
    <s v="06"/>
    <s v="00"/>
    <n v="267962307"/>
    <n v="0"/>
    <n v="267962307"/>
    <n v="156311346"/>
    <n v="111650961"/>
    <n v="156311346"/>
    <n v="58.33"/>
    <n v="156311346"/>
    <n v="58.33"/>
    <n v="111650961"/>
    <n v="156311346"/>
  </r>
  <r>
    <n v="2022"/>
    <n v="100"/>
    <x v="6"/>
    <s v="INSTITUTO DE PATRIMONIO Y CULTURA DE CARTAGENA DE INDIAS"/>
    <s v="17 INSTITUTO DE PATRIMONIO Y CULTURA DE CARTAGENA DE INDIAS"/>
    <n v="2020130010045"/>
    <s v="08. PILAR CARTAGENA INCLUYENTE"/>
    <s v="8.5 LÍNEA ESTRATÉGICA ARTES, CULTURA Y PATRIMONIO PARA UNA CARTAGENA INCLUYENTE"/>
    <s v="8.5.2 PROGRAMA: ESTIMULOS PARA LAS ARTES Y EL EMPRENDIMIENTO PARA UNA CARTAGENA INCLUYENTE"/>
    <s v="2,3,3301,1603,2020130010045"/>
    <s v="082"/>
    <s v="1,2,3,1,19-082 - ESTAMPILLAS PROCULTURA"/>
    <s v="INV"/>
    <s v="NO"/>
    <s v="FORMACION Y DIVULGACION PARA LAS ARTES Y EL EMPRENDIMIENTO EN EL DISTRITO DE  CARTAGENA DE INDIAS"/>
    <s v="2020130010045 FORMACION Y DIVULGACION PARA LAS ARTES Y EL EMPRENDIMIENTO EN EL DISTRITO DE  CARTAGENA DE INDIAS"/>
    <s v="06"/>
    <s v="00"/>
    <n v="80000000"/>
    <n v="0"/>
    <n v="80000000"/>
    <n v="0"/>
    <n v="80000000"/>
    <n v="0"/>
    <n v="0"/>
    <n v="0"/>
    <n v="0"/>
    <n v="80000000"/>
    <n v="0"/>
  </r>
  <r>
    <n v="2022"/>
    <n v="100"/>
    <x v="6"/>
    <s v="INSTITUTO DE PATRIMONIO Y CULTURA DE CARTAGENA DE INDIAS"/>
    <s v="17 INSTITUTO DE PATRIMONIO Y CULTURA DE CARTAGENA DE INDIAS"/>
    <n v="2020130010045"/>
    <s v="08. PILAR CARTAGENA INCLUYENTE"/>
    <s v="8.5 LÍNEA ESTRATÉGICA ARTES, CULTURA Y PATRIMONIO PARA UNA CARTAGENA INCLUYENTE"/>
    <s v="8.5.2 PROGRAMA: ESTIMULOS PARA LAS ARTES Y EL EMPRENDIMIENTO PARA UNA CARTAGENA INCLUYENTE"/>
    <s v="2,3,3301,1603,2020130010045"/>
    <s v="083"/>
    <s v="1,2,2,0,00-083 - ICDE IPCC 20% DELINEACION URBANA"/>
    <s v="INV"/>
    <s v="NO"/>
    <s v="FORMACION Y DIVULGACION PARA LAS ARTES Y EL EMPRENDIMIENTO EN EL DISTRITO DE  CARTAGENA DE INDIAS"/>
    <s v="2020130010045 FORMACION Y DIVULGACION PARA LAS ARTES Y EL EMPRENDIMIENTO EN EL DISTRITO DE  CARTAGENA DE INDIAS"/>
    <s v="06"/>
    <s v="00"/>
    <n v="49869037"/>
    <n v="0"/>
    <n v="49869037"/>
    <n v="49869037"/>
    <n v="0"/>
    <n v="49869037"/>
    <n v="100"/>
    <n v="43650368"/>
    <n v="87.53"/>
    <n v="0"/>
    <n v="33826168"/>
  </r>
  <r>
    <n v="2022"/>
    <n v="100"/>
    <x v="6"/>
    <s v="INSTITUTO DE PATRIMONIO Y CULTURA DE CARTAGENA DE INDIAS"/>
    <s v="17 INSTITUTO DE PATRIMONIO Y CULTURA DE CARTAGENA DE INDIAS"/>
    <n v="2020130010045"/>
    <s v="08. PILAR CARTAGENA INCLUYENTE"/>
    <s v="8.5 LÍNEA ESTRATÉGICA ARTES, CULTURA Y PATRIMONIO PARA UNA CARTAGENA INCLUYENTE"/>
    <s v="8.5.2 PROGRAMA: ESTIMULOS PARA LAS ARTES Y EL EMPRENDIMIENTO PARA UNA CARTAGENA INCLUYENTE"/>
    <s v="2,3,3301,1603,2020130010045"/>
    <s v="001"/>
    <s v="1,2,1,0,00-001 - ICLD"/>
    <s v="INV"/>
    <s v="NO"/>
    <s v="FORMACION Y DIVULGACION PARA LAS ARTES Y EL EMPRENDIMIENTO EN EL DISTRITO DE  CARTAGENA DE INDIAS"/>
    <s v="2020130010045 FORMACION Y DIVULGACION PARA LAS ARTES Y EL EMPRENDIMIENTO EN EL DISTRITO DE  CARTAGENA DE INDIAS"/>
    <s v="06"/>
    <s v="00"/>
    <n v="100000000"/>
    <n v="0"/>
    <n v="100000000"/>
    <n v="100000000"/>
    <n v="0"/>
    <n v="100000000"/>
    <n v="100"/>
    <n v="100000000"/>
    <n v="100"/>
    <n v="0"/>
    <n v="100000000"/>
  </r>
  <r>
    <n v="2022"/>
    <n v="100"/>
    <x v="6"/>
    <s v="INSTITUTO DE PATRIMONIO Y CULTURA DE CARTAGENA DE INDIAS"/>
    <s v="17 INSTITUTO DE PATRIMONIO Y CULTURA DE CARTAGENA DE INDIAS"/>
    <n v="2020130010045"/>
    <s v="08. PILAR CARTAGENA INCLUYENTE"/>
    <s v="8.5 LÍNEA ESTRATÉGICA ARTES, CULTURA Y PATRIMONIO PARA UNA CARTAGENA INCLUYENTE"/>
    <s v="8.5.2 PROGRAMA: ESTIMULOS PARA LAS ARTES Y EL EMPRENDIMIENTO PARA UNA CARTAGENA INCLUYENTE"/>
    <s v="2,3,3301,1603,2020130010045"/>
    <s v="920"/>
    <s v="1,3,3,8,02-93-123 R,B, SGP CULTURA"/>
    <s v="INV"/>
    <s v="NO"/>
    <s v="FORMACION Y DIVULGACION PARA LAS ARTES Y EL EMPRENDIMIENTO EN EL DISTRITO DE CARTAGENA DE INDIAS"/>
    <s v="2020130010045 FORMACION Y DIVULGACION PARA LAS ARTES Y EL EMPRENDIMIENTO EN EL DISTRITO DE CARTAGENA DE INDIAS"/>
    <s v="06"/>
    <s v="00"/>
    <n v="0"/>
    <n v="7233092.7300000004"/>
    <n v="7233092.7300000004"/>
    <n v="7233092.7300000004"/>
    <n v="0"/>
    <n v="7233092.7300000004"/>
    <n v="100"/>
    <n v="0"/>
    <n v="0"/>
    <n v="0"/>
    <n v="0"/>
  </r>
  <r>
    <n v="2022"/>
    <n v="100"/>
    <x v="7"/>
    <s v="SECRETARIA DE EDUCACION"/>
    <s v="07 SECRETARIA DE EDUCACION"/>
    <n v="2020130010052"/>
    <s v="08. PILAR CARTAGENA INCLUYENTE"/>
    <s v="8.2 LÍNEA ESTRATEGICA DE EDUCACION: CULTURA DE LA FORMACION &quot;CON LA EDUCACION PARA TODOS Y TODAS SALVAMOS JUNTOS A CARTAGENA&quot;"/>
    <s v="8.2.1 PROGRAMA: ACOGIDA “ATENCIÓN A POBLACIONES Y ESTRATEGIAS DE ACCESO Y PERMANENCIA”"/>
    <s v="2,3,2299,0700,2020130010052"/>
    <s v="908"/>
    <s v="1,3,3,6,01-95-071 R,B, SGP-EDUCACION-PRESTACION DE SERVICIOS"/>
    <s v="INV"/>
    <s v="NO"/>
    <s v="ADMINISTRACION DEL TALENTO HUMANO DEL SERVICIO EDUCATIVO OFICIAL DOCENTES, DIRECTIVOS DOCENTES Y ADMINISTRATIVOS DEL DISTRITO DE CARTAGENA DE INDIAS"/>
    <s v="2020130010052 ADMINISTRACION DEL TALENTO HUMANO DEL SERVICIO EDUCATIVO OFICIAL DOCENTES, DIRECTIVOS DOCENTES Y ADMINISTRATIVOS DEL DISTRITO DE CARTAGENA DE INDIAS"/>
    <s v="06"/>
    <s v="00"/>
    <n v="0"/>
    <n v="5044707837.1999998"/>
    <n v="5044707837.1999998"/>
    <n v="5044707837"/>
    <n v="0.2"/>
    <n v="5044707837"/>
    <n v="100"/>
    <n v="5044707837"/>
    <n v="100"/>
    <n v="0.2"/>
    <n v="5044707837"/>
  </r>
  <r>
    <n v="2022"/>
    <n v="100"/>
    <x v="7"/>
    <s v="SECRETARIA DE EDUCACION"/>
    <s v="07 SECRETARIA DE EDUCACION"/>
    <n v="2020130010052"/>
    <s v="08. PILAR CARTAGENA INCLUYENTE"/>
    <s v="8.2 LÍNEA ESTRATEGICA DE EDUCACION: CULTURA DE LA FORMACION &quot;CON LA EDUCACION PARA TODOS Y TODAS SALVAMOS JUNTOS A CARTAGENA&quot;"/>
    <s v="8.2.1 PROGRAMA: ACOGIDA “ATENCIÓN A POBLACIONES Y ESTRATEGIAS DE ACCESO Y PERMANENCIA”"/>
    <s v="2,3,2299,0700,2020130010052"/>
    <s v="899"/>
    <s v="1,3,3,6,01-93-071 R,B, SGP-EDUCACION-PRESTACION DE SERVICIOS"/>
    <s v="INV"/>
    <s v="NO"/>
    <s v="ADMINISTRACION DEL TALENTO HUMANO DEL SERVICIO EDUCATIVO OFICIAL DOCENTES, DIRECTIVOS DOCENTES Y ADMINISTRATIVOS DEL DISTRITO DE CARTAGENA DE INDIAS"/>
    <s v="2020130010052 ADMINISTRACION DEL TALENTO HUMANO DEL SERVICIO EDUCATIVO OFICIAL DOCENTES, DIRECTIVOS DOCENTES Y ADMINISTRATIVOS DEL DISTRITO DE CARTAGENA DE INDIAS"/>
    <s v="06"/>
    <s v="00"/>
    <n v="0"/>
    <n v="535919337.60000002"/>
    <n v="535919337.60000002"/>
    <n v="535919337"/>
    <n v="0.6"/>
    <n v="535919337"/>
    <n v="100"/>
    <n v="535919337"/>
    <n v="100"/>
    <n v="0.6"/>
    <n v="535919337"/>
  </r>
  <r>
    <n v="2022"/>
    <n v="100"/>
    <x v="7"/>
    <s v="SECRETARIA DE EDUCACION"/>
    <s v="07 SECRETARIA DE EDUCACION"/>
    <n v="2020130010052"/>
    <s v="08. PILAR CARTAGENA INCLUYENTE"/>
    <s v="8.2 LÍNEA ESTRATEGICA DE EDUCACION: CULTURA DE LA FORMACION &quot;CON LA EDUCACION PARA TODOS Y TODAS SALVAMOS JUNTOS A CARTAGENA&quot;"/>
    <s v="8.2.1 PROGRAMA: ACOGIDA “ATENCIÓN A POBLACIONES Y ESTRATEGIAS DE ACCESO Y PERMANENCIA”"/>
    <s v="2,3,2299,0700,2020130010052"/>
    <s v="071"/>
    <s v="1,2,4,1,01-071 - SGP PRESTACION EDUCATIVO"/>
    <s v="INV"/>
    <s v="NO"/>
    <s v="ADMINISTRACION DEL TALENTO HUMANO DEL SERVICIO EDUCATIVO OFICIAL DOCENTES, DIRECTIVOS DOCENTES Y ADMINISTRATIVOS DEL DISTRITO DE   CARTAGENA DE INDIAS"/>
    <s v="2020130010052 ADMINISTRACION DEL TALENTO HUMANO DEL SERVICIO EDUCATIVO OFICIAL DOCENTES, DIRECTIVOS DOCENTES Y ADMINISTRATIVOS DEL DISTRITO DE   CARTAGENA DE INDIAS"/>
    <s v="06"/>
    <s v="00"/>
    <n v="410028127428"/>
    <n v="3317129202.1999998"/>
    <n v="413345256630.20001"/>
    <n v="413345256630"/>
    <n v="0.2"/>
    <n v="413345256630"/>
    <n v="100"/>
    <n v="413310439973"/>
    <n v="99.99"/>
    <n v="0.2"/>
    <n v="404333972648"/>
  </r>
  <r>
    <n v="2022"/>
    <n v="100"/>
    <x v="7"/>
    <s v="SECRETARIA DE EDUCACION"/>
    <s v="07 SECRETARIA DE EDUCACION"/>
    <n v="2020130010052"/>
    <s v="08. PILAR CARTAGENA INCLUYENTE"/>
    <s v="8.2 LÍNEA ESTRATEGICA DE EDUCACION: CULTURA DE LA FORMACION &quot;CON LA EDUCACION PARA TODOS Y TODAS SALVAMOS JUNTOS A CARTAGENA&quot;"/>
    <s v="8.2.1 PROGRAMA: ACOGIDA “ATENCIÓN A POBLACIONES Y ESTRATEGIAS DE ACCESO Y PERMANENCIA”"/>
    <s v="2,3,2299,0700,2020130010052"/>
    <s v="001"/>
    <s v="1,2,1,0,00-001 - ICLD"/>
    <s v="INV"/>
    <s v="NO"/>
    <s v="ADMINISTRACION DEL TALENTO HUMANO DEL SERVICIO EDUCATIVO OFICIAL DOCENTES, DIRECTIVOS DOCENTES Y ADMINISTRATIVOS DEL DISTRITO DE   CARTAGENA DE INDIAS"/>
    <s v="2020130010052 ADMINISTRACION DEL TALENTO HUMANO DEL SERVICIO EDUCATIVO OFICIAL DOCENTES, DIRECTIVOS DOCENTES Y ADMINISTRATIVOS DEL DISTRITO DE   CARTAGENA DE INDIAS"/>
    <s v="06"/>
    <s v="00"/>
    <n v="166759652"/>
    <n v="4476226479"/>
    <n v="4642986131"/>
    <n v="4642986131"/>
    <n v="0"/>
    <n v="4642986131"/>
    <n v="100"/>
    <n v="4575426073"/>
    <n v="98.54"/>
    <n v="0"/>
    <n v="4035007885"/>
  </r>
  <r>
    <n v="2022"/>
    <n v="100"/>
    <x v="5"/>
    <s v="INSTITUTO DE DEPORTE Y RECREACION"/>
    <s v="15 INSTITUTO DE DEPORTE Y RECREACION"/>
    <n v="2020130010053"/>
    <s v="08. PILAR CARTAGENA INCLUYENTE"/>
    <s v="8.4 LÍNEA ESTRATÉGICA DEPORTE Y RECREACIÓN PARA LA TRANSFORMACION SOCIAL "/>
    <s v="8.4.1 “LA ESCUELA Y EL DEPORTE SON DE TODOS” "/>
    <s v="2,3,4301,1604,2020130010053"/>
    <s v="853"/>
    <s v="1,3,3,3,19-95-025 R,B, TASA PRODEPORTE Y RECREACION"/>
    <s v="INV"/>
    <s v="NO"/>
    <s v="DESARROLLO DE LA ESCUELA DE INICIACION Y FORMACION DEPORTIVA - EIFD EN EL DISTRITO DE CARTAGENA DE INDIAS"/>
    <s v="2020130010053 DESARROLLO DE LA ESCUELA DE INICIACION Y FORMACION DEPORTIVA - EIFD EN EL DISTRITO DE CARTAGENA DE INDIAS"/>
    <s v="06"/>
    <s v="00"/>
    <n v="0"/>
    <n v="5084182.32"/>
    <n v="5084182.32"/>
    <n v="0"/>
    <n v="5084182.32"/>
    <n v="0"/>
    <n v="0"/>
    <n v="0"/>
    <n v="0"/>
    <n v="5084182.32"/>
    <n v="0"/>
  </r>
  <r>
    <n v="2022"/>
    <n v="100"/>
    <x v="5"/>
    <s v="INSTITUTO DE DEPORTE Y RECREACION"/>
    <s v="15 INSTITUTO DE DEPORTE Y RECREACION"/>
    <n v="2020130010053"/>
    <s v="08. PILAR CARTAGENA INCLUYENTE"/>
    <s v="8.4 LÍNEA ESTRATÉGICA DEPORTE Y RECREACIÓN PARA LA TRANSFORMACION SOCIAL "/>
    <s v="8.4.1 “LA ESCUELA Y EL DEPORTE SON DE TODOS” "/>
    <s v="2,3,4301,1604,2020130010053"/>
    <s v="918"/>
    <s v="1,3,3,8,01-95-059 - R,B, SGP DEPORTE"/>
    <s v="INV"/>
    <s v="NO"/>
    <s v="DESARROLLO DE LA ESCUELA DE INICIACION Y FORMACION DEPORTIVA - EIFD EN EL DISTRITO DE  CARTAGENA DE INDIAS"/>
    <s v="2020130010053 DESARROLLO DE LA ESCUELA DE INICIACION Y FORMACION DEPORTIVA - EIFD EN EL DISTRITO DE  CARTAGENA DE INDIAS"/>
    <s v="06"/>
    <s v="00"/>
    <n v="0"/>
    <n v="2305765.9"/>
    <n v="2305765.9"/>
    <n v="0"/>
    <n v="2305765.9"/>
    <n v="0"/>
    <n v="0"/>
    <n v="0"/>
    <n v="0"/>
    <n v="2305765.9"/>
    <n v="0"/>
  </r>
  <r>
    <n v="2022"/>
    <n v="100"/>
    <x v="5"/>
    <s v="INSTITUTO DE DEPORTE Y RECREACION"/>
    <s v="15 INSTITUTO DE DEPORTE Y RECREACION"/>
    <n v="2020130010053"/>
    <s v="08. PILAR CARTAGENA INCLUYENTE"/>
    <s v="8.4 LÍNEA ESTRATÉGICA DEPORTE Y RECREACIÓN PARA LA TRANSFORMACION SOCIAL "/>
    <s v="8.4.1 “LA ESCUELA Y EL DEPORTE SON DE TODOS” "/>
    <s v="2,3,4301,1604,2020130010053"/>
    <s v="933"/>
    <s v="1,3,1,1,02-03 -EXCEDENTES FINANCIEROS IDER"/>
    <s v="INV"/>
    <s v="NO"/>
    <s v="DESARROLLO DE LA ESCUELA DE INICIACION Y FORMACION DEPORTIVA EIFD EN EL DISTRITO DE CARTAGENA DE INDIAS"/>
    <s v="2020130010053 DESARROLLO DE LA ESCUELA DE INICIACION Y FORMACION DEPORTIVA EIFD EN EL DISTRITO DE CARTAGENA DE INDIAS"/>
    <s v="06"/>
    <s v="00"/>
    <n v="0"/>
    <n v="199826079.22999999"/>
    <n v="199826079.22999999"/>
    <n v="92772606"/>
    <n v="107053473.23"/>
    <n v="92772606"/>
    <n v="46.43"/>
    <n v="0"/>
    <n v="0"/>
    <n v="107053473.23"/>
    <n v="0"/>
  </r>
  <r>
    <n v="2022"/>
    <n v="100"/>
    <x v="5"/>
    <s v="INSTITUTO DE DEPORTE Y RECREACION"/>
    <s v="15 INSTITUTO DE DEPORTE Y RECREACION"/>
    <n v="2020130010053"/>
    <s v="08. PILAR CARTAGENA INCLUYENTE"/>
    <s v="8.4 LÍNEA ESTRATÉGICA DEPORTE Y RECREACIÓN PARA LA TRANSFORMACION SOCIAL "/>
    <s v="8.4.1 “LA ESCUELA Y EL DEPORTE SON DE TODOS” "/>
    <s v="2,3,4301,1604,2020130010053"/>
    <s v="059"/>
    <s v="1,2,4,3,01-059 - SGP DEPORTE"/>
    <s v="INV"/>
    <s v="NO"/>
    <s v="DESARROLLO DE LA ESCUELA DE INICIACION Y FORMACION DEPORTIVA - EIFD EN EL DISTRITO DE  CARTAGENA DE INDIAS"/>
    <s v="2020130010053 DESARROLLO DE LA ESCUELA DE INICIACION Y FORMACION DEPORTIVA - EIFD EN EL DISTRITO DE  CARTAGENA DE INDIAS"/>
    <s v="06"/>
    <s v="00"/>
    <n v="306636856"/>
    <n v="0"/>
    <n v="306636856"/>
    <n v="305484750"/>
    <n v="1152106"/>
    <n v="305484750"/>
    <n v="99.62"/>
    <n v="305484750"/>
    <n v="99.62"/>
    <n v="1152106"/>
    <n v="275441318"/>
  </r>
  <r>
    <n v="2022"/>
    <n v="100"/>
    <x v="5"/>
    <s v="INSTITUTO DE DEPORTE Y RECREACION"/>
    <s v="15 INSTITUTO DE DEPORTE Y RECREACION"/>
    <n v="2020130010053"/>
    <s v="08. PILAR CARTAGENA INCLUYENTE"/>
    <s v="8.4 LÍNEA ESTRATÉGICA DEPORTE Y RECREACIÓN PARA LA TRANSFORMACION SOCIAL "/>
    <s v="8.4.1 “LA ESCUELA Y EL DEPORTE SON DE TODOS” "/>
    <s v="2,3,4301,1604,2020130010053"/>
    <s v="097"/>
    <s v="1,2,2,0,00-097 - ICDE IDER 3% ICA"/>
    <s v="INV"/>
    <s v="NO"/>
    <s v="DESARROLLO DE LA ESCUELA DE INICIACION Y FORMACION DEPORTIVA - EIFD EN EL DISTRITO DE  CARTAGENA DE INDIAS"/>
    <s v="2020130010053 DESARROLLO DE LA ESCUELA DE INICIACION Y FORMACION DEPORTIVA - EIFD EN EL DISTRITO DE  CARTAGENA DE INDIAS"/>
    <s v="06"/>
    <s v="00"/>
    <n v="762973719"/>
    <n v="0"/>
    <n v="762973719"/>
    <n v="748396750"/>
    <n v="14576969"/>
    <n v="748396750"/>
    <n v="98.09"/>
    <n v="748396750"/>
    <n v="98.09"/>
    <n v="14576969"/>
    <n v="730360750"/>
  </r>
  <r>
    <n v="2022"/>
    <n v="100"/>
    <x v="5"/>
    <s v="INSTITUTO DE DEPORTE Y RECREACION"/>
    <s v="15 INSTITUTO DE DEPORTE Y RECREACION"/>
    <n v="2020130010053"/>
    <s v="08. PILAR CARTAGENA INCLUYENTE"/>
    <s v="8.4 LÍNEA ESTRATÉGICA DEPORTE Y RECREACIÓN PARA LA TRANSFORMACION SOCIAL "/>
    <s v="8.4.1 “LA ESCUELA Y EL DEPORTE SON DE TODOS” "/>
    <s v="2,3,4301,1604,2020130010053"/>
    <s v="025"/>
    <s v="1,2,3,2,05-025 - OTRAS TASAS Y DERECHOS ADMINISTRATIVOS TASA PRODEPORTE"/>
    <s v="INV"/>
    <s v="NO"/>
    <s v="DESARROLLO DE LA ESCUELA DE INICIACION Y FORMACION DEPORTIVA - EIFD EN EL DISTRITO DE  CARTAGENA DE INDIAS"/>
    <s v="2020130010053 DESARROLLO DE LA ESCUELA DE INICIACION Y FORMACION DEPORTIVA - EIFD EN EL DISTRITO DE  CARTAGENA DE INDIAS"/>
    <s v="06"/>
    <s v="00"/>
    <n v="1133333333"/>
    <n v="0"/>
    <n v="1133333333"/>
    <n v="1133333333"/>
    <n v="0"/>
    <n v="1133333333"/>
    <n v="100"/>
    <n v="1133333333"/>
    <n v="100"/>
    <n v="0"/>
    <n v="905365650"/>
  </r>
  <r>
    <n v="2022"/>
    <n v="100"/>
    <x v="5"/>
    <s v="INSTITUTO DE DEPORTE Y RECREACION"/>
    <s v="15 INSTITUTO DE DEPORTE Y RECREACION"/>
    <n v="2020130010055"/>
    <s v="08. PILAR CARTAGENA INCLUYENTE"/>
    <s v="8.4 LÍNEA ESTRATÉGICA DEPORTE Y RECREACIÓN PARA LA TRANSFORMACION SOCIAL "/>
    <s v="8.4.4 HABITOS Y ESTILO DE VIDA SALUDABLE"/>
    <s v="2,3,4301,1604,2020130010055"/>
    <s v="918"/>
    <s v="1,3,3,8,01-95-059 - R,B, SGP DEPORTE"/>
    <s v="INV"/>
    <s v="NO"/>
    <s v="MEJORAMIENTO DE LOS ESTILOS DE VIDA MEDIANTE LA PROMOCION MASIVA DE UNA VIDA ACTIVA DE LA CIUDADANIA EN EL DISTRITO DE  CARTAGENA DE INDIAS"/>
    <s v="2020130010055 MEJORAMIENTO DE LOS ESTILOS DE VIDA MEDIANTE LA PROMOCION MASIVA DE UNA VIDA ACTIVA DE LA CIUDADANIA EN EL DISTRITO DE  CARTAGENA DE INDIAS"/>
    <s v="06"/>
    <s v="00"/>
    <n v="0"/>
    <n v="66473578"/>
    <n v="66473578"/>
    <n v="0"/>
    <n v="66473578"/>
    <n v="0"/>
    <n v="0"/>
    <n v="0"/>
    <n v="0"/>
    <n v="66473578"/>
    <n v="0"/>
  </r>
  <r>
    <n v="2022"/>
    <n v="100"/>
    <x v="5"/>
    <s v="INSTITUTO DE DEPORTE Y RECREACION"/>
    <s v="15 INSTITUTO DE DEPORTE Y RECREACION"/>
    <n v="2020130010055"/>
    <s v="08. PILAR CARTAGENA INCLUYENTE"/>
    <s v="8.4 LÍNEA ESTRATÉGICA DEPORTE Y RECREACIÓN PARA LA TRANSFORMACION SOCIAL "/>
    <s v="8.4.4 HABITOS Y ESTILO DE VIDA SALUDABLE"/>
    <s v="2,3,4301,1604,2020130010055"/>
    <s v="933"/>
    <s v="1,3,1,1,02-03 -EXCEDENTES FINANCIEROS IDER"/>
    <s v="INV"/>
    <s v="NO"/>
    <s v="MEJORAMIENTO DE LOS ESTILOS DE VIDA MEDIANTE LA PROMOCION MASIVA DE UNA VIDA ACTIVA DE LA CIUDADANIA EN EL DISTRITO DE CARTAGENA DE INDIAS - DEFICIT"/>
    <s v="2020130010055 MEJORAMIENTO DE LOS ESTILOS DE VIDA MEDIANTE LA PROMOCION MASIVA DE UNA VIDA ACTIVA DE LA CIUDADANIA EN EL DISTRITO DE CARTAGENA DE INDIAS - DEFICIT"/>
    <s v="06"/>
    <s v="00"/>
    <n v="0"/>
    <n v="2828000"/>
    <n v="2828000"/>
    <n v="0"/>
    <n v="2828000"/>
    <n v="0"/>
    <n v="0"/>
    <n v="0"/>
    <n v="0"/>
    <n v="2828000"/>
    <n v="0"/>
  </r>
  <r>
    <n v="2022"/>
    <n v="100"/>
    <x v="5"/>
    <s v="INSTITUTO DE DEPORTE Y RECREACION"/>
    <s v="15 INSTITUTO DE DEPORTE Y RECREACION"/>
    <n v="2020130010055"/>
    <s v="08. PILAR CARTAGENA INCLUYENTE"/>
    <s v="8.4 LÍNEA ESTRATÉGICA DEPORTE Y RECREACIÓN PARA LA TRANSFORMACION SOCIAL "/>
    <s v="8.4.4 HABITOS Y ESTILO DE VIDA SALUDABLE"/>
    <s v="2,3,4301,1604,2020130010055"/>
    <s v="059"/>
    <s v="1,2,4,3,01-059 - SGP DEPORTE"/>
    <s v="INV"/>
    <s v="NO"/>
    <s v="MEJORAMIENTO DE LOS ESTILOS DE VIDA MEDIANTE LA PROMOCION MASIVA DE UNA VIDA ACTIVA DE LA CIUDADANIA EN EL DISTRITO DE  CARTAGENA DE INDIAS"/>
    <s v="2020130010055 MEJORAMIENTO DE LOS ESTILOS DE VIDA MEDIANTE LA PROMOCION MASIVA DE UNA VIDA ACTIVA DE LA CIUDADANIA EN EL DISTRITO DE  CARTAGENA DE INDIAS"/>
    <s v="06"/>
    <s v="00"/>
    <n v="306636853"/>
    <n v="0"/>
    <n v="306636853"/>
    <n v="143385280"/>
    <n v="163251573"/>
    <n v="143385280"/>
    <n v="46.76"/>
    <n v="143385280"/>
    <n v="46.76"/>
    <n v="163251573"/>
    <n v="143385280"/>
  </r>
  <r>
    <n v="2022"/>
    <n v="100"/>
    <x v="5"/>
    <s v="INSTITUTO DE DEPORTE Y RECREACION"/>
    <s v="15 INSTITUTO DE DEPORTE Y RECREACION"/>
    <n v="2020130010055"/>
    <s v="08. PILAR CARTAGENA INCLUYENTE"/>
    <s v="8.4 LÍNEA ESTRATÉGICA DEPORTE Y RECREACIÓN PARA LA TRANSFORMACION SOCIAL "/>
    <s v="8.4.4 HABITOS Y ESTILO DE VIDA SALUDABLE"/>
    <s v="2,3,4301,1604,2020130010055"/>
    <s v="097"/>
    <s v="1,2,2,0,00-097 - ICDE IDER 3% ICA"/>
    <s v="INV"/>
    <s v="NO"/>
    <s v="MEJORAMIENTO DE LOS ESTILOS DE VIDA MEDIANTE LA PROMOCION MASIVA DE UNA VIDA ACTIVA DE LA CIUDADANIA EN EL DISTRITO DE  CARTAGENA DE INDIAS"/>
    <s v="2020130010055 MEJORAMIENTO DE LOS ESTILOS DE VIDA MEDIANTE LA PROMOCION MASIVA DE UNA VIDA ACTIVA DE LA CIUDADANIA EN EL DISTRITO DE  CARTAGENA DE INDIAS"/>
    <s v="06"/>
    <s v="00"/>
    <n v="1405363114"/>
    <n v="0"/>
    <n v="1405363114"/>
    <n v="1395159400"/>
    <n v="10203714"/>
    <n v="1395159400"/>
    <n v="99.27"/>
    <n v="1380159400"/>
    <n v="98.21"/>
    <n v="10203714"/>
    <n v="1325159400"/>
  </r>
  <r>
    <n v="2022"/>
    <n v="100"/>
    <x v="5"/>
    <s v="INSTITUTO DE DEPORTE Y RECREACION"/>
    <s v="15 INSTITUTO DE DEPORTE Y RECREACION"/>
    <n v="2020130010055"/>
    <s v="08. PILAR CARTAGENA INCLUYENTE"/>
    <s v="8.4 LÍNEA ESTRATÉGICA DEPORTE Y RECREACIÓN PARA LA TRANSFORMACION SOCIAL "/>
    <s v="8.4.4 HABITOS Y ESTILO DE VIDA SALUDABLE"/>
    <s v="2,3,4301,1604,2020130010055"/>
    <s v="025"/>
    <s v="1,2,3,2,05-025 - OTRAS TASAS Y DERECHOS ADMINISTRATIVOS TASA PRODEPORTE"/>
    <s v="INV"/>
    <s v="NO"/>
    <s v="MEJORAMIENTO DE LOS ESTILOS DE VIDA MEDIANTE LA PROMOCION MASIVA DE UNA VIDA ACTIVA DE LA CIUDADANIA EN EL DISTRITO DE  CARTAGENA DE INDIAS"/>
    <s v="2020130010055 MEJORAMIENTO DE LOS ESTILOS DE VIDA MEDIANTE LA PROMOCION MASIVA DE UNA VIDA ACTIVA DE LA CIUDADANIA EN EL DISTRITO DE  CARTAGENA DE INDIAS"/>
    <s v="06"/>
    <s v="00"/>
    <n v="866666665"/>
    <n v="0"/>
    <n v="866666665"/>
    <n v="858666664.84000003"/>
    <n v="8000000.1600000001"/>
    <n v="858666664.84000003"/>
    <n v="99.08"/>
    <n v="858666664.84000003"/>
    <n v="99.08"/>
    <n v="8000000.1600000001"/>
    <n v="858666664.84000003"/>
  </r>
  <r>
    <n v="2022"/>
    <n v="100"/>
    <x v="7"/>
    <s v="SECRETARIA DE EDUCACION"/>
    <s v="07 SECRETARIA DE EDUCACION"/>
    <n v="2020130010057"/>
    <s v="08. PILAR CARTAGENA INCLUYENTE"/>
    <s v="8.2 LÍNEA ESTRATEGICA DE EDUCACION: CULTURA DE LA FORMACION &quot;CON LA EDUCACION PARA TODOS Y TODAS SALVAMOS JUNTOS A CARTAGENA&quot;"/>
    <s v="8.2.1 PROGRAMA: ACOGIDA “ATENCIÓN A POBLACIONES Y ESTRATEGIAS DE ACCESO Y PERMANENCIA”"/>
    <s v="2,3,2201,0700,2020130010057"/>
    <s v="909"/>
    <s v="1,3,3,6,03-93-171 R,B, SGP-EDUCACION-CALIDAD  POR MATRICULA OFICIAL"/>
    <s v="INV"/>
    <s v="NO"/>
    <s v="OPTIMIZACION DE LA OPERACION DE LAS INSTITUCIONES EDUCATIVAS OFICIALES DEL DISTRITO DE   CARTAGENA DE INDIAS"/>
    <s v="2020130010057 OPTIMIZACION DE LA OPERACION DE LAS INSTITUCIONES EDUCATIVAS OFICIALES DEL DISTRITO DE   CARTAGENA DE INDIAS"/>
    <s v="06"/>
    <s v="00"/>
    <n v="0"/>
    <n v="216871833.86000001"/>
    <n v="216871833.86000001"/>
    <n v="216871833"/>
    <n v="0.86"/>
    <n v="216871833"/>
    <n v="100"/>
    <n v="216871833"/>
    <n v="100"/>
    <n v="0.86"/>
    <n v="216871833"/>
  </r>
  <r>
    <n v="2022"/>
    <n v="100"/>
    <x v="7"/>
    <s v="SECRETARIA DE EDUCACION"/>
    <s v="07 SECRETARIA DE EDUCACION"/>
    <n v="2020130010057"/>
    <s v="08. PILAR CARTAGENA INCLUYENTE"/>
    <s v="8.2 LÍNEA ESTRATEGICA DE EDUCACION: CULTURA DE LA FORMACION &quot;CON LA EDUCACION PARA TODOS Y TODAS SALVAMOS JUNTOS A CARTAGENA&quot;"/>
    <s v="8.2.1 PROGRAMA: ACOGIDA “ATENCIÓN A POBLACIONES Y ESTRATEGIAS DE ACCESO Y PERMANENCIA”"/>
    <s v="2,3,2201,0700,2020130010057"/>
    <s v="910"/>
    <s v="1,3,3,6,03-95-081 R,B, SGP-EDUCACION-CALIDAD  POR MATRICULA OFICIAL RENDIMIENTOS FINANCIEROS SGP EDUCACION"/>
    <s v="INV"/>
    <s v="NO"/>
    <s v="OPTIMIZACION DE LA OPERACION DE LAS INSTITUCIONES EDUCATIVAS OFICIALES DEL DISTRITO DE   CARTAGENA DE INDIAS"/>
    <s v="2020130010057 OPTIMIZACION DE LA OPERACION DE LAS INSTITUCIONES EDUCATIVAS OFICIALES DEL DISTRITO DE   CARTAGENA DE INDIAS"/>
    <s v="06"/>
    <s v="00"/>
    <n v="0"/>
    <n v="34451023"/>
    <n v="34451023"/>
    <n v="34451023"/>
    <n v="0"/>
    <n v="34451023"/>
    <n v="100"/>
    <n v="34451023"/>
    <n v="100"/>
    <n v="0"/>
    <n v="34451023"/>
  </r>
  <r>
    <n v="2022"/>
    <n v="100"/>
    <x v="7"/>
    <s v="SECRETARIA DE EDUCACION"/>
    <s v="07 SECRETARIA DE EDUCACION"/>
    <n v="2020130010057"/>
    <s v="08. PILAR CARTAGENA INCLUYENTE"/>
    <s v="8.2 LÍNEA ESTRATEGICA DE EDUCACION: CULTURA DE LA FORMACION &quot;CON LA EDUCACION PARA TODOS Y TODAS SALVAMOS JUNTOS A CARTAGENA&quot;"/>
    <s v="8.2.1 PROGRAMA: ACOGIDA “ATENCIÓN A POBLACIONES Y ESTRATEGIAS DE ACCESO Y PERMANENCIA”"/>
    <s v="2,3,2201,0700,2020130010057"/>
    <s v="824"/>
    <s v="1,3,3,11,07-93-159 RF FONDO DE MITIGACION  DE EMERGENCIA -FOME"/>
    <s v="INV"/>
    <s v="NO"/>
    <s v="OPTIMIZACION DE LA OPERACION DE LAS INSTITUCIONES EDUCATIVAS OFICIALES DEL DISTRITO DE   CARTAGENA DE INDIAS"/>
    <s v="2020130010057 OPTIMIZACION DE LA OPERACION DE LAS INSTITUCIONES EDUCATIVAS OFICIALES DEL DISTRITO DE   CARTAGENA DE INDIAS"/>
    <s v="06"/>
    <s v="00"/>
    <n v="0"/>
    <n v="66284234.740000002"/>
    <n v="66284234.740000002"/>
    <n v="66284234.740000002"/>
    <n v="0"/>
    <n v="66284234.740000002"/>
    <n v="100"/>
    <n v="66284234.740000002"/>
    <n v="100"/>
    <n v="0"/>
    <n v="66284234.740000002"/>
  </r>
  <r>
    <n v="2022"/>
    <n v="100"/>
    <x v="7"/>
    <s v="SECRETARIA DE EDUCACION"/>
    <s v="07 SECRETARIA DE EDUCACION"/>
    <n v="2020130010057"/>
    <s v="08. PILAR CARTAGENA INCLUYENTE"/>
    <s v="8.2 LÍNEA ESTRATEGICA DE EDUCACION: CULTURA DE LA FORMACION &quot;CON LA EDUCACION PARA TODOS Y TODAS SALVAMOS JUNTOS A CARTAGENA&quot;"/>
    <s v="8.2.1 PROGRAMA: ACOGIDA “ATENCIÓN A POBLACIONES Y ESTRATEGIAS DE ACCESO Y PERMANENCIA”"/>
    <s v="2,3,2201,0700,2020130010057"/>
    <s v="825"/>
    <s v="1,3,3,11,07-95-156 FONDO DE MITIGACION  DE EMERGENCIA -FOME"/>
    <s v="INV"/>
    <s v="NO"/>
    <s v="OPTIMIZACION DE LA OPERACION DE LAS INSTITUCIONES EDUCATIVAS OFICIALES DEL DISTRITO DE   CARTAGENA DE INDIAS"/>
    <s v="2020130010057 OPTIMIZACION DE LA OPERACION DE LAS INSTITUCIONES EDUCATIVAS OFICIALES DEL DISTRITO DE   CARTAGENA DE INDIAS"/>
    <s v="06"/>
    <s v="00"/>
    <n v="0"/>
    <n v="552323897.40999997"/>
    <n v="552323897.40999997"/>
    <n v="552323897.40999997"/>
    <n v="0"/>
    <n v="552323897.23000002"/>
    <n v="100"/>
    <n v="548587643.23000002"/>
    <n v="99.32"/>
    <n v="0.18"/>
    <n v="548587643.23000002"/>
  </r>
  <r>
    <n v="2022"/>
    <n v="100"/>
    <x v="7"/>
    <s v="SECRETARIA DE EDUCACION"/>
    <s v="07 SECRETARIA DE EDUCACION"/>
    <n v="2020130010057"/>
    <s v="08. PILAR CARTAGENA INCLUYENTE"/>
    <s v="8.2 LÍNEA ESTRATEGICA DE EDUCACION: CULTURA DE LA FORMACION &quot;CON LA EDUCACION PARA TODOS Y TODAS SALVAMOS JUNTOS A CARTAGENA&quot;"/>
    <s v="8.2.1 PROGRAMA: ACOGIDA “ATENCIÓN A POBLACIONES Y ESTRATEGIAS DE ACCESO Y PERMANENCIA”"/>
    <s v="2,3,2201,0700,2020130010057"/>
    <s v="826"/>
    <s v="1,3,3,11,07-95-159 RF FONDO DE MITIGACION  DE EMERGENCIA -FOME"/>
    <s v="INV"/>
    <s v="NO"/>
    <s v="OPTIMIZACION DE LA OPERACION DE LAS INSTITUCIONES EDUCATIVAS OFICIALES DEL DISTRITO DE   CARTAGENA DE INDIAS"/>
    <s v="2020130010057 OPTIMIZACION DE LA OPERACION DE LAS INSTITUCIONES EDUCATIVAS OFICIALES DEL DISTRITO DE   CARTAGENA DE INDIAS"/>
    <s v="06"/>
    <s v="00"/>
    <n v="0"/>
    <n v="5049142.87"/>
    <n v="5049142.87"/>
    <n v="5049142.87"/>
    <n v="0"/>
    <n v="5049142.87"/>
    <n v="100"/>
    <n v="5049142.87"/>
    <n v="100"/>
    <n v="0"/>
    <n v="5049142.87"/>
  </r>
  <r>
    <n v="2022"/>
    <n v="100"/>
    <x v="7"/>
    <s v="SECRETARIA DE EDUCACION"/>
    <s v="07 SECRETARIA DE EDUCACION"/>
    <n v="2020130010057"/>
    <s v="08. PILAR CARTAGENA INCLUYENTE"/>
    <s v="8.2 LÍNEA ESTRATEGICA DE EDUCACION: CULTURA DE LA FORMACION &quot;CON LA EDUCACION PARA TODOS Y TODAS SALVAMOS JUNTOS A CARTAGENA&quot;"/>
    <s v="8.2.1 PROGRAMA: ACOGIDA “ATENCIÓN A POBLACIONES Y ESTRATEGIAS DE ACCESO Y PERMANENCIA”"/>
    <s v="2,3,2201,0700,2020130010057"/>
    <s v="171"/>
    <s v="1,2,4,1,03-171 - SGP CALIDAD MATRICULA"/>
    <s v="INV"/>
    <s v="NO"/>
    <s v="OPTIMIZACION DE LA OPERACION DE LAS INSTITUCIONES EDUCATIVAS OFICIALES DEL DISTRITO DE   CARTAGENA DE INDIAS"/>
    <s v="2020130010057 OPTIMIZACION DE LA OPERACION DE LAS INSTITUCIONES EDUCATIVAS OFICIALES DEL DISTRITO DE   CARTAGENA DE INDIAS"/>
    <s v="06"/>
    <s v="00"/>
    <n v="2314881761"/>
    <n v="1366432566"/>
    <n v="3681314327"/>
    <n v="3681314327"/>
    <n v="0"/>
    <n v="3666109753"/>
    <n v="99.59"/>
    <n v="3342733362"/>
    <n v="90.8"/>
    <n v="15204574"/>
    <n v="3022172571"/>
  </r>
  <r>
    <n v="2022"/>
    <n v="100"/>
    <x v="7"/>
    <s v="SECRETARIA DE EDUCACION"/>
    <s v="07 SECRETARIA DE EDUCACION"/>
    <n v="2020130010057"/>
    <s v="08. PILAR CARTAGENA INCLUYENTE"/>
    <s v="8.2 LÍNEA ESTRATEGICA DE EDUCACION: CULTURA DE LA FORMACION &quot;CON LA EDUCACION PARA TODOS Y TODAS SALVAMOS JUNTOS A CARTAGENA&quot;"/>
    <s v="8.2.1 PROGRAMA: ACOGIDA “ATENCIÓN A POBLACIONES Y ESTRATEGIAS DE ACCESO Y PERMANENCIA”"/>
    <s v="2,3,2201,0700,2020130010057"/>
    <s v="172"/>
    <s v="1,2,4,1,04-172 - SGP CALIDAD GRATUIDAD"/>
    <s v="INV"/>
    <s v="NO"/>
    <s v="OPTIMIZACION DE LA OPERACION DE LAS INSTITUCIONES EDUCATIVAS OFICIALES DEL DISTRITO DE   CARTAGENA DE INDIAS"/>
    <s v="2020130010057 OPTIMIZACION DE LA OPERACION DE LAS INSTITUCIONES EDUCATIVAS OFICIALES DEL DISTRITO DE   CARTAGENA DE INDIAS"/>
    <s v="06"/>
    <s v="00"/>
    <n v="10195492808"/>
    <n v="-892807586"/>
    <n v="9302685222"/>
    <n v="9302685222"/>
    <n v="0"/>
    <n v="9302685222"/>
    <n v="100"/>
    <n v="9302685222"/>
    <n v="100"/>
    <n v="0"/>
    <n v="9302685222"/>
  </r>
  <r>
    <n v="2022"/>
    <n v="100"/>
    <x v="7"/>
    <s v="SECRETARIA DE EDUCACION"/>
    <s v="07 SECRETARIA DE EDUCACION"/>
    <n v="2020130010057"/>
    <s v="08. PILAR CARTAGENA INCLUYENTE"/>
    <s v="8.2 LÍNEA ESTRATEGICA DE EDUCACION: CULTURA DE LA FORMACION &quot;CON LA EDUCACION PARA TODOS Y TODAS SALVAMOS JUNTOS A CARTAGENA&quot;"/>
    <s v="8.2.1 PROGRAMA: ACOGIDA “ATENCIÓN A POBLACIONES Y ESTRATEGIAS DE ACCESO Y PERMANENCIA”"/>
    <s v="2,3,2201,0700,2020130010057"/>
    <s v="901"/>
    <s v="1,3,3,6,03-95-171 - R,B, SGP - EDUCACION - CALIDAD  POR MATRICULA OFICIAL"/>
    <s v="INV"/>
    <s v="NO"/>
    <s v="OPTIMIZACION DE LA OPERACION DE LAS INSTITUCIONES EDUCATIVAS OFICIALES DEL DISTRITO DE   CARTAGENA DE INDIAS"/>
    <s v="2020130010057 OPTIMIZACION DE LA OPERACION DE LAS INSTITUCIONES EDUCATIVAS OFICIALES DEL DISTRITO DE   CARTAGENA DE INDIAS"/>
    <s v="06"/>
    <s v="00"/>
    <n v="0"/>
    <n v="5575460"/>
    <n v="5575460"/>
    <n v="5575460"/>
    <n v="0"/>
    <n v="5575460"/>
    <n v="100"/>
    <n v="5575460"/>
    <n v="100"/>
    <n v="0"/>
    <n v="5575460"/>
  </r>
  <r>
    <n v="2022"/>
    <n v="100"/>
    <x v="7"/>
    <s v="SECRETARIA DE EDUCACION"/>
    <s v="07 SECRETARIA DE EDUCACION"/>
    <n v="2020130010057"/>
    <s v="08. PILAR CARTAGENA INCLUYENTE"/>
    <s v="8.2 LÍNEA ESTRATEGICA DE EDUCACION: CULTURA DE LA FORMACION &quot;CON LA EDUCACION PARA TODOS Y TODAS SALVAMOS JUNTOS A CARTAGENA&quot;"/>
    <s v="8.2.1 PROGRAMA: ACOGIDA “ATENCIÓN A POBLACIONES Y ESTRATEGIAS DE ACCESO Y PERMANENCIA”"/>
    <s v="2,3,2201,0700,2020130010057"/>
    <s v="081"/>
    <s v="1,3,2,2,01-081 - RF SGP EDUCACION"/>
    <s v="INV"/>
    <s v="NO"/>
    <s v="OPTIMIZACION DE LA OPERACION DE LAS INSTITUCIONES EDUCATIVAS OFICIALES DEL DISTRITO DE   CARTAGENA DE INDIAS"/>
    <s v="2020130010057 OPTIMIZACION DE LA OPERACION DE LAS INSTITUCIONES EDUCATIVAS OFICIALES DEL DISTRITO DE   CARTAGENA DE INDIAS"/>
    <s v="06"/>
    <s v="00"/>
    <n v="898970554"/>
    <n v="-628969329"/>
    <n v="270001225"/>
    <n v="54243956"/>
    <n v="215757269"/>
    <n v="54243956"/>
    <n v="20.09"/>
    <n v="54243956"/>
    <n v="20.09"/>
    <n v="215757269"/>
    <n v="54243956"/>
  </r>
  <r>
    <n v="2022"/>
    <n v="100"/>
    <x v="7"/>
    <s v="SECRETARIA DE EDUCACION"/>
    <s v="07 SECRETARIA DE EDUCACION"/>
    <n v="2020130010057"/>
    <s v="08. PILAR CARTAGENA INCLUYENTE"/>
    <s v="8.2 LÍNEA ESTRATEGICA DE EDUCACION: CULTURA DE LA FORMACION &quot;CON LA EDUCACION PARA TODOS Y TODAS SALVAMOS JUNTOS A CARTAGENA&quot;"/>
    <s v="8.2.1 PROGRAMA: ACOGIDA “ATENCIÓN A POBLACIONES Y ESTRATEGIAS DE ACCESO Y PERMANENCIA”"/>
    <s v="2,3,2201,0700,2020130010057"/>
    <s v="001"/>
    <s v="1,2,1,0,00-001 - ICLD"/>
    <s v="INV"/>
    <s v="NO"/>
    <s v="OPTIMIZACION DE LA OPERACION DE LAS INSTITUCIONES EDUCATIVAS OFICIALES DEL DISTRITO DE   CARTAGENA DE INDIAS"/>
    <s v="2020130010057 OPTIMIZACION DE LA OPERACION DE LAS INSTITUCIONES EDUCATIVAS OFICIALES DEL DISTRITO DE   CARTAGENA DE INDIAS"/>
    <s v="06"/>
    <s v="00"/>
    <n v="41589419364"/>
    <n v="9208802021"/>
    <n v="50798221385"/>
    <n v="50797778589.470001"/>
    <n v="442795.53"/>
    <n v="50769628819.589996"/>
    <n v="99.94"/>
    <n v="48916431653.290001"/>
    <n v="96.3"/>
    <n v="28592565.41"/>
    <n v="44610207478.290001"/>
  </r>
  <r>
    <n v="2022"/>
    <n v="100"/>
    <x v="8"/>
    <s v="DEPARTAMENTO ADMINISTRATIVO DE SALUD"/>
    <s v="10 DEPARTAMENTO ADMINISTRATIVO DE SALUD"/>
    <n v="2020130010058"/>
    <s v="08. PILAR CARTAGENA INCLUYENTE"/>
    <s v="8.3 LÍNEA ESTRATÉGICA SALUD PARA TODOS"/>
    <s v="8.3.8 VIDA SALUDABLE Y ENFERMEDADES TRANSMISIBLES"/>
    <s v="2,3,1905,0300,2020130010058"/>
    <s v="016"/>
    <s v="1,2,3,3,07-016 - RECURSOS DEL SISTEMA DE SEGURIDAD SOCIAL INTEGRAL - SALUD"/>
    <s v="INV"/>
    <s v="NO"/>
    <s v="PREVENCION Y CONTROL DE LA LEPRA EN EL DISTRITO DE  CARTAGENA DE INDIAS"/>
    <s v="2020130010058 PREVENCION Y CONTROL DE LA LEPRA EN EL DISTRITO DE  CARTAGENA DE INDIAS"/>
    <s v="06"/>
    <s v="00"/>
    <n v="61547391"/>
    <n v="-3015371"/>
    <n v="58532020"/>
    <n v="52347391"/>
    <n v="6184629"/>
    <n v="31547391"/>
    <n v="53.9"/>
    <n v="6400000"/>
    <n v="10.93"/>
    <n v="26984629"/>
    <n v="0"/>
  </r>
  <r>
    <n v="2022"/>
    <n v="100"/>
    <x v="8"/>
    <s v="DEPARTAMENTO ADMINISTRATIVO DE SALUD"/>
    <s v="10 DEPARTAMENTO ADMINISTRATIVO DE SALUD"/>
    <n v="2020130010058"/>
    <s v="08. PILAR CARTAGENA INCLUYENTE"/>
    <s v="8.3 LÍNEA ESTRATÉGICA SALUD PARA TODOS"/>
    <s v="8.3.8 VIDA SALUDABLE Y ENFERMEDADES TRANSMISIBLES"/>
    <s v="2,3,1905,0300,2020130010058"/>
    <s v="170"/>
    <s v="1,2,4,2,02-170 - SGP SALUD PUBLICA"/>
    <s v="INV"/>
    <s v="NO"/>
    <s v="PREVENCION Y CONTROL DE LA LEPRA EN EL DISTRITO DE  CARTAGENA DE INDIAS"/>
    <s v="2020130010058 PREVENCION Y CONTROL DE LA LEPRA EN EL DISTRITO DE  CARTAGENA DE INDIAS"/>
    <s v="06"/>
    <s v="00"/>
    <n v="240000000"/>
    <n v="0"/>
    <n v="240000000"/>
    <n v="240000000"/>
    <n v="0"/>
    <n v="227000000"/>
    <n v="94.58"/>
    <n v="126400000"/>
    <n v="52.67"/>
    <n v="13000000"/>
    <n v="126400000"/>
  </r>
  <r>
    <n v="2022"/>
    <n v="100"/>
    <x v="8"/>
    <s v="DEPARTAMENTO ADMINISTRATIVO DE SALUD"/>
    <s v="10 DEPARTAMENTO ADMINISTRATIVO DE SALUD"/>
    <n v="2020130010058"/>
    <s v="08. PILAR CARTAGENA INCLUYENTE"/>
    <s v="8.3 LÍNEA ESTRATÉGICA SALUD PARA TODOS"/>
    <s v="8.3.8 VIDA SALUDABLE Y ENFERMEDADES TRANSMISIBLES"/>
    <s v="2,3,1905,0300,2020130010058"/>
    <s v="894"/>
    <s v="1,3,3,5,07-95-016 R,B, RECURSOS DEL SISTEMA DE SEGURIDAD SOCIAL INTEGRAL - SALUD MINISTERIO DE PROTECCION SOCIAL"/>
    <s v="INV"/>
    <s v="NO"/>
    <s v="PREVENCION Y CONTROL DE LA LEPRA EN EL DISTRITO DE  CARTAGENA DE INDIAS"/>
    <s v="2020130010058 PREVENCION Y CONTROL DE LA LEPRA EN EL DISTRITO DE  CARTAGENA DE INDIAS"/>
    <s v="06"/>
    <s v="00"/>
    <n v="0"/>
    <n v="28032561"/>
    <n v="28032561"/>
    <n v="28032561"/>
    <n v="0"/>
    <n v="28032561"/>
    <n v="100"/>
    <n v="28032561"/>
    <n v="100"/>
    <n v="0"/>
    <n v="0"/>
  </r>
  <r>
    <n v="2022"/>
    <n v="100"/>
    <x v="8"/>
    <s v="DEPARTAMENTO ADMINISTRATIVO DE SALUD"/>
    <s v="10 DEPARTAMENTO ADMINISTRATIVO DE SALUD"/>
    <n v="2020130010058"/>
    <s v="08. PILAR CARTAGENA INCLUYENTE"/>
    <s v="8.3 LÍNEA ESTRATÉGICA SALUD PARA TODOS"/>
    <s v="8.3.8 VIDA SALUDABLE Y ENFERMEDADES TRANSMISIBLES"/>
    <s v="2,3,1905,0300,2020130010058"/>
    <s v="916"/>
    <s v="1,3,3,7,02-95-170 R,B, SGP-SALUD-SALUD PUBLICA"/>
    <s v="INV"/>
    <s v="NO"/>
    <s v="PREVENCION Y CONTROL DE LA LEPRA EN EL DISTRITO DE  CARTAGENA DE INDIAS"/>
    <s v="2020130010058 PREVENCION Y CONTROL DE LA LEPRA EN EL DISTRITO DE  CARTAGENA DE INDIAS"/>
    <s v="06"/>
    <s v="00"/>
    <n v="0"/>
    <n v="432000000"/>
    <n v="432000000"/>
    <n v="432000000"/>
    <n v="0"/>
    <n v="432000000"/>
    <n v="100"/>
    <n v="47400000"/>
    <n v="10.97"/>
    <n v="0"/>
    <n v="45000000"/>
  </r>
  <r>
    <n v="2022"/>
    <n v="100"/>
    <x v="8"/>
    <s v="DEPARTAMENTO ADMINISTRATIVO DE SALUD"/>
    <s v="10 DEPARTAMENTO ADMINISTRATIVO DE SALUD"/>
    <n v="2020130010060"/>
    <s v="08. PILAR CARTAGENA INCLUYENTE"/>
    <s v="8.3 LÍNEA ESTRATÉGICA SALUD PARA TODOS"/>
    <s v="8.3.8 VIDA SALUDABLE Y ENFERMEDADES TRANSMISIBLES"/>
    <s v="2,3,1905,0300,2020130010060"/>
    <s v="016"/>
    <s v="1,2,3,3,07-016 - RECURSOS DEL SISTEMA DE SEGURIDAD SOCIAL INTEGRAL - SALUD"/>
    <s v="INV"/>
    <s v="NO"/>
    <s v="PREVENCION Y CONTROL DE LA TUBERCULOSIS EN EL DISTRITO DE  CARTAGENA DE INDIAS"/>
    <s v="2020130010060 PREVENCION Y CONTROL DE LA TUBERCULOSIS EN EL DISTRITO DE  CARTAGENA DE INDIAS"/>
    <s v="06"/>
    <s v="00"/>
    <n v="159224164"/>
    <n v="-7582103"/>
    <n v="151642061"/>
    <n v="134000000"/>
    <n v="17642061"/>
    <n v="96833333"/>
    <n v="63.86"/>
    <n v="21833333"/>
    <n v="14.4"/>
    <n v="54808728"/>
    <n v="10000000"/>
  </r>
  <r>
    <n v="2022"/>
    <n v="100"/>
    <x v="8"/>
    <s v="DEPARTAMENTO ADMINISTRATIVO DE SALUD"/>
    <s v="10 DEPARTAMENTO ADMINISTRATIVO DE SALUD"/>
    <n v="2020130010060"/>
    <s v="08. PILAR CARTAGENA INCLUYENTE"/>
    <s v="8.3 LÍNEA ESTRATÉGICA SALUD PARA TODOS"/>
    <s v="8.3.8 VIDA SALUDABLE Y ENFERMEDADES TRANSMISIBLES"/>
    <s v="2,3,1905,0300,2020130010060"/>
    <s v="170"/>
    <s v="1,2,4,2,02-170 - SGP SALUD PUBLICA"/>
    <s v="INV"/>
    <s v="NO"/>
    <s v="PREVENCION Y CONTROL DE LA TUBERCULOSIS EN EL DISTRITO DE  CARTAGENA DE INDIAS"/>
    <s v="2020130010060 PREVENCION Y CONTROL DE LA TUBERCULOSIS EN EL DISTRITO DE  CARTAGENA DE INDIAS"/>
    <s v="06"/>
    <s v="00"/>
    <n v="240000000"/>
    <n v="0"/>
    <n v="240000000"/>
    <n v="186600000"/>
    <n v="53400000"/>
    <n v="186600000"/>
    <n v="77.75"/>
    <n v="97200000"/>
    <n v="40.5"/>
    <n v="53400000"/>
    <n v="97200000"/>
  </r>
  <r>
    <n v="2022"/>
    <n v="100"/>
    <x v="8"/>
    <s v="DEPARTAMENTO ADMINISTRATIVO DE SALUD"/>
    <s v="10 DEPARTAMENTO ADMINISTRATIVO DE SALUD"/>
    <n v="2020130010060"/>
    <s v="08. PILAR CARTAGENA INCLUYENTE"/>
    <s v="8.3 LÍNEA ESTRATÉGICA SALUD PARA TODOS"/>
    <s v="8.3.8 VIDA SALUDABLE Y ENFERMEDADES TRANSMISIBLES"/>
    <s v="2,3,1905,0300,2020130010060"/>
    <s v="894"/>
    <s v="1,3,3,5,07-95-016 R,B, RECURSOS DEL SISTEMA DE SEGURIDAD SOCIAL INTEGRAL - SALUD MINISTERIO DE PROTECCION SOCIAL"/>
    <s v="INV"/>
    <s v="NO"/>
    <s v="PREVENCION Y CONTROL DE LA TUBERCULOSIS EN EL DISTRITO DE  CARTAGENA DE INDIAS"/>
    <s v="2020130010060 PREVENCION Y CONTROL DE LA TUBERCULOSIS EN EL DISTRITO DE  CARTAGENA DE INDIAS"/>
    <s v="06"/>
    <s v="00"/>
    <n v="0"/>
    <n v="41638728"/>
    <n v="41638728"/>
    <n v="41638728"/>
    <n v="0"/>
    <n v="41638728"/>
    <n v="100"/>
    <n v="41638728"/>
    <n v="100"/>
    <n v="0"/>
    <n v="41638728"/>
  </r>
  <r>
    <n v="2022"/>
    <n v="100"/>
    <x v="8"/>
    <s v="DEPARTAMENTO ADMINISTRATIVO DE SALUD"/>
    <s v="10 DEPARTAMENTO ADMINISTRATIVO DE SALUD"/>
    <n v="2020130010060"/>
    <s v="08. PILAR CARTAGENA INCLUYENTE"/>
    <s v="8.3 LÍNEA ESTRATÉGICA SALUD PARA TODOS"/>
    <s v="8.3.8 VIDA SALUDABLE Y ENFERMEDADES TRANSMISIBLES"/>
    <s v="2,3,1905,0300,2020130010060"/>
    <s v="916"/>
    <s v="1,3,3,7,02-95-170 R,B, SGP-SALUD-SALUD PUBLICA"/>
    <s v="INV"/>
    <s v="NO"/>
    <s v="PREVENCION Y CONTROL DE LA TUBERCULOSIS EN EL DISTRITO DE  CARTAGENA DE INDIAS"/>
    <s v="2020130010060 PREVENCION Y CONTROL DE LA TUBERCULOSIS EN EL DISTRITO DE  CARTAGENA DE INDIAS"/>
    <s v="06"/>
    <s v="00"/>
    <n v="0"/>
    <n v="355400000"/>
    <n v="355400000"/>
    <n v="344600000"/>
    <n v="10800000"/>
    <n v="319586666"/>
    <n v="89.92"/>
    <n v="93186666"/>
    <n v="26.22"/>
    <n v="35813334"/>
    <n v="62000000"/>
  </r>
  <r>
    <n v="2022"/>
    <n v="100"/>
    <x v="3"/>
    <s v="SECRETARIA DEL INTERIOR Y CONVIVENCIA CIUDADANAL"/>
    <s v="02 SECRETARIA DEL INTERIOR Y CONVIVENCIA CIUDADANAL"/>
    <n v="2020130010061"/>
    <s v="10. PILAR: CARTAGENA TRANSPARENTE"/>
    <s v="10.5 LÍNEA ESTRATÉGICA: ATENCIÓN Y REPARACIÓN A VICTIMAS PARA LA CONSTRUCCIÓN DE LA PAZ TERRITORIAL"/>
    <s v="10.5.1 PROGRAMA: ATENCIÓN, ASISTENCIA Y REPARACIÓN INTEGRAL A LAS VÍCTIMAS"/>
    <s v="2,3,4103,1500,2020130010061"/>
    <s v="001"/>
    <s v="1,2,1,0,00-001 - ICLD"/>
    <s v="INV"/>
    <s v="NO"/>
    <s v="ASISTENCIA ATENCION Y REPARACION INTEGRAL A LAS VICTIMAS DEL CONFLICTO ARMADO EN EL DISTRITO DE   CARTAGENA DE INDIAS"/>
    <s v="2020130010061 ASISTENCIA ATENCION Y REPARACION INTEGRAL A LAS VICTIMAS DEL CONFLICTO ARMADO EN EL DISTRITO DE   CARTAGENA DE INDIAS"/>
    <s v="06"/>
    <s v="00"/>
    <n v="670028169"/>
    <n v="153864800"/>
    <n v="823892969"/>
    <n v="823229162.66999996"/>
    <n v="663806.32999999996"/>
    <n v="711121002.33000004"/>
    <n v="86.31"/>
    <n v="696199668.88999999"/>
    <n v="84.5"/>
    <n v="112771966.67"/>
    <n v="479630676.88999999"/>
  </r>
  <r>
    <n v="2022"/>
    <n v="100"/>
    <x v="8"/>
    <s v="DEPARTAMENTO ADMINISTRATIVO DE SALUD"/>
    <s v="10 DEPARTAMENTO ADMINISTRATIVO DE SALUD"/>
    <n v="2020130010063"/>
    <s v="08. PILAR CARTAGENA INCLUYENTE"/>
    <s v="8.3 LÍNEA ESTRATÉGICA SALUD PARA TODOS"/>
    <s v="8.3.1 PROGRAMA: FORTALECIMIENTO DE LA AUTORIDAD SANITARIA"/>
    <s v="2,3,1903,0300,2020130010063"/>
    <s v="001"/>
    <s v="1,2,1,0,00-001 - ICLD"/>
    <s v="INV"/>
    <s v="NO"/>
    <s v="CONTROL , VIGILANCIA, INSPECCION Y PROMOCION DEL SISTEMA OBLIGATORIO DE GARANTIA DE LA CALIDAD EN EL DISTRITO DE  CARTAGENA DE INDIAS"/>
    <s v="2020130010063 CONTROL , VIGILANCIA, INSPECCION Y PROMOCION DEL SISTEMA OBLIGATORIO DE GARANTIA DE LA CALIDAD EN EL DISTRITO DE  CARTAGENA DE INDIAS"/>
    <s v="06"/>
    <s v="00"/>
    <n v="100000000"/>
    <n v="0"/>
    <n v="100000000"/>
    <n v="100000000"/>
    <n v="0"/>
    <n v="100000000"/>
    <n v="100"/>
    <n v="100000000"/>
    <n v="100"/>
    <n v="0"/>
    <n v="100000000"/>
  </r>
  <r>
    <n v="2022"/>
    <n v="100"/>
    <x v="8"/>
    <s v="DEPARTAMENTO ADMINISTRATIVO DE SALUD"/>
    <s v="10 DEPARTAMENTO ADMINISTRATIVO DE SALUD"/>
    <n v="2020130010063"/>
    <s v="08. PILAR CARTAGENA INCLUYENTE"/>
    <s v="8.3 LÍNEA ESTRATÉGICA SALUD PARA TODOS"/>
    <s v="8.3.1 PROGRAMA: FORTALECIMIENTO DE LA AUTORIDAD SANITARIA"/>
    <s v="2,3,1903,0300,2020130010063"/>
    <s v="015"/>
    <s v="1,2,3,3,07-015 - RECURSOS DEL SISTEMA DE SEGURIDAD SOCIAL INTEGRAL - SALUD"/>
    <s v="INV"/>
    <s v="NO"/>
    <s v="CONTROL , VIGILANCIA, INSPECCION Y PROMOCION DEL SISTEMA OBLIGATORIO DE GARANTIA DE LA CALIDAD EN EL DISTRITO DE  CARTAGENA DE INDIAS"/>
    <s v="2020130010063 CONTROL , VIGILANCIA, INSPECCION Y PROMOCION DEL SISTEMA OBLIGATORIO DE GARANTIA DE LA CALIDAD EN EL DISTRITO DE  CARTAGENA DE INDIAS"/>
    <s v="06"/>
    <s v="00"/>
    <n v="420000000"/>
    <n v="0"/>
    <n v="420000000"/>
    <n v="412000000"/>
    <n v="8000000"/>
    <n v="412000000"/>
    <n v="98.1"/>
    <n v="412000000"/>
    <n v="98.1"/>
    <n v="8000000"/>
    <n v="409600000"/>
  </r>
  <r>
    <n v="2022"/>
    <n v="100"/>
    <x v="8"/>
    <s v="DEPARTAMENTO ADMINISTRATIVO DE SALUD"/>
    <s v="10 DEPARTAMENTO ADMINISTRATIVO DE SALUD"/>
    <n v="2020130010063"/>
    <s v="08. PILAR CARTAGENA INCLUYENTE"/>
    <s v="8.3 LÍNEA ESTRATÉGICA SALUD PARA TODOS"/>
    <s v="8.3.1 PROGRAMA: FORTALECIMIENTO DE LA AUTORIDAD SANITARIA"/>
    <s v="2,3,1903,0300,2020130010063"/>
    <s v="889"/>
    <s v="1,3,3,5,07-93-015 R,B, RECURSOS DEL SISTEMA DE SEGURIDAD SOCIAL INTEGRAL - SALUD COLJUEGOS"/>
    <s v="INV"/>
    <s v="NO"/>
    <s v="CONTROL, VIGILANCIA, INSPECCION Y PROMOCION DEL SISTEMA OBLIGATORIO DE GARANTIA DE LA CALIDAD EN EL DISTRITO DE  CARTAGENA DE INDIAS"/>
    <s v="2020130010063 CONTROL, VIGILANCIA, INSPECCION Y PROMOCION DEL SISTEMA OBLIGATORIO DE GARANTIA DE LA CALIDAD EN EL DISTRITO DE  CARTAGENA DE INDIAS"/>
    <s v="06"/>
    <s v="00"/>
    <n v="0"/>
    <n v="249876391"/>
    <n v="249876391"/>
    <n v="239200000"/>
    <n v="10676391"/>
    <n v="200000000"/>
    <n v="80.040000000000006"/>
    <n v="200000000"/>
    <n v="80.040000000000006"/>
    <n v="49876391"/>
    <n v="185000000"/>
  </r>
  <r>
    <n v="2022"/>
    <n v="100"/>
    <x v="8"/>
    <s v="DEPARTAMENTO ADMINISTRATIVO DE SALUD"/>
    <s v="10 DEPARTAMENTO ADMINISTRATIVO DE SALUD"/>
    <n v="2020130010063"/>
    <s v="08. PILAR CARTAGENA INCLUYENTE"/>
    <s v="8.3 LÍNEA ESTRATÉGICA SALUD PARA TODOS"/>
    <s v="8.3.1 PROGRAMA: FORTALECIMIENTO DE LA AUTORIDAD SANITARIA"/>
    <s v="2,3,1903,0300,2020130010063"/>
    <s v="893"/>
    <s v="1,3,3,5,07-95-015 R,B, RECURSOS DEL SISTEMA DE SEGURIDAD SOCIAL INTEGRAL - SALUD COLJUEGOS"/>
    <s v="INV"/>
    <s v="NO"/>
    <s v="CONTROL, VIGILANCIA, INSPECCION Y PROMOCION DEL SISTEMA OBLIGATORIO DE GARANTIA DE LA CALIDAD EN EL DISTRITO DE  CARTAGENA DE INDIAS"/>
    <s v="2020130010063 CONTROL, VIGILANCIA, INSPECCION Y PROMOCION DEL SISTEMA OBLIGATORIO DE GARANTIA DE LA CALIDAD EN EL DISTRITO DE  CARTAGENA DE INDIAS"/>
    <s v="06"/>
    <s v="00"/>
    <n v="0"/>
    <n v="413941140"/>
    <n v="413941140"/>
    <n v="288101627"/>
    <n v="125839513"/>
    <n v="233546662"/>
    <n v="56.42"/>
    <n v="233546662"/>
    <n v="56.42"/>
    <n v="180394478"/>
    <n v="191500000"/>
  </r>
  <r>
    <n v="2022"/>
    <n v="100"/>
    <x v="7"/>
    <s v="SECRETARIA DE EDUCACION"/>
    <s v="07 SECRETARIA DE EDUCACION"/>
    <n v="2020130010065"/>
    <s v="08. PILAR CARTAGENA INCLUYENTE"/>
    <s v="8.2 LÍNEA ESTRATEGICA DE EDUCACION: CULTURA DE LA FORMACION &quot;CON LA EDUCACION PARA TODOS Y TODAS SALVAMOS JUNTOS A CARTAGENA&quot;"/>
    <s v="8.2.1 PROGRAMA: ACOGIDA “ATENCIÓN A POBLACIONES Y ESTRATEGIAS DE ACCESO Y PERMANENCIA”"/>
    <s v="2,3,2201,0700,2020130010065"/>
    <s v="071"/>
    <s v="1,2,4,1,01-071 - SGP PRESTACION EDUCATIVO"/>
    <s v="INV"/>
    <s v="NO"/>
    <s v="IMPLEMENTACION DE LA ESTRATEGIA ESCUELA DINAMICA: LLEGO Y ME QUEDO EN LA ESCUELA EN EL DISTRITO DE  CARTAGENA DE INDIAS"/>
    <s v="2020130010065 IMPLEMENTACION DE LA ESTRATEGIA ESCUELA DINAMICA: LLEGO Y ME QUEDO EN LA ESCUELA EN EL DISTRITO DE  CARTAGENA DE INDIAS"/>
    <s v="06"/>
    <s v="00"/>
    <n v="72626478309"/>
    <n v="-1420129353"/>
    <n v="71206348956"/>
    <n v="71206348956"/>
    <n v="0"/>
    <n v="71023421273"/>
    <n v="99.74"/>
    <n v="71023421273"/>
    <n v="99.74"/>
    <n v="182927683"/>
    <n v="69966613601"/>
  </r>
  <r>
    <n v="2022"/>
    <n v="100"/>
    <x v="7"/>
    <s v="SECRETARIA DE EDUCACION"/>
    <s v="07 SECRETARIA DE EDUCACION"/>
    <n v="2020130010065"/>
    <s v="08. PILAR CARTAGENA INCLUYENTE"/>
    <s v="8.2 LÍNEA ESTRATEGICA DE EDUCACION: CULTURA DE LA FORMACION &quot;CON LA EDUCACION PARA TODOS Y TODAS SALVAMOS JUNTOS A CARTAGENA&quot;"/>
    <s v="8.2.1 PROGRAMA: ACOGIDA “ATENCIÓN A POBLACIONES Y ESTRATEGIAS DE ACCESO Y PERMANENCIA”"/>
    <s v="2,3,2201,0700,2020130010065"/>
    <s v="001"/>
    <s v="1,2,1,0,00-001 - ICLD"/>
    <s v="INV"/>
    <s v="NO"/>
    <s v="IMPLEMENTACION DE LA ESTRATEGIA ESCUELA DINAMICA: LLEGO Y ME QUEDO EN LA ESCUELA EN EL DISTRITO DE  CARTAGENA DE INDIAS"/>
    <s v="2020130010065 IMPLEMENTACION DE LA ESTRATEGIA ESCUELA DINAMICA: LLEGO Y ME QUEDO EN LA ESCUELA EN EL DISTRITO DE  CARTAGENA DE INDIAS"/>
    <s v="06"/>
    <s v="00"/>
    <n v="1200000000"/>
    <n v="749663466.01999998"/>
    <n v="1949663466.02"/>
    <n v="1934119036.02"/>
    <n v="15544430"/>
    <n v="1934109035.3199999"/>
    <n v="99.2"/>
    <n v="1896524384.02"/>
    <n v="97.27"/>
    <n v="15554430.699999999"/>
    <n v="1596306160.02"/>
  </r>
  <r>
    <n v="2022"/>
    <n v="100"/>
    <x v="8"/>
    <s v="DEPARTAMENTO ADMINISTRATIVO DE SALUD"/>
    <s v="10 DEPARTAMENTO ADMINISTRATIVO DE SALUD"/>
    <n v="2020130010069"/>
    <s v="08. PILAR CARTAGENA INCLUYENTE"/>
    <s v="8.3 LÍNEA ESTRATÉGICA SALUD PARA TODOS"/>
    <s v="8.3.7 SEXUALIDAD, DERECHOS SEXUALES Y REPRODUCTIVOS"/>
    <s v="2,3,1905,0300,2020130010069"/>
    <s v="170"/>
    <s v="1,2,4,2,02-170 - SGP SALUD PUBLICA"/>
    <s v="INV"/>
    <s v="NO"/>
    <s v="MEJORAMIENTO DE LA SALUD SEXUAL Y REPRODUCTIVA DE LOS Y LAS CARTAGENERAS EN EL DISTRITO DE  CARTAGENA DE INDIAS"/>
    <s v="2020130010069 MEJORAMIENTO DE LA SALUD SEXUAL Y REPRODUCTIVA DE LOS Y LAS CARTAGENERAS EN EL DISTRITO DE  CARTAGENA DE INDIAS"/>
    <s v="06"/>
    <s v="00"/>
    <n v="647258187"/>
    <n v="0"/>
    <n v="647258187"/>
    <n v="644858187"/>
    <n v="2400000"/>
    <n v="633904853"/>
    <n v="97.94"/>
    <n v="348446666"/>
    <n v="53.83"/>
    <n v="13353334"/>
    <n v="285000000"/>
  </r>
  <r>
    <n v="2022"/>
    <n v="100"/>
    <x v="8"/>
    <s v="DEPARTAMENTO ADMINISTRATIVO DE SALUD"/>
    <s v="10 DEPARTAMENTO ADMINISTRATIVO DE SALUD"/>
    <n v="2020130010070"/>
    <s v="08. PILAR CARTAGENA INCLUYENTE"/>
    <s v="8.3 LÍNEA ESTRATÉGICA SALUD PARA TODOS"/>
    <s v="8.3.7 SEXUALIDAD, DERECHOS SEXUALES Y REPRODUCTIVOS"/>
    <s v="2,3,1905,0300,2020130010070"/>
    <s v="170"/>
    <s v="1,2,4,2,02-170 - SGP SALUD PUBLICA"/>
    <s v="INV"/>
    <s v="NO"/>
    <s v="PREVENCION DE LA MORTALIDAD MATERNA Y PERINATAL  CARTAGENA DE INDIAS"/>
    <s v="2020130010070 PREVENCION DE LA MORTALIDAD MATERNA Y PERINATAL  CARTAGENA DE INDIAS"/>
    <s v="06"/>
    <s v="00"/>
    <n v="260000000"/>
    <n v="0"/>
    <n v="260000000"/>
    <n v="252800000"/>
    <n v="7200000"/>
    <n v="245600000"/>
    <n v="94.46"/>
    <n v="88000000"/>
    <n v="33.85"/>
    <n v="14400000"/>
    <n v="58000000"/>
  </r>
  <r>
    <n v="2022"/>
    <n v="100"/>
    <x v="4"/>
    <s v="DESPACHO DEL ALCALDE"/>
    <s v="01 DESPACHO DEL ALCALDE"/>
    <n v="2020130010071"/>
    <s v="08. PILAR CARTAGENA INCLUYENTE"/>
    <s v="8.1 LÍNEA ESTRATÉGICA: SUPERACIÓN DE LA POBREZA Y DESIGUALDAD."/>
    <s v="8.1.7 PROGRAMA: DINÁMICA FAMILIAR PARA LA SUPERACIÓN DE LA POBREZA EXTREMA"/>
    <s v="2,3,4103,1500,2020130010071"/>
    <s v="827"/>
    <s v="1,3,3,11,08-93-004 R,B, OTRAS TRANSFERENCIAS DE CAPITAL MARGEN DE COMERCIALIZACION"/>
    <s v="INV"/>
    <s v="NO"/>
    <s v="APOYO DINAMICA FAMILIAR PARA SUPERACION DE LA POBREZA Y DESIGUALDAD "/>
    <s v="2020130010071 APOYO DINAMICA FAMILIAR PARA SUPERACION DE LA POBREZA Y DESIGUALDAD "/>
    <s v="06"/>
    <s v="00"/>
    <n v="0"/>
    <n v="117198.39999999999"/>
    <n v="117198.39999999999"/>
    <n v="0"/>
    <n v="117198.39999999999"/>
    <n v="0"/>
    <n v="0"/>
    <n v="0"/>
    <n v="0"/>
    <n v="117198.39999999999"/>
    <n v="0"/>
  </r>
  <r>
    <n v="2022"/>
    <n v="100"/>
    <x v="4"/>
    <s v="DESPACHO DEL ALCALDE"/>
    <s v="01 DESPACHO DEL ALCALDE"/>
    <n v="2020130010071"/>
    <s v="08. PILAR CARTAGENA INCLUYENTE"/>
    <s v="8.1 LÍNEA ESTRATÉGICA: SUPERACIÓN DE LA POBREZA Y DESIGUALDAD."/>
    <s v="8.1.7 PROGRAMA: DINÁMICA FAMILIAR PARA LA SUPERACIÓN DE LA POBREZA EXTREMA"/>
    <s v="2,3,4103,1500,2020130010071"/>
    <s v="828"/>
    <s v="1,3,3,11,08-95-004 R,B, OTRAS TRANSFERENCIAS DE CAPITAL MARGEN DE COMERCIALIZACION"/>
    <s v="INV"/>
    <s v="NO"/>
    <s v="APOYO DINAMICA FAMILIAR PARA SUPERACION DE LA POBREZA Y DESIGUALDAD "/>
    <s v="2020130010071 APOYO DINAMICA FAMILIAR PARA SUPERACION DE LA POBREZA Y DESIGUALDAD "/>
    <s v="06"/>
    <s v="00"/>
    <n v="0"/>
    <n v="43190006"/>
    <n v="43190006"/>
    <n v="43140000"/>
    <n v="50006"/>
    <n v="31800000"/>
    <n v="73.63"/>
    <n v="27800000"/>
    <n v="64.37"/>
    <n v="11390006"/>
    <n v="27800000"/>
  </r>
  <r>
    <n v="2022"/>
    <n v="100"/>
    <x v="4"/>
    <s v="DESPACHO DEL ALCALDE"/>
    <s v="01 DESPACHO DEL ALCALDE"/>
    <n v="2020130010071"/>
    <s v="08. PILAR CARTAGENA INCLUYENTE"/>
    <s v="8.1 LÍNEA ESTRATÉGICA: SUPERACIÓN DE LA POBREZA Y DESIGUALDAD."/>
    <s v="8.1.7 PROGRAMA: DINÁMICA FAMILIAR PARA LA SUPERACIÓN DE LA POBREZA EXTREMA"/>
    <s v="2,3,4103,1500,2020130010071"/>
    <s v="001"/>
    <s v="1,2,1,0,00-001 - ICLD"/>
    <s v="INV"/>
    <s v="NO"/>
    <s v="APOYO DINAMICA FAMILIAR PARA SUPERACION DE LA POBREZA Y DESIGUALDAD "/>
    <s v="2020130010071 APOYO DINAMICA FAMILIAR PARA SUPERACION DE LA POBREZA Y DESIGUALDAD "/>
    <s v="06"/>
    <s v="00"/>
    <n v="400000000"/>
    <n v="0"/>
    <n v="400000000"/>
    <n v="176641500"/>
    <n v="223358500"/>
    <n v="77400000"/>
    <n v="19.350000000000001"/>
    <n v="77400000"/>
    <n v="19.350000000000001"/>
    <n v="322600000"/>
    <n v="77400000"/>
  </r>
  <r>
    <n v="2022"/>
    <n v="100"/>
    <x v="8"/>
    <s v="DEPARTAMENTO ADMINISTRATIVO DE SALUD"/>
    <s v="10 DEPARTAMENTO ADMINISTRATIVO DE SALUD"/>
    <n v="2020130010072"/>
    <s v="08. PILAR CARTAGENA INCLUYENTE"/>
    <s v="8.3 LÍNEA ESTRATÉGICA SALUD PARA TODOS"/>
    <s v="8.3.6 NUTRICIÓN E INOCUIDAD DE ALIMENTOS"/>
    <s v="2,3,1905,0300,2020130010072"/>
    <s v="170"/>
    <s v="1,2,4,2,02-170 - SGP SALUD PUBLICA"/>
    <s v="INV"/>
    <s v="NO"/>
    <s v="FORTALECIMIENTO DE LA NUTRICION, CONSUMO Y APROVECHAMIENTO DE ALIMENTOS DE LA POBLACION DEL DISTRITO DE  CARTAGENA DE INDIAS"/>
    <s v="2020130010072 FORTALECIMIENTO DE LA NUTRICION, CONSUMO Y APROVECHAMIENTO DE ALIMENTOS DE LA POBLACION DEL DISTRITO DE  CARTAGENA DE INDIAS"/>
    <s v="06"/>
    <s v="00"/>
    <n v="304000000"/>
    <n v="0"/>
    <n v="304000000"/>
    <n v="304000000"/>
    <n v="0"/>
    <n v="304000000"/>
    <n v="100"/>
    <n v="220000000"/>
    <n v="72.37"/>
    <n v="0"/>
    <n v="220000000"/>
  </r>
  <r>
    <n v="2022"/>
    <n v="100"/>
    <x v="4"/>
    <s v="DESPACHO DEL ALCALDE"/>
    <s v="01 DESPACHO DEL ALCALDE"/>
    <n v="2020130010075"/>
    <s v="07. PILAR CARTAGENA RESILIENTE"/>
    <s v="7.2 LÍNEA ESTRATÉGICA ESPACIO PÚBLICO, MOVILIDAD Y TRANSPORTE RESILIENTE"/>
    <s v="7.2.5 TRANSPORTE PARA TODOS"/>
    <s v="2,3,2408,0600,2020130010075"/>
    <s v="001"/>
    <s v="1,2,1,0,00-001 - ICLD"/>
    <s v="INV"/>
    <s v="NO"/>
    <s v="FORTALECIMIENTO FORTALECIMIENTO OPERACIONAL DEL SISTEMA INTEGRADO DE TRANSPORTE MASIVO DE CARTAGENA DE INDIAS  TRANSCARIBE  CARTAGENA DE INDIAS"/>
    <s v="2020130010075 FORTALECIMIENTO FORTALECIMIENTO OPERACIONAL DEL SISTEMA INTEGRADO DE TRANSPORTE MASIVO DE CARTAGENA DE INDIAS  TRANSCARIBE  CARTAGENA DE INDIAS"/>
    <s v="06"/>
    <s v="00"/>
    <n v="13314321832"/>
    <n v="49700000000"/>
    <n v="63014321832"/>
    <n v="63014321832"/>
    <n v="0"/>
    <n v="63014321832"/>
    <n v="100"/>
    <n v="63014321832"/>
    <n v="100"/>
    <n v="0"/>
    <n v="63014321832"/>
  </r>
  <r>
    <n v="2022"/>
    <n v="100"/>
    <x v="4"/>
    <s v="DESPACHO DEL ALCALDE"/>
    <s v="01 DESPACHO DEL ALCALDE"/>
    <n v="2020130010079"/>
    <s v="08. PILAR CARTAGENA INCLUYENTE"/>
    <s v="8.1 LÍNEA ESTRATÉGICA: SUPERACIÓN DE LA POBREZA Y DESIGUALDAD."/>
    <s v="8.1.3 PROGRAMA: EDUCACIÓN PARA LA SUPERACIÓN DE LA POBREZA EXTREMA Y LA DESIGUALDAD"/>
    <s v="2,3,4103,1500,2020130010079"/>
    <s v="001"/>
    <s v="1,2,1,0,00-001 - ICLD"/>
    <s v="INV"/>
    <s v="NO"/>
    <s v="APOYO EDUCACION PARA LA SUPERACION DE LA POBREZA Y LA DESIGUALDAD-0INCREMENTAR EL ACCESO A LOS DIFERENTES NIVELES EDUCATIVOS DE NI?OS NI?AS ADOLESCENTES JOVENES Y ADULTOS EN CONDICION DE POBREZA EXTREMA DE  CARTAGENA DE INDIAS"/>
    <s v="2020130010079 APOYO EDUCACION PARA LA SUPERACION DE LA POBREZA Y LA DESIGUALDAD-0INCREMENTAR EL ACCESO A LOS DIFERENTES NIVELES EDUCATIVOS DE NI?OS NI?AS ADOLESCENTES JOVENES Y ADULTOS EN CONDICION DE POBREZA EXTREMA DE  CARTAGENA DE INDIAS"/>
    <s v="06"/>
    <s v="00"/>
    <n v="205168000"/>
    <n v="0"/>
    <n v="205168000"/>
    <n v="204950000"/>
    <n v="218000"/>
    <n v="179828200"/>
    <n v="87.65"/>
    <n v="179822250"/>
    <n v="87.65"/>
    <n v="25339800"/>
    <n v="175122250"/>
  </r>
  <r>
    <n v="2022"/>
    <n v="100"/>
    <x v="7"/>
    <s v="SECRETARIA DE EDUCACION"/>
    <s v="07 SECRETARIA DE EDUCACION"/>
    <n v="2020130010082"/>
    <s v="08. PILAR CARTAGENA INCLUYENTE"/>
    <s v="8.2 LÍNEA ESTRATEGICA DE EDUCACION: CULTURA DE LA FORMACION &quot;CON LA EDUCACION PARA TODOS Y TODAS SALVAMOS JUNTOS A CARTAGENA&quot;"/>
    <s v="8.2.1 PROGRAMA: ACOGIDA “ATENCIÓN A POBLACIONES Y ESTRATEGIAS DE ACCESO Y PERMANENCIA”"/>
    <s v="2,3,2201,0700,2020130010082"/>
    <s v="171"/>
    <s v="1,2,4,1,03-171 - SGP CALIDAD MATRICULA"/>
    <s v="INV"/>
    <s v="NO"/>
    <s v="IMPLEMENTACION DE LA ESTRATEGIA PERMANECER : MI ESCUELA, MI LUGAR FAVORITO, TRANSPORTE Y OTRAS ESTRATEGIAS DE PERMANENCIA EN CARTAGENA DE INDIAS"/>
    <s v="2020130010082 IMPLEMENTACION DE LA ESTRATEGIA PERMANECER : MI ESCUELA, MI LUGAR FAVORITO, TRANSPORTE Y OTRAS ESTRATEGIAS DE PERMANENCIA EN CARTAGENA DE INDIAS"/>
    <s v="06"/>
    <s v="00"/>
    <n v="0"/>
    <n v="2429850000"/>
    <n v="2429850000"/>
    <n v="1838295996.05"/>
    <n v="591554003.95000005"/>
    <n v="1838295951.6500001"/>
    <n v="75.650000000000006"/>
    <n v="1744635616.6700001"/>
    <n v="71.8"/>
    <n v="591554048.35000002"/>
    <n v="0"/>
  </r>
  <r>
    <n v="2022"/>
    <n v="100"/>
    <x v="7"/>
    <s v="SECRETARIA DE EDUCACION"/>
    <s v="07 SECRETARIA DE EDUCACION"/>
    <n v="2020130010082"/>
    <s v="08. PILAR CARTAGENA INCLUYENTE"/>
    <s v="8.2 LÍNEA ESTRATEGICA DE EDUCACION: CULTURA DE LA FORMACION &quot;CON LA EDUCACION PARA TODOS Y TODAS SALVAMOS JUNTOS A CARTAGENA&quot;"/>
    <s v="8.2.1 PROGRAMA: ACOGIDA “ATENCIÓN A POBLACIONES Y ESTRATEGIAS DE ACCESO Y PERMANENCIA”"/>
    <s v="2,3,2201,0700,2020130010082"/>
    <s v="001"/>
    <s v="1,2,1,0,00-001 - ICLD"/>
    <s v="INV"/>
    <s v="NO"/>
    <s v="IMPLEMENTACION DE LA ESTRATEGIA PERMANECER: MI ESCUELA, MI LUGARFAVORITO, TRANSPORTE Y OTRAS ESTRATEGIAS DE PERMANENCIA EN  CARTAGENA DE INDIAS"/>
    <s v="2020130010082 IMPLEMENTACION DE LA ESTRATEGIA PERMANECER: MI ESCUELA, MI LUGARFAVORITO, TRANSPORTE Y OTRAS ESTRATEGIAS DE PERMANENCIA EN  CARTAGENA DE INDIAS"/>
    <s v="06"/>
    <s v="00"/>
    <n v="3853744496"/>
    <n v="697434819.48000002"/>
    <n v="4551179315.4799995"/>
    <n v="4551179315.4799995"/>
    <n v="0"/>
    <n v="4551179271.0799999"/>
    <n v="100"/>
    <n v="3848801767.3299999"/>
    <n v="84.57"/>
    <n v="44.4"/>
    <n v="3519283701"/>
  </r>
  <r>
    <n v="2022"/>
    <n v="100"/>
    <x v="3"/>
    <s v="SECRETARIA DEL INTERIOR Y CONVIVENCIA CIUDADANAL"/>
    <s v="02 SECRETARIA DEL INTERIOR Y CONVIVENCIA CIUDADANAL"/>
    <n v="2020130010084"/>
    <s v="10. PILAR: CARTAGENA TRANSPARENTE"/>
    <s v="10.3 LÍNEA ESTRATÉGICA: CONVIVENCIA Y SEGURIDAD PARA LA GOBERNABILIDAD"/>
    <s v="10.3.6 PROGRAMA: ASISTENCIA Y ATENCIÓN INTEGRAL A LOS NIÑOS, NIÑAS, ADOLESCENTES Y JÓVENES EN RIESGO DE VINCULARSE A ACTIVIDADES DELICTIVAS"/>
    <s v="2,3,4103,1500,2020130010084"/>
    <s v="869"/>
    <s v="1,3,3,4,16-95-053 RB  OTRAS TASAS Y DERECHOS ADMINISTRATIVOS CONTRAPRESTACION PORTUARIA"/>
    <s v="INV"/>
    <s v="NO"/>
    <s v="ASISTENCIA Y ATENCION INTEGRAL A LOS NI?OS Y NI?AS,  JOVENES  Y ADOLESCENTES EN RIESGO DE VINCULACION A  ACTIVIDADES DELICTIVAS Y  AQUELLOS EN CONFLICTO CON LA LEY PENAL EN EL DISTRITO DE   CARTAGENA DE INDIAS"/>
    <s v="2020130010084 ASISTENCIA Y ATENCION INTEGRAL A LOS NI?OS Y NI?AS,  JOVENES  Y ADOLESCENTES EN RIESGO DE VINCULACION A  ACTIVIDADES DELICTIVAS Y  AQUELLOS EN CONFLICTO CON LA LEY PENAL EN EL DISTRITO DE   CARTAGENA DE INDIAS"/>
    <s v="06"/>
    <s v="00"/>
    <n v="0"/>
    <n v="206200000"/>
    <n v="206200000"/>
    <n v="200000000"/>
    <n v="6200000"/>
    <n v="200000000"/>
    <n v="96.99"/>
    <n v="52881150"/>
    <n v="25.65"/>
    <n v="6200000"/>
    <n v="0"/>
  </r>
  <r>
    <n v="2022"/>
    <n v="100"/>
    <x v="3"/>
    <s v="SECRETARIA DEL INTERIOR Y CONVIVENCIA CIUDADANAL"/>
    <s v="02 SECRETARIA DEL INTERIOR Y CONVIVENCIA CIUDADANAL"/>
    <n v="2020130010084"/>
    <s v="10. PILAR: CARTAGENA TRANSPARENTE"/>
    <s v="10.3 LÍNEA ESTRATÉGICA: CONVIVENCIA Y SEGURIDAD PARA LA GOBERNABILIDAD"/>
    <s v="10.3.6 PROGRAMA: ASISTENCIA Y ATENCIÓN INTEGRAL A LOS NIÑOS, NIÑAS, ADOLESCENTES Y JÓVENES EN RIESGO DE VINCULARSE A ACTIVIDADES DELICTIVAS"/>
    <s v="2,3,4103,1500,2020130010084"/>
    <s v="001"/>
    <s v="1,2,1,0,00-001 - ICLD"/>
    <s v="INV"/>
    <s v="NO"/>
    <s v="ASISTENCIA Y ATENCION INTEGRAL A LOS NI?OS, NI?AS,  JOVENES  Y ADOLESCENTES EN RIESGO DE VINCULACION A  ACTIVIDADES DELICTIVAS Y  AQUELLOS EN CONFLICTO CON LA LEY PENAL EN EL DISTRITO DE   CARTAGENA DE INDIAS"/>
    <s v="2020130010084 ASISTENCIA Y ATENCION INTEGRAL A LOS NI?OS, NI?AS,  JOVENES  Y ADOLESCENTES EN RIESGO DE VINCULACION A  ACTIVIDADES DELICTIVAS Y  AQUELLOS EN CONFLICTO CON LA LEY PENAL EN EL DISTRITO DE   CARTAGENA DE INDIAS"/>
    <s v="06"/>
    <s v="00"/>
    <n v="363729577"/>
    <n v="0"/>
    <n v="363729577"/>
    <n v="330374074"/>
    <n v="33355503"/>
    <n v="294210300.37"/>
    <n v="80.89"/>
    <n v="265610300.37"/>
    <n v="73.02"/>
    <n v="69519276.629999995"/>
    <n v="204645550.37"/>
  </r>
  <r>
    <n v="2022"/>
    <n v="100"/>
    <x v="7"/>
    <s v="SECRETARIA DE EDUCACION"/>
    <s v="07 SECRETARIA DE EDUCACION"/>
    <n v="2020130010085"/>
    <s v="08. PILAR CARTAGENA INCLUYENTE"/>
    <s v="8.2 LÍNEA ESTRATEGICA DE EDUCACION: CULTURA DE LA FORMACION &quot;CON LA EDUCACION PARA TODOS Y TODAS SALVAMOS JUNTOS A CARTAGENA&quot;"/>
    <s v="8.2.1 PROGRAMA: ACOGIDA “ATENCIÓN A POBLACIONES Y ESTRATEGIAS DE ACCESO Y PERMANENCIA”"/>
    <s v="2,3,2201,0700,2020130010085"/>
    <s v="071"/>
    <s v="1,2,4,1,01-071 - SGP PRESTACION EDUCATIVO"/>
    <s v="INV"/>
    <s v="NO"/>
    <s v="IMPLEMENTACION DE LA ESTRATEGIA ESCUELA DINAMICA: YO TAMBIEN LLEGO , ATENCION A POBLACION CON EXTRAEDAD EN EL  DISTRITO DE CARTAGENA DE INDIAS"/>
    <s v="2020130010085 IMPLEMENTACION DE LA ESTRATEGIA ESCUELA DINAMICA: YO TAMBIEN LLEGO , ATENCION A POBLACION CON EXTRAEDAD EN EL  DISTRITO DE CARTAGENA DE INDIAS"/>
    <s v="06"/>
    <s v="00"/>
    <n v="0"/>
    <n v="9734352"/>
    <n v="9734352"/>
    <n v="6057084"/>
    <n v="3677268"/>
    <n v="6057084"/>
    <n v="62.22"/>
    <n v="6057084"/>
    <n v="62.22"/>
    <n v="3677268"/>
    <n v="6057084"/>
  </r>
  <r>
    <n v="2022"/>
    <n v="100"/>
    <x v="7"/>
    <s v="SECRETARIA DE EDUCACION"/>
    <s v="07 SECRETARIA DE EDUCACION"/>
    <n v="2020130010085"/>
    <s v="08. PILAR CARTAGENA INCLUYENTE"/>
    <s v="8.2 LÍNEA ESTRATEGICA DE EDUCACION: CULTURA DE LA FORMACION &quot;CON LA EDUCACION PARA TODOS Y TODAS SALVAMOS JUNTOS A CARTAGENA&quot;"/>
    <s v="8.2.1 PROGRAMA: ACOGIDA “ATENCIÓN A POBLACIONES Y ESTRATEGIAS DE ACCESO Y PERMANENCIA”"/>
    <s v="2,3,2201,0700,2020130010085"/>
    <s v="001"/>
    <s v="1,2,1,0,00-001 - ICLD"/>
    <s v="INV"/>
    <s v="NO"/>
    <s v="IMPLEMENTACION DE LA ESTRATEGIA ESCUELA DINAMICA: YO TAMBIEN LLEGO, ATENCION A POBLACION CON EXTRAEDAD EN EL DISTRITO DE  CARTAGENA DE INDIAS"/>
    <s v="2020130010085 IMPLEMENTACION DE LA ESTRATEGIA ESCUELA DINAMICA: YO TAMBIEN LLEGO, ATENCION A POBLACION CON EXTRAEDAD EN EL DISTRITO DE  CARTAGENA DE INDIAS"/>
    <s v="06"/>
    <s v="00"/>
    <n v="1638009053"/>
    <n v="0"/>
    <n v="1638009053"/>
    <n v="1479631323.48"/>
    <n v="158377729.52000001"/>
    <n v="1479631323.48"/>
    <n v="90.33"/>
    <n v="1466858649.48"/>
    <n v="89.55"/>
    <n v="158377729.52000001"/>
    <n v="1466814449.48"/>
  </r>
  <r>
    <n v="2022"/>
    <n v="100"/>
    <x v="7"/>
    <s v="SECRETARIA DE EDUCACION"/>
    <s v="07 SECRETARIA DE EDUCACION"/>
    <n v="2020130010094"/>
    <s v="08. PILAR CARTAGENA INCLUYENTE"/>
    <s v="8.2 LÍNEA ESTRATEGICA DE EDUCACION: CULTURA DE LA FORMACION &quot;CON LA EDUCACION PARA TODOS Y TODAS SALVAMOS JUNTOS A CARTAGENA&quot;"/>
    <s v="8.2.1 PROGRAMA: ACOGIDA “ATENCIÓN A POBLACIONES Y ESTRATEGIAS DE ACCESO Y PERMANENCIA”"/>
    <s v="2,3,2201,0700,2020130010094"/>
    <s v="171"/>
    <s v="1,2,4,1,03-171 - SGP CALIDAD MATRICULA"/>
    <s v="INV"/>
    <s v="NO"/>
    <s v="FORTALECIMIENTO DE LOS AMBIENTES DE APRENDIZAJE DE LAS SEDES DE LAS INSTITUCIONES EDUCATIVAS DE  CARTAGENA DE INDIAS"/>
    <s v="2020130010094 FORTALECIMIENTO DE LOS AMBIENTES DE APRENDIZAJE DE LAS SEDES DE LAS INSTITUCIONES EDUCATIVAS DE  CARTAGENA DE INDIAS"/>
    <s v="06"/>
    <s v="00"/>
    <n v="3700000000"/>
    <n v="0"/>
    <n v="3700000000"/>
    <n v="3642916002.25"/>
    <n v="57083997.75"/>
    <n v="3642916001.9499998"/>
    <n v="98.46"/>
    <n v="2627980849.1300001"/>
    <n v="71.03"/>
    <n v="57083998.049999997"/>
    <n v="2523656007.4099998"/>
  </r>
  <r>
    <n v="2022"/>
    <n v="100"/>
    <x v="7"/>
    <s v="SECRETARIA DE EDUCACION"/>
    <s v="07 SECRETARIA DE EDUCACION"/>
    <n v="2020130010094"/>
    <s v="08. PILAR CARTAGENA INCLUYENTE"/>
    <s v="8.2 LÍNEA ESTRATEGICA DE EDUCACION: CULTURA DE LA FORMACION &quot;CON LA EDUCACION PARA TODOS Y TODAS SALVAMOS JUNTOS A CARTAGENA&quot;"/>
    <s v="8.2.1 PROGRAMA: ACOGIDA “ATENCIÓN A POBLACIONES Y ESTRATEGIAS DE ACCESO Y PERMANENCIA”"/>
    <s v="2,3,2201,0700,2020130010094"/>
    <s v="901"/>
    <s v="1,3,3,6,03-95-171 - R,B, SGP - EDUCACION - CALIDAD  POR MATRICULA OFICIAL"/>
    <s v="INV"/>
    <s v="NO"/>
    <s v="FORTALECIMIENTO DE LOS AMBIENTES DE APRENDIZAJE DE LAS SEDES DE LAS INSTITUCIONES EDUCATIVAS DE  CARTAGENA DE INDIAS"/>
    <s v="2020130010094 FORTALECIMIENTO DE LOS AMBIENTES DE APRENDIZAJE DE LAS SEDES DE LAS INSTITUCIONES EDUCATIVAS DE  CARTAGENA DE INDIAS"/>
    <s v="06"/>
    <s v="00"/>
    <n v="0"/>
    <n v="3748657.69"/>
    <n v="3748657.69"/>
    <n v="3748657"/>
    <n v="0.69"/>
    <n v="3748657"/>
    <n v="100"/>
    <n v="3748657"/>
    <n v="100"/>
    <n v="0.69"/>
    <n v="3748657"/>
  </r>
  <r>
    <n v="2022"/>
    <n v="100"/>
    <x v="7"/>
    <s v="SECRETARIA DE EDUCACION"/>
    <s v="07 SECRETARIA DE EDUCACION"/>
    <n v="2020130010094"/>
    <s v="08. PILAR CARTAGENA INCLUYENTE"/>
    <s v="8.2 LÍNEA ESTRATEGICA DE EDUCACION: CULTURA DE LA FORMACION &quot;CON LA EDUCACION PARA TODOS Y TODAS SALVAMOS JUNTOS A CARTAGENA&quot;"/>
    <s v="8.2.1 PROGRAMA: ACOGIDA “ATENCIÓN A POBLACIONES Y ESTRATEGIAS DE ACCESO Y PERMANENCIA”"/>
    <s v="2,3,2201,0700,2020130010094"/>
    <s v="001"/>
    <s v="1,2,1,0,00-001 - ICLD"/>
    <s v="INV"/>
    <s v="NO"/>
    <s v="FORTALECIMIENTO DE LOS AMBIENTES DE APRENDIZAJE DE LAS SEDES DE LAS INSTITUCIONES EDUCATIVAS DE  CARTAGENA DE INDIAS"/>
    <s v="2020130010094 FORTALECIMIENTO DE LOS AMBIENTES DE APRENDIZAJE DE LAS SEDES DE LAS INSTITUCIONES EDUCATIVAS DE  CARTAGENA DE INDIAS"/>
    <s v="06"/>
    <s v="00"/>
    <n v="2361600000"/>
    <n v="774086963.40999997"/>
    <n v="3135686963.4099998"/>
    <n v="3114590937.8600001"/>
    <n v="21096025.550000001"/>
    <n v="3114590936.9299998"/>
    <n v="99.33"/>
    <n v="2257623427.8600001"/>
    <n v="72"/>
    <n v="21096026.48"/>
    <n v="1483599244.8599999"/>
  </r>
  <r>
    <n v="2022"/>
    <n v="100"/>
    <x v="9"/>
    <s v="SECRETARIA DE PARTICIPACION Y DESARROLLO SOCIAL"/>
    <s v="08 SECRETARIA DE PARTICIPACION Y DESARROLLO SOCIAL"/>
    <n v="2020130010101"/>
    <s v="09. PILAR CARTAGENA CONTINGENTE"/>
    <s v="9.1 LÍNEA ESTRATÉGICA: DESARROLLO ECONÓMICO Y EMPLEABILIDAD"/>
    <s v="9.1.3 PROGRAMA: &quot;EMPLEO INCLUSIVO PARA LOS JÓVENES”"/>
    <s v="2,3,4103,1500,2020130010101"/>
    <s v="001"/>
    <s v="1,2,1,0,00-001 - ICLD"/>
    <s v="INV"/>
    <s v="NO"/>
    <s v="FORTALECIMIENTO EMPLEO INCLUSIVO PARA LOS JOVENES-0  CARTAGENA DE INDIAS"/>
    <s v="2020130010101 FORTALECIMIENTO EMPLEO INCLUSIVO PARA LOS JOVENES-0  CARTAGENA DE INDIAS"/>
    <s v="06"/>
    <s v="00"/>
    <n v="80000000"/>
    <n v="0"/>
    <n v="80000000"/>
    <n v="79320000"/>
    <n v="680000"/>
    <n v="79299677.599999994"/>
    <n v="99.12"/>
    <n v="24400000"/>
    <n v="30.5"/>
    <n v="700322.4"/>
    <n v="24400000"/>
  </r>
  <r>
    <n v="2022"/>
    <n v="100"/>
    <x v="9"/>
    <s v="SECRETARIA DE PARTICIPACION Y DESARROLLO SOCIAL"/>
    <s v="08 SECRETARIA DE PARTICIPACION Y DESARROLLO SOCIAL"/>
    <n v="2020130010102"/>
    <s v="09. PILAR CARTAGENA CONTINGENTE"/>
    <s v="9.1 LÍNEA ESTRATÉGICA: DESARROLLO ECONÓMICO Y EMPLEABILIDAD"/>
    <s v="9.1.2 PROGRAMA: MUJERES CON AUTONOMÍA ECONÓMICA"/>
    <s v="2,3,4103,1500,2020130010102"/>
    <s v="001"/>
    <s v="1,2,1,0,00-001 - ICLD"/>
    <s v="INV"/>
    <s v="NO"/>
    <s v="FORTALECIMIENTO MUJERES CON AUTONOMIA ECONOMICA  CARTAGENA DE INDIAS"/>
    <s v="2020130010102 FORTALECIMIENTO MUJERES CON AUTONOMIA ECONOMICA  CARTAGENA DE INDIAS"/>
    <s v="06"/>
    <s v="00"/>
    <n v="95000000"/>
    <n v="-18000000"/>
    <n v="77000000"/>
    <n v="77000000"/>
    <n v="0"/>
    <n v="76900000"/>
    <n v="99.87"/>
    <n v="72883333"/>
    <n v="94.65"/>
    <n v="100000"/>
    <n v="72883333"/>
  </r>
  <r>
    <n v="2022"/>
    <n v="100"/>
    <x v="9"/>
    <s v="SECRETARIA DE PARTICIPACION Y DESARROLLO SOCIAL"/>
    <s v="08 SECRETARIA DE PARTICIPACION Y DESARROLLO SOCIAL"/>
    <n v="2020130010103"/>
    <s v="09. PILAR CARTAGENA CONTINGENTE"/>
    <s v="9.1 LÍNEA ESTRATÉGICA: DESARROLLO ECONÓMICO Y EMPLEABILIDAD"/>
    <s v="9.1.1 PROGRAMA: CENTROS PARA EL EMPRENDIMIENTO Y LA GESTIÓN DE LA EMPLEABILIDAD EN CARTAGENA DE INDIAS"/>
    <s v="2,3,4103,1500,2020130010103"/>
    <s v="001"/>
    <s v="1,2,1,0,00-001 - ICLD"/>
    <s v="INV"/>
    <s v="NO"/>
    <s v="IMPLEMENTACION ESTRATEGIAS DE EMPRENDIMIENTO Y EMPRESARISMO PARA LA INCLUSION PRODUCTIVA Y LA VINCULACION LABORAL EN EL DISTRITO DE CARTAGENA:  CENTROS PARA EL EMPRENDIMIENTO Y LA GESTION DE LA EMPLEABILIDAD  CARTAGENA DE INDIAS"/>
    <s v="2020130010103 IMPLEMENTACION ESTRATEGIAS DE EMPRENDIMIENTO Y EMPRESARISMO PARA LA INCLUSION PRODUCTIVA Y LA VINCULACION LABORAL EN EL DISTRITO DE CARTAGENA:  CENTROS PARA EL EMPRENDIMIENTO Y LA GESTION DE LA EMPLEABILIDAD  CARTAGENA DE INDIAS"/>
    <s v="06"/>
    <s v="00"/>
    <n v="460000000"/>
    <n v="0"/>
    <n v="460000000"/>
    <n v="459049865"/>
    <n v="950135"/>
    <n v="450204681"/>
    <n v="97.87"/>
    <n v="138300000"/>
    <n v="30.07"/>
    <n v="9795319"/>
    <n v="131700000"/>
  </r>
  <r>
    <n v="2022"/>
    <n v="100"/>
    <x v="9"/>
    <s v="SECRETARIA DE PARTICIPACION Y DESARROLLO SOCIAL"/>
    <s v="08 SECRETARIA DE PARTICIPACION Y DESARROLLO SOCIAL"/>
    <n v="2020130010110"/>
    <s v="11. EJE TRANSVERSAL: CARTAGENA CON ATENCION Y GARANTIA DE DERECHOS A POBLACION DIFERENCIAL."/>
    <s v="11.3 LÍNEA ESTRATÉGICA: INCLUSIÓN Y OPORTUNIDAD PARA NIÑOS, NIÑAS Y ADOLESCENTES Y FAMILIAS."/>
    <s v="11.3.4 PROGRAMA: FORTALECIMIENTO FAMILIAR."/>
    <s v="2,3,4102,1500,2020130010110"/>
    <s v="001"/>
    <s v="1,2,1,0,00-001 - ICLD"/>
    <s v="INV"/>
    <s v="NO"/>
    <s v="FORTALECIMIENTO FAMILIAR  CARTAGENA DE INDIAS"/>
    <s v="2020130010110 FORTALECIMIENTO FAMILIAR  CARTAGENA DE INDIAS"/>
    <s v="06"/>
    <s v="00"/>
    <n v="70000000"/>
    <n v="0"/>
    <n v="70000000"/>
    <n v="61359997"/>
    <n v="8640003"/>
    <n v="53709997"/>
    <n v="76.73"/>
    <n v="46209997"/>
    <n v="66.010000000000005"/>
    <n v="16290003"/>
    <n v="10000000"/>
  </r>
  <r>
    <n v="2022"/>
    <n v="100"/>
    <x v="9"/>
    <s v="SECRETARIA DE PARTICIPACION Y DESARROLLO SOCIAL"/>
    <s v="08 SECRETARIA DE PARTICIPACION Y DESARROLLO SOCIAL"/>
    <n v="2020130010112"/>
    <s v="11. EJE TRANSVERSAL: CARTAGENA CON ATENCION Y GARANTIA DE DERECHOS A POBLACION DIFERENCIAL."/>
    <s v="11.3 LÍNEA ESTRATÉGICA: INCLUSIÓN Y OPORTUNIDAD PARA NIÑOS, NIÑAS Y ADOLESCENTES Y FAMILIAS."/>
    <s v="11.3.2 PROTECCIÓN DE LA INFANCIA Y LA ADOLESCENCIA PARA LA PREVENCIÓN Y ATENCIÓN DE VIOLENCIAS"/>
    <s v="2,3,4102,1500,2020130010112"/>
    <s v="001"/>
    <s v="1,2,1,0,00-001 - ICLD"/>
    <s v="INV"/>
    <s v="NO"/>
    <s v="PROTECCION DE LA INFANCIA Y LA ADOLESCENCIA PARA LA PREVENCION Y ATENCION DE VIOLENCIAS EN EL DISTRITO DE  CARTAGENA DE INDIAS"/>
    <s v="2020130010112 PROTECCION DE LA INFANCIA Y LA ADOLESCENCIA PARA LA PREVENCION Y ATENCION DE VIOLENCIAS EN EL DISTRITO DE  CARTAGENA DE INDIAS"/>
    <s v="06"/>
    <s v="00"/>
    <n v="500000000"/>
    <n v="0"/>
    <n v="500000000"/>
    <n v="499996999.80000001"/>
    <n v="3000.2"/>
    <n v="462311755.80000001"/>
    <n v="92.46"/>
    <n v="256608159"/>
    <n v="51.32"/>
    <n v="37688244.200000003"/>
    <n v="143370000"/>
  </r>
  <r>
    <n v="2022"/>
    <n v="100"/>
    <x v="7"/>
    <s v="SECRETARIA DE EDUCACION"/>
    <s v="07 SECRETARIA DE EDUCACION"/>
    <n v="2020130010117"/>
    <s v="08. PILAR CARTAGENA INCLUYENTE"/>
    <s v="8.2 LÍNEA ESTRATEGICA DE EDUCACION: CULTURA DE LA FORMACION &quot;CON LA EDUCACION PARA TODOS Y TODAS SALVAMOS JUNTOS A CARTAGENA&quot;"/>
    <s v="8.2.1 PROGRAMA: ACOGIDA “ATENCIÓN A POBLACIONES Y ESTRATEGIAS DE ACCESO Y PERMANENCIA”"/>
    <s v="2,3,2201,0700,2020130010117"/>
    <s v="908"/>
    <s v="1,3,3,6,01-95-071 R,B, SGP-EDUCACION-PRESTACION DE SERVICIOS"/>
    <s v="INV"/>
    <s v="NO"/>
    <s v="IMPLEMENTACION DE LA ESTRATEGIA UNICOS E INAGOTABLES PARA LA ATENCION A POBLACION DIVERSA: UNA ESCUELA DE Y PARA TODAS Y TODOS, EN  CARTAGENA DE INDIAS"/>
    <s v="2020130010117 IMPLEMENTACION DE LA ESTRATEGIA UNICOS E INAGOTABLES PARA LA ATENCION A POBLACION DIVERSA: UNA ESCUELA DE Y PARA TODAS Y TODOS, EN  CARTAGENA DE INDIAS"/>
    <s v="06"/>
    <s v="00"/>
    <n v="0"/>
    <n v="0"/>
    <n v="0"/>
    <n v="0"/>
    <n v="0"/>
    <n v="0"/>
    <n v="0"/>
    <n v="0"/>
    <n v="0"/>
    <n v="0"/>
    <n v="0"/>
  </r>
  <r>
    <n v="2022"/>
    <n v="100"/>
    <x v="7"/>
    <s v="SECRETARIA DE EDUCACION"/>
    <s v="07 SECRETARIA DE EDUCACION"/>
    <n v="2020130010117"/>
    <s v="08. PILAR CARTAGENA INCLUYENTE"/>
    <s v="8.2 LÍNEA ESTRATEGICA DE EDUCACION: CULTURA DE LA FORMACION &quot;CON LA EDUCACION PARA TODOS Y TODAS SALVAMOS JUNTOS A CARTAGENA&quot;"/>
    <s v="8.2.1 PROGRAMA: ACOGIDA “ATENCIÓN A POBLACIONES Y ESTRATEGIAS DE ACCESO Y PERMANENCIA”"/>
    <s v="2,3,2201,0700,2020130010117"/>
    <s v="071"/>
    <s v="1,2,4,1,01-071 - SGP PRESTACION EDUCATIVO"/>
    <s v="INV"/>
    <s v="NO"/>
    <s v="IMPLEMENTACION DE LA ESTRATEGIA UNICOS E INAGOTABLES PARA LA ATENCION A POBLACION DIVERSA: UNA ESCUELA DE Y PARA TODAS Y TODOS, EN  CARTAGENA DE INDIAS"/>
    <s v="2020130010117 IMPLEMENTACION DE LA ESTRATEGIA UNICOS E INAGOTABLES PARA LA ATENCION A POBLACION DIVERSA: UNA ESCUELA DE Y PARA TODAS Y TODOS, EN  CARTAGENA DE INDIAS"/>
    <s v="06"/>
    <s v="00"/>
    <n v="2754707448"/>
    <n v="-1130734771.2"/>
    <n v="1623972676.8"/>
    <n v="1623972676.8"/>
    <n v="0"/>
    <n v="1623972676"/>
    <n v="100"/>
    <n v="1608123351"/>
    <n v="99.02"/>
    <n v="0.8"/>
    <n v="1584808878"/>
  </r>
  <r>
    <n v="2022"/>
    <n v="100"/>
    <x v="7"/>
    <s v="SECRETARIA DE EDUCACION"/>
    <s v="07 SECRETARIA DE EDUCACION"/>
    <n v="2020130010117"/>
    <s v="08. PILAR CARTAGENA INCLUYENTE"/>
    <s v="8.2 LÍNEA ESTRATEGICA DE EDUCACION: CULTURA DE LA FORMACION &quot;CON LA EDUCACION PARA TODOS Y TODAS SALVAMOS JUNTOS A CARTAGENA&quot;"/>
    <s v="8.2.1 PROGRAMA: ACOGIDA “ATENCIÓN A POBLACIONES Y ESTRATEGIAS DE ACCESO Y PERMANENCIA”"/>
    <s v="2,3,2201,0700,2020130010117"/>
    <s v="001"/>
    <s v="1,2,1,0,00-001 - ICLD"/>
    <s v="INV"/>
    <s v="NO"/>
    <s v="IMPLEMENTACION DE LA ESTRATEGIA UNICOS E INAGOTABLES PARA LA ATENCION A POBLACION DIVERSA: UNA ESCUELA DE Y PARA TODAS Y TODOS, EN  CARTAGENA DE INDIAS"/>
    <s v="2020130010117 IMPLEMENTACION DE LA ESTRATEGIA UNICOS E INAGOTABLES PARA LA ATENCION A POBLACION DIVERSA: UNA ESCUELA DE Y PARA TODAS Y TODOS, EN  CARTAGENA DE INDIAS"/>
    <s v="06"/>
    <s v="00"/>
    <n v="86525385"/>
    <n v="-10172893"/>
    <n v="76352492"/>
    <n v="76352492"/>
    <n v="0"/>
    <n v="76352491.989999995"/>
    <n v="100"/>
    <n v="76352491.989999995"/>
    <n v="100"/>
    <n v="0.01"/>
    <n v="69550051.659999996"/>
  </r>
  <r>
    <n v="2022"/>
    <n v="100"/>
    <x v="9"/>
    <s v="SECRETARIA DE PARTICIPACION Y DESARROLLO SOCIAL"/>
    <s v="08 SECRETARIA DE PARTICIPACION Y DESARROLLO SOCIAL"/>
    <n v="2020130010119"/>
    <s v="11. EJE TRANSVERSAL: CARTAGENA CON ATENCION Y GARANTIA DE DERECHOS A POBLACION DIFERENCIAL."/>
    <s v="11.3 LÍNEA ESTRATÉGICA: INCLUSIÓN Y OPORTUNIDAD PARA NIÑOS, NIÑAS Y ADOLESCENTES Y FAMILIAS."/>
    <s v="11.3.1 PROGRAMA: COMPROMETIDOS CON LA SALVACIÓN DE NUESTRA PRIMERA INFANCIA"/>
    <s v="2,3,4102,1500,2020130010119"/>
    <s v="924"/>
    <s v="1,3,3,9,03-93-026 R,B, SGP-ASIGNACION-ATENCION INTEGRAL DE LA PRIMERA INFANCIA"/>
    <s v="INV"/>
    <s v="NO"/>
    <s v="COMPROMISO CON LA SALVACION DE NUESTRA PRIMERA INFANCIA EN EL DISTRITO DE CARTAGENA DE INDIAS"/>
    <s v="2020130010119 COMPROMISO CON LA SALVACION DE NUESTRA PRIMERA INFANCIA EN EL DISTRITO DE CARTAGENA DE INDIAS"/>
    <s v="06"/>
    <s v="00"/>
    <n v="0"/>
    <n v="839280606.97000003"/>
    <n v="839280606.97000003"/>
    <n v="600222928.65999997"/>
    <n v="239057678.31"/>
    <n v="125969716.31999999"/>
    <n v="15.01"/>
    <n v="0"/>
    <n v="0"/>
    <n v="713310890.64999998"/>
    <n v="0"/>
  </r>
  <r>
    <n v="2022"/>
    <n v="100"/>
    <x v="9"/>
    <s v="SECRETARIA DE PARTICIPACION Y DESARROLLO SOCIAL"/>
    <s v="08 SECRETARIA DE PARTICIPACION Y DESARROLLO SOCIAL"/>
    <n v="2020130010119"/>
    <s v="11. EJE TRANSVERSAL: CARTAGENA CON ATENCION Y GARANTIA DE DERECHOS A POBLACION DIFERENCIAL."/>
    <s v="11.3 LÍNEA ESTRATÉGICA: INCLUSIÓN Y OPORTUNIDAD PARA NIÑOS, NIÑAS Y ADOLESCENTES Y FAMILIAS."/>
    <s v="11.3.1 PROGRAMA: COMPROMETIDOS CON LA SALVACIÓN DE NUESTRA PRIMERA INFANCIA"/>
    <s v="2,3,4102,1500,2020130010119"/>
    <s v="926"/>
    <s v="1,3,3,9,03-95-065 R,B, SGP-ASIGNACION-ATENCION INTEGRAL DE LA PRIMERA INFANCIA"/>
    <s v="INV"/>
    <s v="NO"/>
    <s v="COMPROMISO CON LA SALVACION DE NUESTRA PRIMERA INFANCIA EN EL DISTRITO DE CARTAGENA DE INDIAS"/>
    <s v="2020130010119 COMPROMISO CON LA SALVACION DE NUESTRA PRIMERA INFANCIA EN EL DISTRITO DE CARTAGENA DE INDIAS"/>
    <s v="06"/>
    <s v="00"/>
    <n v="0"/>
    <n v="159738854.62"/>
    <n v="159738854.62"/>
    <n v="159738854.16999999"/>
    <n v="0.45"/>
    <n v="159738854.16999999"/>
    <n v="100"/>
    <n v="148236385.16999999"/>
    <n v="92.8"/>
    <n v="0.45"/>
    <n v="0"/>
  </r>
  <r>
    <n v="2022"/>
    <n v="100"/>
    <x v="9"/>
    <s v="SECRETARIA DE PARTICIPACION Y DESARROLLO SOCIAL"/>
    <s v="08 SECRETARIA DE PARTICIPACION Y DESARROLLO SOCIAL"/>
    <n v="2020130010119"/>
    <s v="11. EJE TRANSVERSAL: CARTAGENA CON ATENCION Y GARANTIA DE DERECHOS A POBLACION DIFERENCIAL."/>
    <s v="11.3 LÍNEA ESTRATÉGICA: INCLUSIÓN Y OPORTUNIDAD PARA NIÑOS, NIÑAS Y ADOLESCENTES Y FAMILIAS."/>
    <s v="11.3.1 PROGRAMA: COMPROMETIDOS CON LA SALVACIÓN DE NUESTRA PRIMERA INFANCIA"/>
    <s v="2,3,4102,1500,2020130010119"/>
    <s v="065"/>
    <s v="1,3,2,2,11-065 - RF SGP PRIMERA INFANCIA"/>
    <s v="INV"/>
    <s v="NO"/>
    <s v="COMPROMISO CON LA SALVACION DE  NUESTRA PRIMERA INFANCIA EN EL DISTRITO DE  CARTAGENA DE INDIAS"/>
    <s v="2020130010119 COMPROMISO CON LA SALVACION DE  NUESTRA PRIMERA INFANCIA EN EL DISTRITO DE  CARTAGENA DE INDIAS"/>
    <s v="06"/>
    <s v="00"/>
    <n v="1"/>
    <n v="0"/>
    <n v="1"/>
    <n v="0"/>
    <n v="1"/>
    <n v="0"/>
    <n v="0"/>
    <n v="0"/>
    <n v="0"/>
    <n v="1"/>
    <n v="0"/>
  </r>
  <r>
    <n v="2022"/>
    <n v="100"/>
    <x v="9"/>
    <s v="SECRETARIA DE PARTICIPACION Y DESARROLLO SOCIAL"/>
    <s v="08 SECRETARIA DE PARTICIPACION Y DESARROLLO SOCIAL"/>
    <n v="2020130010119"/>
    <s v="11. EJE TRANSVERSAL: CARTAGENA CON ATENCION Y GARANTIA DE DERECHOS A POBLACION DIFERENCIAL."/>
    <s v="11.3 LÍNEA ESTRATÉGICA: INCLUSIÓN Y OPORTUNIDAD PARA NIÑOS, NIÑAS Y ADOLESCENTES Y FAMILIAS."/>
    <s v="11.3.1 PROGRAMA: COMPROMETIDOS CON LA SALVACIÓN DE NUESTRA PRIMERA INFANCIA"/>
    <s v="2,3,4102,1500,2020130010119"/>
    <s v="001"/>
    <s v="1,2,1,0,00-001 - ICLD"/>
    <s v="INV"/>
    <s v="NO"/>
    <s v="COMPROMISO CON LA SALVACION DE  NUESTRA PRIMERA INFANCIA EN EL DISTRITO DE  CARTAGENA DE INDIAS"/>
    <s v="2020130010119 COMPROMISO CON LA SALVACION DE  NUESTRA PRIMERA INFANCIA EN EL DISTRITO DE  CARTAGENA DE INDIAS"/>
    <s v="06"/>
    <s v="00"/>
    <n v="1335000000"/>
    <n v="-120000000"/>
    <n v="1215000000"/>
    <n v="1214881741"/>
    <n v="118259"/>
    <n v="1134308739.95"/>
    <n v="93.36"/>
    <n v="966834479"/>
    <n v="79.569999999999993"/>
    <n v="80691260.049999997"/>
    <n v="885137243"/>
  </r>
  <r>
    <n v="2022"/>
    <n v="100"/>
    <x v="9"/>
    <s v="SECRETARIA DE PARTICIPACION Y DESARROLLO SOCIAL"/>
    <s v="08 SECRETARIA DE PARTICIPACION Y DESARROLLO SOCIAL"/>
    <n v="2020130010119"/>
    <s v="11. EJE TRANSVERSAL: CARTAGENA CON ATENCION Y GARANTIA DE DERECHOS A POBLACION DIFERENCIAL."/>
    <s v="11.3 LÍNEA ESTRATÉGICA: INCLUSIÓN Y OPORTUNIDAD PARA NIÑOS, NIÑAS Y ADOLESCENTES Y FAMILIAS."/>
    <s v="11.3.1 PROGRAMA: COMPROMETIDOS CON LA SALVACIÓN DE NUESTRA PRIMERA INFANCIA"/>
    <s v="2,3,4102,1500,2020130010119"/>
    <s v="925"/>
    <s v="1,3,3,9,03-93-065 R,B, SGP-ASIGNACION-ATENCION INTEGRAL DE LA PRIMERA INFANCIA"/>
    <s v="INV"/>
    <s v="NO"/>
    <s v="COMPROMISO CON LA SALVACION DE NUESTRA PRIMERA INFANCIA EN EL DISTRITO DE CARTAGENA DE INDIAS"/>
    <s v="2020130010119 COMPROMISO CON LA SALVACION DE NUESTRA PRIMERA INFANCIA EN EL DISTRITO DE CARTAGENA DE INDIAS"/>
    <s v="06"/>
    <s v="00"/>
    <n v="0"/>
    <n v="16455153.369999999"/>
    <n v="16455153.369999999"/>
    <n v="16455153"/>
    <n v="0.37"/>
    <n v="16455153"/>
    <n v="100"/>
    <n v="0"/>
    <n v="0"/>
    <n v="0.37"/>
    <n v="0"/>
  </r>
  <r>
    <n v="2022"/>
    <n v="100"/>
    <x v="9"/>
    <s v="SECRETARIA DE PARTICIPACION Y DESARROLLO SOCIAL"/>
    <s v="08 SECRETARIA DE PARTICIPACION Y DESARROLLO SOCIAL"/>
    <n v="2020130010120"/>
    <s v="11. EJE TRANSVERSAL: CARTAGENA CON ATENCION Y GARANTIA DE DERECHOS A POBLACION DIFERENCIAL."/>
    <s v="11.3 LÍNEA ESTRATÉGICA: INCLUSIÓN Y OPORTUNIDAD PARA NIÑOS, NIÑAS Y ADOLESCENTES Y FAMILIAS."/>
    <s v="11.3.3 PROGRAMA: LOS NIÑOS, LAS NIÑAS Y ADOLESCENTES DE CARTAGENA PARTICIPAN Y DISFRUTAN SUS DERECHOS."/>
    <s v="2,3,4102,1500,2020130010120"/>
    <s v="001"/>
    <s v="1,2,1,0,00-001 - ICLD"/>
    <s v="INV"/>
    <s v="NO"/>
    <s v="LOS NINOS, LAS NINAS Y ADOLESCENTES DE CARTAGENA PARTICIPAN Y DISFRUTAN SUS DERECHOS "/>
    <s v="2020130010120 LOS NINOS, LAS NINAS Y ADOLESCENTES DE CARTAGENA PARTICIPAN Y DISFRUTAN SUS DERECHOS "/>
    <s v="06"/>
    <s v="00"/>
    <n v="100000000"/>
    <n v="120000000"/>
    <n v="220000000"/>
    <n v="219999556"/>
    <n v="444"/>
    <n v="174375284"/>
    <n v="79.260000000000005"/>
    <n v="54376600"/>
    <n v="24.72"/>
    <n v="45624716"/>
    <n v="47700000"/>
  </r>
  <r>
    <n v="2022"/>
    <n v="100"/>
    <x v="8"/>
    <s v="DEPARTAMENTO ADMINISTRATIVO DE SALUD"/>
    <s v="10 DEPARTAMENTO ADMINISTRATIVO DE SALUD"/>
    <n v="2020130010124"/>
    <s v="08. PILAR CARTAGENA INCLUYENTE"/>
    <s v="8.3 LÍNEA ESTRATÉGICA SALUD PARA TODOS"/>
    <s v="8.3.8 VIDA SALUDABLE Y ENFERMEDADES TRANSMISIBLES"/>
    <s v="2,3,1905,0300,2020130010124"/>
    <s v="170"/>
    <s v="1,2,4,2,02-170 - SGP SALUD PUBLICA"/>
    <s v="INV"/>
    <s v="NO"/>
    <s v="PREVENCION Y CONTROL DE LAS ENFERMEDADES INMUNOPREVENIBLES EN EL DISTRITO DE  CARTAGENA DE INDIAS"/>
    <s v="2020130010124 PREVENCION Y CONTROL DE LAS ENFERMEDADES INMUNOPREVENIBLES EN EL DISTRITO DE  CARTAGENA DE INDIAS"/>
    <s v="06"/>
    <s v="00"/>
    <n v="540800000"/>
    <n v="0"/>
    <n v="540800000"/>
    <n v="540800000"/>
    <n v="0"/>
    <n v="527673333"/>
    <n v="97.57"/>
    <n v="454673333"/>
    <n v="84.07"/>
    <n v="13126667"/>
    <n v="454673333"/>
  </r>
  <r>
    <n v="2022"/>
    <n v="100"/>
    <x v="8"/>
    <s v="DEPARTAMENTO ADMINISTRATIVO DE SALUD"/>
    <s v="10 DEPARTAMENTO ADMINISTRATIVO DE SALUD"/>
    <n v="2020130010124"/>
    <s v="08. PILAR CARTAGENA INCLUYENTE"/>
    <s v="8.3 LÍNEA ESTRATÉGICA SALUD PARA TODOS"/>
    <s v="8.3.8 VIDA SALUDABLE Y ENFERMEDADES TRANSMISIBLES"/>
    <s v="2,3,1905,0300,2020130010124"/>
    <s v="916"/>
    <s v="1,3,3,7,02-95-170 R,B, SGP-SALUD-SALUD PUBLICA"/>
    <s v="INV"/>
    <s v="NO"/>
    <s v="PREVENCION Y CONTROL DE LAS ENFERMEDADES INMUNOPREVENIBLES EN EL DISTRITO DE  CARTAGENA DE INDIAS"/>
    <s v="2020130010124 PREVENCION Y CONTROL DE LAS ENFERMEDADES INMUNOPREVENIBLES EN EL DISTRITO DE  CARTAGENA DE INDIAS"/>
    <s v="06"/>
    <s v="00"/>
    <n v="0"/>
    <n v="1065100000"/>
    <n v="1065100000"/>
    <n v="977493332"/>
    <n v="87606668"/>
    <n v="863226662"/>
    <n v="81.05"/>
    <n v="686226662"/>
    <n v="64.430000000000007"/>
    <n v="201873338"/>
    <n v="405800000"/>
  </r>
  <r>
    <n v="2022"/>
    <n v="100"/>
    <x v="8"/>
    <s v="DEPARTAMENTO ADMINISTRATIVO DE SALUD"/>
    <s v="10 DEPARTAMENTO ADMINISTRATIVO DE SALUD"/>
    <n v="2020130010129"/>
    <s v="08. PILAR CARTAGENA INCLUYENTE"/>
    <s v="8.3 LÍNEA ESTRATÉGICA SALUD PARA TODOS"/>
    <s v="8.3.10 SALUD Y ÁMBITO LABORAL"/>
    <s v="2,3,1905,0300,2020130010129"/>
    <s v="170"/>
    <s v="1,2,4,2,02-170 - SGP SALUD PUBLICA"/>
    <s v="INV"/>
    <s v="NO"/>
    <s v="FORTALECIMIENTO DE LA PROMOCION DE LA SALUD Y SEGURIDAD EN EL ENTORNO LABORAL DE LA ECONOMIA FORMAL E INFORMAL DEL DISTRITO DE  CARTAGENA DE INDIAS"/>
    <s v="2020130010129 FORTALECIMIENTO DE LA PROMOCION DE LA SALUD Y SEGURIDAD EN EL ENTORNO LABORAL DE LA ECONOMIA FORMAL E INFORMAL DEL DISTRITO DE  CARTAGENA DE INDIAS"/>
    <s v="06"/>
    <s v="00"/>
    <n v="382058179"/>
    <n v="0"/>
    <n v="382058179"/>
    <n v="382058179"/>
    <n v="0"/>
    <n v="382058179"/>
    <n v="100"/>
    <n v="263400000"/>
    <n v="68.94"/>
    <n v="0"/>
    <n v="263400000"/>
  </r>
  <r>
    <n v="2022"/>
    <n v="100"/>
    <x v="8"/>
    <s v="DEPARTAMENTO ADMINISTRATIVO DE SALUD"/>
    <s v="10 DEPARTAMENTO ADMINISTRATIVO DE SALUD"/>
    <n v="2020130010130"/>
    <s v="08. PILAR CARTAGENA INCLUYENTE"/>
    <s v="8.3 LÍNEA ESTRATÉGICA SALUD PARA TODOS"/>
    <s v="8.3.4 VIDA SALUDABLE Y CONDICIONES NO TRANSMISIBLES"/>
    <s v="2,3,1905,0300,2020130010130"/>
    <s v="170"/>
    <s v="1,2,4,2,02-170 - SGP SALUD PUBLICA"/>
    <s v="INV"/>
    <s v="NO"/>
    <s v="FORTALECIMIENTO DE VIDA SALUDABLE Y ATENCION DE CONDICIONES CRONICAS NO TRANSMISIBLES EN EL DISTRITO DE  CARTAGENA DE INDIAS"/>
    <s v="2020130010130 FORTALECIMIENTO DE VIDA SALUDABLE Y ATENCION DE CONDICIONES CRONICAS NO TRANSMISIBLES EN EL DISTRITO DE  CARTAGENA DE INDIAS"/>
    <s v="06"/>
    <s v="00"/>
    <n v="418157605"/>
    <n v="0"/>
    <n v="418157605"/>
    <n v="418157605"/>
    <n v="0"/>
    <n v="418157605"/>
    <n v="100"/>
    <n v="280800000"/>
    <n v="67.150000000000006"/>
    <n v="0"/>
    <n v="277000000"/>
  </r>
  <r>
    <n v="2022"/>
    <n v="100"/>
    <x v="8"/>
    <s v="DEPARTAMENTO ADMINISTRATIVO DE SALUD"/>
    <s v="10 DEPARTAMENTO ADMINISTRATIVO DE SALUD"/>
    <n v="2020130010132"/>
    <s v="08. PILAR CARTAGENA INCLUYENTE"/>
    <s v="8.3 LÍNEA ESTRATÉGICA SALUD PARA TODOS"/>
    <s v="8.3.1 PROGRAMA: FORTALECIMIENTO DE LA AUTORIDAD SANITARIA"/>
    <s v="2,3,1903,0300,2020130010132"/>
    <s v="001"/>
    <s v="1,2,1,0,00-001 - ICLD"/>
    <s v="INV"/>
    <s v="NO"/>
    <s v="DESARROLLO INSTITUCIONAL DEL DEPARTAMENTO ADMINISTRATIVO DISTRITAL DE SALUD DE  CARTAGENA DE INDIAS"/>
    <s v="2020130010132 DESARROLLO INSTITUCIONAL DEL DEPARTAMENTO ADMINISTRATIVO DISTRITAL DE SALUD DE  CARTAGENA DE INDIAS"/>
    <s v="06"/>
    <s v="00"/>
    <n v="1125000000"/>
    <n v="0"/>
    <n v="1125000000"/>
    <n v="1115880000"/>
    <n v="9120000"/>
    <n v="1114906666"/>
    <n v="99.1"/>
    <n v="1114906666"/>
    <n v="99.1"/>
    <n v="10093334"/>
    <n v="1093200000"/>
  </r>
  <r>
    <n v="2022"/>
    <n v="100"/>
    <x v="8"/>
    <s v="DEPARTAMENTO ADMINISTRATIVO DE SALUD"/>
    <s v="10 DEPARTAMENTO ADMINISTRATIVO DE SALUD"/>
    <n v="2020130010132"/>
    <s v="08. PILAR CARTAGENA INCLUYENTE"/>
    <s v="8.3 LÍNEA ESTRATÉGICA SALUD PARA TODOS"/>
    <s v="8.3.1 PROGRAMA: FORTALECIMIENTO DE LA AUTORIDAD SANITARIA"/>
    <s v="2,3,1903,0300,2020130010132"/>
    <s v="015"/>
    <s v="1,2,3,3,07-015 - RECURSOS DEL SISTEMA DE SEGURIDAD SOCIAL INTEGRAL - SALUD"/>
    <s v="INV"/>
    <s v="NO"/>
    <s v="DESARROLLO INSTITUCIONAL DEL DEPARTAMENTO ADMINISTRATIVO DISTRITAL DE SALUD DE  CARTAGENA DE INDIAS"/>
    <s v="2020130010132 DESARROLLO INSTITUCIONAL DEL DEPARTAMENTO ADMINISTRATIVO DISTRITAL DE SALUD DE  CARTAGENA DE INDIAS"/>
    <s v="06"/>
    <s v="00"/>
    <n v="780000000"/>
    <n v="0"/>
    <n v="780000000"/>
    <n v="683561392"/>
    <n v="96438608"/>
    <n v="664101391"/>
    <n v="85.14"/>
    <n v="653601391"/>
    <n v="83.8"/>
    <n v="115898609"/>
    <n v="506100000"/>
  </r>
  <r>
    <n v="2022"/>
    <n v="100"/>
    <x v="8"/>
    <s v="DEPARTAMENTO ADMINISTRATIVO DE SALUD"/>
    <s v="10 DEPARTAMENTO ADMINISTRATIVO DE SALUD"/>
    <n v="2020130010132"/>
    <s v="08. PILAR CARTAGENA INCLUYENTE"/>
    <s v="8.3 LÍNEA ESTRATÉGICA SALUD PARA TODOS"/>
    <s v="8.3.1 PROGRAMA: FORTALECIMIENTO DE LA AUTORIDAD SANITARIA"/>
    <s v="2,3,1903,0300,2020130010132"/>
    <s v="017"/>
    <s v="1,3,2,3,02-017 - RF SISTEMA DE SEGURIDAD SOCIAL SALUD"/>
    <s v="INV"/>
    <s v="NO"/>
    <s v="DESARROLLO INSTITUCIONAL DEL DEPARTAMENTO ADMINISTRATIVO DISTRITAL DE SALUD DE  CARTAGENA DE INDIAS"/>
    <s v="2020130010132 DESARROLLO INSTITUCIONAL DEL DEPARTAMENTO ADMINISTRATIVO DISTRITAL DE SALUD DE  CARTAGENA DE INDIAS"/>
    <s v="06"/>
    <s v="00"/>
    <n v="200000000"/>
    <n v="0"/>
    <n v="200000000"/>
    <n v="48800000"/>
    <n v="151200000"/>
    <n v="48800000"/>
    <n v="24.4"/>
    <n v="48800000"/>
    <n v="24.4"/>
    <n v="151200000"/>
    <n v="48800000"/>
  </r>
  <r>
    <n v="2022"/>
    <n v="100"/>
    <x v="8"/>
    <s v="DEPARTAMENTO ADMINISTRATIVO DE SALUD"/>
    <s v="10 DEPARTAMENTO ADMINISTRATIVO DE SALUD"/>
    <n v="2020130010132"/>
    <s v="08. PILAR CARTAGENA INCLUYENTE"/>
    <s v="8.3 LÍNEA ESTRATÉGICA SALUD PARA TODOS"/>
    <s v="8.3.1 PROGRAMA: FORTALECIMIENTO DE LA AUTORIDAD SANITARIA"/>
    <s v="2,3,1903,0300,2020130010132"/>
    <s v="889"/>
    <s v="1,3,3,5,07-93-015 R,B, RECURSOS DEL SISTEMA DE SEGURIDAD SOCIAL INTEGRAL - SALUD COLJUEGOS"/>
    <s v="INV"/>
    <s v="NO"/>
    <s v="DESARROLLO INSTITUCIONAL DEL DEPARTAMENTO ADMINISTRATIVO DISTRITAL DE SALUD DE  CARTAGENA DE INDIAS"/>
    <s v="2020130010132 DESARROLLO INSTITUCIONAL DEL DEPARTAMENTO ADMINISTRATIVO DISTRITAL DE SALUD DE  CARTAGENA DE INDIAS"/>
    <s v="06"/>
    <s v="00"/>
    <n v="0"/>
    <n v="288662340"/>
    <n v="288662340"/>
    <n v="288662340"/>
    <n v="0"/>
    <n v="283405672"/>
    <n v="98.18"/>
    <n v="283405672"/>
    <n v="98.18"/>
    <n v="5256668"/>
    <n v="179100000"/>
  </r>
  <r>
    <n v="2022"/>
    <n v="100"/>
    <x v="8"/>
    <s v="DEPARTAMENTO ADMINISTRATIVO DE SALUD"/>
    <s v="10 DEPARTAMENTO ADMINISTRATIVO DE SALUD"/>
    <n v="2020130010132"/>
    <s v="08. PILAR CARTAGENA INCLUYENTE"/>
    <s v="8.3 LÍNEA ESTRATÉGICA SALUD PARA TODOS"/>
    <s v="8.3.1 PROGRAMA: FORTALECIMIENTO DE LA AUTORIDAD SANITARIA"/>
    <s v="2,3,1903,0300,2020130010132"/>
    <s v="890"/>
    <s v="1,3,3,5,07-93-016 R,B, RECURSOS DEL SISTEMA DE SEGURIDAD SOCIAL INTEGRAL - SALUD MINISTERIO DE PROTECCION SOCIAL"/>
    <s v="INV"/>
    <s v="NO"/>
    <s v="DESARROLLO INSTITUCIONAL DEL DEPARTAMENTO ADMINISTRATIVO DISTRITAL DE SALUD DE  CARTAGENA DE INDIAS"/>
    <s v="2020130010132 DESARROLLO INSTITUCIONAL DEL DEPARTAMENTO ADMINISTRATIVO DISTRITAL DE SALUD DE  CARTAGENA DE INDIAS"/>
    <s v="06"/>
    <s v="00"/>
    <n v="0"/>
    <n v="225328248"/>
    <n v="225328248"/>
    <n v="0"/>
    <n v="225328248"/>
    <n v="0"/>
    <n v="0"/>
    <n v="0"/>
    <n v="0"/>
    <n v="225328248"/>
    <n v="0"/>
  </r>
  <r>
    <n v="2022"/>
    <n v="100"/>
    <x v="8"/>
    <s v="DEPARTAMENTO ADMINISTRATIVO DE SALUD"/>
    <s v="10 DEPARTAMENTO ADMINISTRATIVO DE SALUD"/>
    <n v="2020130010132"/>
    <s v="08. PILAR CARTAGENA INCLUYENTE"/>
    <s v="8.3 LÍNEA ESTRATÉGICA SALUD PARA TODOS"/>
    <s v="8.3.1 PROGRAMA: FORTALECIMIENTO DE LA AUTORIDAD SANITARIA"/>
    <s v="2,3,1903,0300,2020130010132"/>
    <s v="893"/>
    <s v="1,3,3,5,07-95-015 R,B, RECURSOS DEL SISTEMA DE SEGURIDAD SOCIAL INTEGRAL - SALUD COLJUEGOS"/>
    <s v="INV"/>
    <s v="NO"/>
    <s v="DESARROLLO INSTITUCIONAL DEL DEPARTAMENTO ADMINISTRATIVO DISTRITAL DE SALUD DE  CARTAGENA DE INDIAS"/>
    <s v="2020130010132 DESARROLLO INSTITUCIONAL DEL DEPARTAMENTO ADMINISTRATIVO DISTRITAL DE SALUD DE  CARTAGENA DE INDIAS"/>
    <s v="06"/>
    <s v="00"/>
    <n v="0"/>
    <n v="421076084"/>
    <n v="421076084"/>
    <n v="400296666"/>
    <n v="20779418"/>
    <n v="397296666"/>
    <n v="94.35"/>
    <n v="397296666"/>
    <n v="94.35"/>
    <n v="23779418"/>
    <n v="332700000"/>
  </r>
  <r>
    <n v="2022"/>
    <n v="100"/>
    <x v="8"/>
    <s v="DEPARTAMENTO ADMINISTRATIVO DE SALUD"/>
    <s v="10 DEPARTAMENTO ADMINISTRATIVO DE SALUD"/>
    <n v="2020130010132"/>
    <s v="08. PILAR CARTAGENA INCLUYENTE"/>
    <s v="8.3 LÍNEA ESTRATÉGICA SALUD PARA TODOS"/>
    <s v="8.3.1 PROGRAMA: FORTALECIMIENTO DE LA AUTORIDAD SANITARIA"/>
    <s v="2,3,1903,0300,2020130010132"/>
    <s v="895"/>
    <s v="1,3,3,5,07-95-017 R,B, RECURSOS DEL SISTEMA DE SEGURIDAD SOCIAL INTEGRAL - SALUD Rendimientos  Financieros FLS"/>
    <s v="INV"/>
    <s v="NO"/>
    <s v="DESARROLLO INSTITUCIONAL DEL DEPARTAMENTO ADMINISTRATIVO DISTRITAL DE SALUD DE  CARTAGENA DE INDIAS"/>
    <s v="2020130010132 DESARROLLO INSTITUCIONAL DEL DEPARTAMENTO ADMINISTRATIVO DISTRITAL DE SALUD DE  CARTAGENA DE INDIAS"/>
    <s v="06"/>
    <s v="00"/>
    <n v="0"/>
    <n v="151857129"/>
    <n v="151857129"/>
    <n v="28999999"/>
    <n v="122857130"/>
    <n v="28999999"/>
    <n v="19.100000000000001"/>
    <n v="26833333"/>
    <n v="17.670000000000002"/>
    <n v="122857130"/>
    <n v="0"/>
  </r>
  <r>
    <n v="2022"/>
    <n v="100"/>
    <x v="8"/>
    <s v="DEPARTAMENTO ADMINISTRATIVO DE SALUD"/>
    <s v="10 DEPARTAMENTO ADMINISTRATIVO DE SALUD"/>
    <n v="2020130010132"/>
    <s v="08. PILAR CARTAGENA INCLUYENTE"/>
    <s v="8.3 LÍNEA ESTRATÉGICA SALUD PARA TODOS"/>
    <s v="8.3.1 PROGRAMA: FORTALECIMIENTO DE LA AUTORIDAD SANITARIA"/>
    <s v="2,3,1903,0300,2020130010132"/>
    <s v="896"/>
    <s v="1,3,3,5,07-95-049 R,B, RECURSOS DEL SISTEMA DE SEGURIDAD SOCIAL INTEGRAL - SALUD ADRES"/>
    <s v="INV"/>
    <s v="NO"/>
    <s v="DESARROLLO INSTITUCIONAL DEL DEPARTAMENTO ADMINISTRATIVO DISTRITAL DE SALUD DE  CARTAGENA DE INDIAS"/>
    <s v="2020130010132 DESARROLLO INSTITUCIONAL DEL DEPARTAMENTO ADMINISTRATIVO DISTRITAL DE SALUD DE  CARTAGENA DE INDIAS"/>
    <s v="06"/>
    <s v="00"/>
    <n v="0"/>
    <n v="134400"/>
    <n v="134400"/>
    <n v="0"/>
    <n v="134400"/>
    <n v="0"/>
    <n v="0"/>
    <n v="0"/>
    <n v="0"/>
    <n v="134400"/>
    <n v="0"/>
  </r>
  <r>
    <n v="2022"/>
    <n v="100"/>
    <x v="9"/>
    <s v="SECRETARIA DE PARTICIPACION Y DESARROLLO SOCIAL"/>
    <s v="08 SECRETARIA DE PARTICIPACION Y DESARROLLO SOCIAL"/>
    <n v="2020130010133"/>
    <s v="11. EJE TRANSVERSAL: CARTAGENA CON ATENCION Y GARANTIA DE DERECHOS A POBLACION DIFERENCIAL."/>
    <s v="11.5 LÍNEA ESTRATÉGICA EN CARTAGENA SALVAMOS NUESTROS ADULTOS MAYORES"/>
    <s v="11.5.1 PROGRAMA: ATENCION INTEGRAL PARA MANTENER A SALVO LOS ADULTOS MAYORES"/>
    <s v="2,3,4103,1500,2020130010133"/>
    <s v="850"/>
    <s v="1,3,3,3,17-93-124 RB IMPUESTO DE TRANSPORTE POR OLEODUCTOS Y GASODUCTOS"/>
    <s v="INV"/>
    <s v="NO"/>
    <s v="APOYO PARA LA ATENCION INTEGRAL A LOS ADULTOS MAYORES EN CENTROS DE VIDA Y GRUPOS ORGANIZADOS EN EL DISTRITO DE CARTAGENA DE INDIAS"/>
    <s v="2020130010133 APOYO PARA LA ATENCION INTEGRAL A LOS ADULTOS MAYORES EN CENTROS DE VIDA Y GRUPOS ORGANIZADOS EN EL DISTRITO DE CARTAGENA DE INDIAS"/>
    <s v="06"/>
    <s v="00"/>
    <n v="0"/>
    <n v="2800000000"/>
    <n v="2800000000"/>
    <n v="1402732717.1199999"/>
    <n v="1397267282.8800001"/>
    <n v="1397947454.3299999"/>
    <n v="49.93"/>
    <n v="1353749424.3299999"/>
    <n v="48.35"/>
    <n v="1402052545.6700001"/>
    <n v="1353749424.3299999"/>
  </r>
  <r>
    <n v="2022"/>
    <n v="100"/>
    <x v="9"/>
    <s v="SECRETARIA DE PARTICIPACION Y DESARROLLO SOCIAL"/>
    <s v="08 SECRETARIA DE PARTICIPACION Y DESARROLLO SOCIAL"/>
    <n v="2020130010133"/>
    <s v="11. EJE TRANSVERSAL: CARTAGENA CON ATENCION Y GARANTIA DE DERECHOS A POBLACION DIFERENCIAL."/>
    <s v="11.5 LÍNEA ESTRATÉGICA EN CARTAGENA SALVAMOS NUESTROS ADULTOS MAYORES"/>
    <s v="11.5.1 PROGRAMA: ATENCION INTEGRAL PARA MANTENER A SALVO LOS ADULTOS MAYORES"/>
    <s v="2,3,4103,1500,2020130010133"/>
    <s v="854"/>
    <s v="1,3,3,3,20-95-088 R,B, ESTAMPILLA A?OS DORADOS"/>
    <s v="INV"/>
    <s v="NO"/>
    <s v="APOYO PARA LA ATENCION INTEGRAL A LOS ADULTOS MAYORES EN CENTROS DE VIDA Y GRUPOS ORGANIZADOS EN EL DISTRITO DE CARTAGENA DE INDIAS"/>
    <s v="2020130010133 APOYO PARA LA ATENCION INTEGRAL A LOS ADULTOS MAYORES EN CENTROS DE VIDA Y GRUPOS ORGANIZADOS EN EL DISTRITO DE CARTAGENA DE INDIAS"/>
    <s v="06"/>
    <s v="00"/>
    <n v="0"/>
    <n v="4051990392.46"/>
    <n v="4051990392.46"/>
    <n v="3378883303"/>
    <n v="673107089.46000004"/>
    <n v="1506572089"/>
    <n v="37.18"/>
    <n v="85321659"/>
    <n v="2.11"/>
    <n v="2545418303.46"/>
    <n v="41400000"/>
  </r>
  <r>
    <n v="2022"/>
    <n v="100"/>
    <x v="9"/>
    <s v="SECRETARIA DE PARTICIPACION Y DESARROLLO SOCIAL"/>
    <s v="08 SECRETARIA DE PARTICIPACION Y DESARROLLO SOCIAL"/>
    <n v="2020130010133"/>
    <s v="11. EJE TRANSVERSAL: CARTAGENA CON ATENCION Y GARANTIA DE DERECHOS A POBLACION DIFERENCIAL."/>
    <s v="11.5 LÍNEA ESTRATÉGICA EN CARTAGENA SALVAMOS NUESTROS ADULTOS MAYORES"/>
    <s v="11.5.1 PROGRAMA: ATENCION INTEGRAL PARA MANTENER A SALVO LOS ADULTOS MAYORES"/>
    <s v="2,3,4103,1500,2020130010133"/>
    <s v="855"/>
    <s v="1,3,3,3,20-95-109 R,B, ESTAMPILLA A?OS DORADOS"/>
    <s v="INV"/>
    <s v="NO"/>
    <s v="APOYO PARA LA ATENCION INTEGRAL A LOS ADULTOS MAYORES EN CENTROS DE VIDA Y GRUPOS ORGANIZADOS EN EL DISTRITO DE CARTAGENA DE INDIAS"/>
    <s v="2020130010133 APOYO PARA LA ATENCION INTEGRAL A LOS ADULTOS MAYORES EN CENTROS DE VIDA Y GRUPOS ORGANIZADOS EN EL DISTRITO DE CARTAGENA DE INDIAS"/>
    <s v="06"/>
    <s v="00"/>
    <n v="0"/>
    <n v="156090887.47999999"/>
    <n v="156090887.47999999"/>
    <n v="156090887"/>
    <n v="0.48"/>
    <n v="0"/>
    <n v="0"/>
    <n v="0"/>
    <n v="0"/>
    <n v="156090887.47999999"/>
    <n v="0"/>
  </r>
  <r>
    <n v="2022"/>
    <n v="100"/>
    <x v="9"/>
    <s v="SECRETARIA DE PARTICIPACION Y DESARROLLO SOCIAL"/>
    <s v="08 SECRETARIA DE PARTICIPACION Y DESARROLLO SOCIAL"/>
    <n v="2020130010133"/>
    <s v="11. EJE TRANSVERSAL: CARTAGENA CON ATENCION Y GARANTIA DE DERECHOS A POBLACION DIFERENCIAL."/>
    <s v="11.5 LÍNEA ESTRATÉGICA EN CARTAGENA SALVAMOS NUESTROS ADULTOS MAYORES"/>
    <s v="11.5.1 PROGRAMA: ATENCION INTEGRAL PARA MANTENER A SALVO LOS ADULTOS MAYORES"/>
    <s v="2,3,4103,1500,2020130010133"/>
    <s v="088"/>
    <s v="1,2,3,1,19-088 - ESTAMPILLAS ADULTO MAYOR"/>
    <s v="INV"/>
    <s v="NO"/>
    <s v="APOYO PARA LA ATENCION INTEGRAL A LOS ADULTOS MAYORES EN CENTROS DE VIDA Y GRUPOS ORGANIZADOS EN EL DISTRITO DE  CARTAGENA DE INDIAS"/>
    <s v="2020130010133 APOYO PARA LA ATENCION INTEGRAL A LOS ADULTOS MAYORES EN CENTROS DE VIDA Y GRUPOS ORGANIZADOS EN EL DISTRITO DE  CARTAGENA DE INDIAS"/>
    <s v="06"/>
    <s v="00"/>
    <n v="7765042425"/>
    <n v="0"/>
    <n v="7765042425"/>
    <n v="7355480561"/>
    <n v="409561864"/>
    <n v="6511595707.6599998"/>
    <n v="83.86"/>
    <n v="6260162879.3299999"/>
    <n v="80.62"/>
    <n v="1253446717.3399999"/>
    <n v="4585633674"/>
  </r>
  <r>
    <n v="2022"/>
    <n v="100"/>
    <x v="9"/>
    <s v="SECRETARIA DE PARTICIPACION Y DESARROLLO SOCIAL"/>
    <s v="08 SECRETARIA DE PARTICIPACION Y DESARROLLO SOCIAL"/>
    <n v="2020130010133"/>
    <s v="11. EJE TRANSVERSAL: CARTAGENA CON ATENCION Y GARANTIA DE DERECHOS A POBLACION DIFERENCIAL."/>
    <s v="11.5 LÍNEA ESTRATÉGICA EN CARTAGENA SALVAMOS NUESTROS ADULTOS MAYORES"/>
    <s v="11.5.1 PROGRAMA: ATENCION INTEGRAL PARA MANTENER A SALVO LOS ADULTOS MAYORES"/>
    <s v="2,3,4103,1500,2020130010133"/>
    <s v="109"/>
    <s v="1,3,2,3,05-109 - OTROS RENDIMIENTOS FINANCIEROS ESTAMPILLA A?OS DORADOS"/>
    <s v="INV"/>
    <s v="NO"/>
    <s v="APOYO PARA LA ATENCION INTEGRAL A LOS ADULTOS MAYORES EN CENTROS DE VIDA Y GRUPOS ORGANIZADOS EN EL DISTRITO DE  CARTAGENA DE INDIAS"/>
    <s v="2020130010133 APOYO PARA LA ATENCION INTEGRAL A LOS ADULTOS MAYORES EN CENTROS DE VIDA Y GRUPOS ORGANIZADOS EN EL DISTRITO DE  CARTAGENA DE INDIAS"/>
    <s v="06"/>
    <s v="00"/>
    <n v="1"/>
    <n v="0"/>
    <n v="1"/>
    <n v="0"/>
    <n v="1"/>
    <n v="0"/>
    <n v="0"/>
    <n v="0"/>
    <n v="0"/>
    <n v="1"/>
    <n v="0"/>
  </r>
  <r>
    <n v="2022"/>
    <n v="100"/>
    <x v="7"/>
    <s v="SECRETARIA DE EDUCACION"/>
    <s v="07 SECRETARIA DE EDUCACION"/>
    <n v="2020130010136"/>
    <s v="08. PILAR CARTAGENA INCLUYENTE"/>
    <s v="8.2 LÍNEA ESTRATEGICA DE EDUCACION: CULTURA DE LA FORMACION &quot;CON LA EDUCACION PARA TODOS Y TODAS SALVAMOS JUNTOS A CARTAGENA&quot;"/>
    <s v="8.2.1 PROGRAMA: ACOGIDA “ATENCIÓN A POBLACIONES Y ESTRATEGIAS DE ACCESO Y PERMANENCIA”"/>
    <s v="2,3,2201,0700,2020130010136"/>
    <s v="001"/>
    <s v="1,2,1,0,00-001 - ICLD"/>
    <s v="INV"/>
    <s v="NO"/>
    <s v="IMPLEMENTACION DE LA ESTRATEGIA UNICOS E INAGOTABLES ACOGIDA - ATENCION A JOVENES Y ADULTOS EN EL DISTRITO DE  CARTAGENA DE INDIAS"/>
    <s v="2020130010136 IMPLEMENTACION DE LA ESTRATEGIA UNICOS E INAGOTABLES ACOGIDA - ATENCION A JOVENES Y ADULTOS EN EL DISTRITO DE  CARTAGENA DE INDIAS"/>
    <s v="06"/>
    <s v="00"/>
    <n v="905827769"/>
    <n v="-37531119.670000002"/>
    <n v="868296649.33000004"/>
    <n v="868296649.33000004"/>
    <n v="0"/>
    <n v="868296649.33000004"/>
    <n v="100"/>
    <n v="864821225.33000004"/>
    <n v="99.6"/>
    <n v="0"/>
    <n v="859473218.33000004"/>
  </r>
  <r>
    <n v="2022"/>
    <n v="100"/>
    <x v="7"/>
    <s v="SECRETARIA DE EDUCACION"/>
    <s v="07 SECRETARIA DE EDUCACION"/>
    <n v="2020130010139"/>
    <s v="08. PILAR CARTAGENA INCLUYENTE"/>
    <s v="8.2 LÍNEA ESTRATEGICA DE EDUCACION: CULTURA DE LA FORMACION &quot;CON LA EDUCACION PARA TODOS Y TODAS SALVAMOS JUNTOS A CARTAGENA&quot;"/>
    <s v="8.2.8 PROGRAMA: MOVILIZACIÓN  “POR UNA GESTIÓN EDUCATIVA TRANSPARENTE, PARTICIPATIVA Y EFICIENTE”"/>
    <s v="2,3,2299,0700,2020130010139"/>
    <s v="001"/>
    <s v="1,2,1,0,00-001 - ICLD"/>
    <s v="INV"/>
    <s v="NO"/>
    <s v="MODERNIZACION Y FORTALECIMIENTO DE LA GESTION EDUCATIVA DEL DISTRITO DE   CARTAGENA DE INDIAS"/>
    <s v="2020130010139 MODERNIZACION Y FORTALECIMIENTO DE LA GESTION EDUCATIVA DEL DISTRITO DE   CARTAGENA DE INDIAS"/>
    <s v="06"/>
    <s v="00"/>
    <n v="421800000"/>
    <n v="-63000000"/>
    <n v="358800000"/>
    <n v="356292028"/>
    <n v="2507972"/>
    <n v="347786549.12"/>
    <n v="96.93"/>
    <n v="313297176"/>
    <n v="87.32"/>
    <n v="11013450.880000001"/>
    <n v="298897176"/>
  </r>
  <r>
    <n v="2022"/>
    <n v="100"/>
    <x v="8"/>
    <s v="DEPARTAMENTO ADMINISTRATIVO DE SALUD"/>
    <s v="10 DEPARTAMENTO ADMINISTRATIVO DE SALUD"/>
    <n v="2020130010144"/>
    <s v="08. PILAR CARTAGENA INCLUYENTE"/>
    <s v="8.3 LÍNEA ESTRATÉGICA SALUD PARA TODOS"/>
    <s v="8.3.4 VIDA SALUDABLE Y CONDICIONES NO TRANSMISIBLES"/>
    <s v="2,3,1905,0300,2020130010144"/>
    <s v="170"/>
    <s v="1,2,4,2,02-170 - SGP SALUD PUBLICA"/>
    <s v="INV"/>
    <s v="NO"/>
    <s v="PREVENCION Y CONTROL DE LAS ALTERACIONES DE LA SALUD ORAL  CARTAGENA DE INDIAS"/>
    <s v="2020130010144 PREVENCION Y CONTROL DE LAS ALTERACIONES DE LA SALUD ORAL  CARTAGENA DE INDIAS"/>
    <s v="06"/>
    <s v="00"/>
    <n v="304407584"/>
    <n v="0"/>
    <n v="304407584"/>
    <n v="302607584"/>
    <n v="1800000"/>
    <n v="302607584"/>
    <n v="99.41"/>
    <n v="203600000"/>
    <n v="66.88"/>
    <n v="1800000"/>
    <n v="203600000"/>
  </r>
  <r>
    <n v="2022"/>
    <n v="100"/>
    <x v="8"/>
    <s v="DEPARTAMENTO ADMINISTRATIVO DE SALUD"/>
    <s v="10 DEPARTAMENTO ADMINISTRATIVO DE SALUD"/>
    <n v="2020130010145"/>
    <s v="08. PILAR CARTAGENA INCLUYENTE"/>
    <s v="8.3 LÍNEA ESTRATÉGICA SALUD PARA TODOS"/>
    <s v="8.3.4 VIDA SALUDABLE Y CONDICIONES NO TRANSMISIBLES"/>
    <s v="2,3,1905,0300,2020130010145"/>
    <s v="170"/>
    <s v="1,2,4,2,02-170 - SGP SALUD PUBLICA"/>
    <s v="INV"/>
    <s v="NO"/>
    <s v="PREVENCION Y CONTROL DE LAS ALTERACIONES DE LA SALUD VISUAL  CARTAGENA DE INDIAS"/>
    <s v="2020130010145 PREVENCION Y CONTROL DE LAS ALTERACIONES DE LA SALUD VISUAL  CARTAGENA DE INDIAS"/>
    <s v="06"/>
    <s v="00"/>
    <n v="200464375"/>
    <n v="0"/>
    <n v="200464375"/>
    <n v="200464375"/>
    <n v="0"/>
    <n v="188464375"/>
    <n v="94.01"/>
    <n v="121200000"/>
    <n v="60.46"/>
    <n v="12000000"/>
    <n v="121200000"/>
  </r>
  <r>
    <n v="2022"/>
    <n v="100"/>
    <x v="8"/>
    <s v="DEPARTAMENTO ADMINISTRATIVO DE SALUD"/>
    <s v="10 DEPARTAMENTO ADMINISTRATIVO DE SALUD"/>
    <n v="2020130010146"/>
    <s v="08. PILAR CARTAGENA INCLUYENTE"/>
    <s v="8.3 LÍNEA ESTRATÉGICA SALUD PARA TODOS"/>
    <s v="8.3.4 VIDA SALUDABLE Y CONDICIONES NO TRANSMISIBLES"/>
    <s v="2,3,1905,0300,2020130010146"/>
    <s v="170"/>
    <s v="1,2,4,2,02-170 - SGP SALUD PUBLICA"/>
    <s v="INV"/>
    <s v="NO"/>
    <s v="PREVENCION Y CONTROL DE SALUD AUDITIVA  CARTAGENA DE INDIAS"/>
    <s v="2020130010146 PREVENCION Y CONTROL DE SALUD AUDITIVA  CARTAGENA DE INDIAS"/>
    <s v="06"/>
    <s v="00"/>
    <n v="159501611"/>
    <n v="0"/>
    <n v="159501611"/>
    <n v="159501611"/>
    <n v="0"/>
    <n v="159501611"/>
    <n v="100"/>
    <n v="113400000"/>
    <n v="71.099999999999994"/>
    <n v="0"/>
    <n v="113400000"/>
  </r>
  <r>
    <n v="2022"/>
    <n v="100"/>
    <x v="8"/>
    <s v="DEPARTAMENTO ADMINISTRATIVO DE SALUD"/>
    <s v="10 DEPARTAMENTO ADMINISTRATIVO DE SALUD"/>
    <n v="2020130010150"/>
    <s v="08. PILAR CARTAGENA INCLUYENTE"/>
    <s v="8.3 LÍNEA ESTRATÉGICA SALUD PARA TODOS"/>
    <s v="8.3.3 SALUD AMBIENTAL"/>
    <s v="2,3,1905,0300,2020130010150"/>
    <s v="170"/>
    <s v="1,2,4,2,02-170 - SGP SALUD PUBLICA"/>
    <s v="INV"/>
    <s v="NO"/>
    <s v="PREVENCION Y PROMOCION DE LA ZOONOSIS EN EL DISTRITO DE  CARTAGENA DE INDIAS"/>
    <s v="2020130010150 PREVENCION Y PROMOCION DE LA ZOONOSIS EN EL DISTRITO DE  CARTAGENA DE INDIAS"/>
    <s v="06"/>
    <s v="00"/>
    <n v="446402915"/>
    <n v="-54664989"/>
    <n v="391737926"/>
    <n v="391737926"/>
    <n v="0"/>
    <n v="390533572"/>
    <n v="99.69"/>
    <n v="96300000"/>
    <n v="24.58"/>
    <n v="1204354"/>
    <n v="96300000"/>
  </r>
  <r>
    <n v="2022"/>
    <n v="100"/>
    <x v="8"/>
    <s v="DEPARTAMENTO ADMINISTRATIVO DE SALUD"/>
    <s v="10 DEPARTAMENTO ADMINISTRATIVO DE SALUD"/>
    <n v="2020130010150"/>
    <s v="08. PILAR CARTAGENA INCLUYENTE"/>
    <s v="8.3 LÍNEA ESTRATÉGICA SALUD PARA TODOS"/>
    <s v="8.3.3 SALUD AMBIENTAL"/>
    <s v="2,3,1905,0300,2020130010150"/>
    <s v="916"/>
    <s v="1,3,3,7,02-95-170 R,B, SGP-SALUD-SALUD PUBLICA"/>
    <s v="INV"/>
    <s v="NO"/>
    <s v="PREVENCION Y PROMOCION DE LA ZOONOSIS EN EL DISTRITO DE  CARTAGENA DE INDIAS"/>
    <s v="2020130010150 PREVENCION Y PROMOCION DE LA ZOONOSIS EN EL DISTRITO DE  CARTAGENA DE INDIAS"/>
    <s v="06"/>
    <s v="00"/>
    <n v="0"/>
    <n v="167800000"/>
    <n v="167800000"/>
    <n v="156375000"/>
    <n v="11425000"/>
    <n v="69133333"/>
    <n v="41.2"/>
    <n v="7600000"/>
    <n v="4.53"/>
    <n v="98666667"/>
    <n v="7600000"/>
  </r>
  <r>
    <n v="2022"/>
    <n v="100"/>
    <x v="8"/>
    <s v="DEPARTAMENTO ADMINISTRATIVO DE SALUD"/>
    <s v="10 DEPARTAMENTO ADMINISTRATIVO DE SALUD"/>
    <n v="2020130010151"/>
    <s v="08. PILAR CARTAGENA INCLUYENTE"/>
    <s v="8.3 LÍNEA ESTRATÉGICA SALUD PARA TODOS"/>
    <s v="8.3.1 PROGRAMA: FORTALECIMIENTO DE LA AUTORIDAD SANITARIA"/>
    <s v="2,3,1905,0300,2020130010151"/>
    <s v="170"/>
    <s v="1,2,4,2,02-170 - SGP SALUD PUBLICA"/>
    <s v="INV"/>
    <s v="NO"/>
    <s v="PROGRAMACION DE LA VIGILANCIA EN SALUD PUBLICA EN EL DISTRITO DE  CARTAGENA DE INDIAS"/>
    <s v="2020130010151 PROGRAMACION DE LA VIGILANCIA EN SALUD PUBLICA EN EL DISTRITO DE  CARTAGENA DE INDIAS"/>
    <s v="06"/>
    <s v="00"/>
    <n v="1008800000"/>
    <n v="0"/>
    <n v="1008800000"/>
    <n v="1008793620"/>
    <n v="6380"/>
    <n v="987748360"/>
    <n v="97.91"/>
    <n v="985748360"/>
    <n v="97.71"/>
    <n v="21051640"/>
    <n v="963954740"/>
  </r>
  <r>
    <n v="2022"/>
    <n v="100"/>
    <x v="10"/>
    <s v="FONDO DE VIVIENDA DE INTERES SOCIAL Y REFORMA URBANA"/>
    <s v="16 FONDO DE VIVIENDA DE INTERES SOCIAL Y REFORMA URBANA"/>
    <n v="2020130010152"/>
    <s v="07. PILAR CARTAGENA RESILIENTE"/>
    <s v="7.5 LÍNEA ESTRATÉGICA VIVIENDA PARA TODOS"/>
    <s v="7.5.1 JUNTOS POR UNA VIVIENDA DIGNA"/>
    <s v="2,3,4001,1400,2020130010152"/>
    <s v="837"/>
    <s v="1,3,3,2,00-95-039 R,B, ICDE-CORVIVIENDA 15% IPU"/>
    <s v="INV"/>
    <s v="NO"/>
    <s v="APLICACION A SUBSIDIOS FAMILIARES DE VIVIENDA PARA LA POBLACION BENEFICIADA DEL PROGRAMA JUNTOS POR UNA VIVIENDA DIGNA DE LA CIUDAD DE CARTAGENA DE INDIAS"/>
    <s v="2020130010152 APLICACION A SUBSIDIOS FAMILIARES DE VIVIENDA PARA LA POBLACION BENEFICIADA DEL PROGRAMA JUNTOS POR UNA VIVIENDA DIGNA DE LA CIUDAD DE CARTAGENA DE INDIAS"/>
    <s v="06"/>
    <s v="00"/>
    <n v="0"/>
    <n v="0"/>
    <n v="0"/>
    <n v="0"/>
    <n v="0"/>
    <n v="0"/>
    <n v="0"/>
    <n v="0"/>
    <n v="0"/>
    <n v="0"/>
    <n v="0"/>
  </r>
  <r>
    <n v="2022"/>
    <n v="100"/>
    <x v="10"/>
    <s v="FONDO DE VIVIENDA DE INTERES SOCIAL Y REFORMA URBANA"/>
    <s v="16 FONDO DE VIVIENDA DE INTERES SOCIAL Y REFORMA URBANA"/>
    <n v="2020130010152"/>
    <s v="07. PILAR CARTAGENA RESILIENTE"/>
    <s v="7.5 LÍNEA ESTRATÉGICA VIVIENDA PARA TODOS"/>
    <s v="7.5.1 JUNTOS POR UNA VIVIENDA DIGNA"/>
    <s v="2,3,4001,1400,2020130010152"/>
    <s v="001"/>
    <s v="1,2,1,0,00-001 - ICLD"/>
    <s v="INV"/>
    <s v="NO"/>
    <s v="APLICACION A SUBSIDIOS FAMILIARES DE VIVIENDA PARA LA POBLACION BENEFICIADA DEL PROGRAMA JUNTOS POR UNA VIVIENDA DIGNA DE LA CIUDAD DE  CARTAGENA DE INDIAS"/>
    <s v="2020130010152 APLICACION A SUBSIDIOS FAMILIARES DE VIVIENDA PARA LA POBLACION BENEFICIADA DEL PROGRAMA JUNTOS POR UNA VIVIENDA DIGNA DE LA CIUDAD DE  CARTAGENA DE INDIAS"/>
    <s v="06"/>
    <s v="00"/>
    <n v="3744000000"/>
    <n v="0"/>
    <n v="3744000000"/>
    <n v="3744000000"/>
    <n v="0"/>
    <n v="3744000000"/>
    <n v="100"/>
    <n v="3744000000"/>
    <n v="100"/>
    <n v="0"/>
    <n v="3744000000"/>
  </r>
  <r>
    <n v="2022"/>
    <n v="100"/>
    <x v="10"/>
    <s v="FONDO DE VIVIENDA DE INTERES SOCIAL Y REFORMA URBANA"/>
    <s v="16 FONDO DE VIVIENDA DE INTERES SOCIAL Y REFORMA URBANA"/>
    <n v="2020130010152"/>
    <s v="07. PILAR CARTAGENA RESILIENTE"/>
    <s v="7.5 LÍNEA ESTRATÉGICA VIVIENDA PARA TODOS"/>
    <s v="7.5.1 JUNTOS POR UNA VIVIENDA DIGNA"/>
    <s v="2,3,4001,1400,2020130010152"/>
    <s v="039"/>
    <s v="1,2,2,0,00-039 - ICDE-CORVIVIENDA 15% IPU"/>
    <s v="INV"/>
    <s v="NO"/>
    <s v="APLICACION A SUBSIDIOS FAMILIARES DE VIVIENDA PARA LA POBLACION BENEFICIADA DEL PROGRAMA JUNTOS POR UNA VIVIENDA DIGNA DE LA CIUDAD DE  CARTAGENA DE INDIAS"/>
    <s v="2020130010152 APLICACION A SUBSIDIOS FAMILIARES DE VIVIENDA PARA LA POBLACION BENEFICIADA DEL PROGRAMA JUNTOS POR UNA VIVIENDA DIGNA DE LA CIUDAD DE  CARTAGENA DE INDIAS"/>
    <s v="06"/>
    <s v="00"/>
    <n v="3128788736"/>
    <n v="0"/>
    <n v="3128788736"/>
    <n v="3100962736"/>
    <n v="27826000"/>
    <n v="3100962736"/>
    <n v="99.11"/>
    <n v="3100962736"/>
    <n v="99.11"/>
    <n v="27826000"/>
    <n v="3100962736"/>
  </r>
  <r>
    <n v="2022"/>
    <n v="100"/>
    <x v="10"/>
    <s v="FONDO DE VIVIENDA DE INTERES SOCIAL Y REFORMA URBANA"/>
    <s v="16 FONDO DE VIVIENDA DE INTERES SOCIAL Y REFORMA URBANA"/>
    <n v="2020130010153"/>
    <s v="07. PILAR CARTAGENA RESILIENTE"/>
    <s v="7.5 LÍNEA ESTRATÉGICA VIVIENDA PARA TODOS"/>
    <s v="7.5.2 MEJORO MI CASA, COMPROMISO DE TODOS"/>
    <s v="2,3,4001,1400,2020130010153"/>
    <s v="039"/>
    <s v="1,2,2,0,00-039 - ICDE-CORVIVIENDA 15% IPU"/>
    <s v="INV"/>
    <s v="NO"/>
    <s v="MEJORAMIENTO DE LAS CONDICIONES DE HABITABILIDAD PARA LA POBLACION BENEFICIADA DEL SECTOR URBANO Y RURAL DEL PROGRAMA MEJORO MI CASA, COMPROMISO DE TODOS DEL DISTRITO DE   CARTAGENA DE INDIAS"/>
    <s v="2020130010153 MEJORAMIENTO DE LAS CONDICIONES DE HABITABILIDAD PARA LA POBLACION BENEFICIADA DEL SECTOR URBANO Y RURAL DEL PROGRAMA MEJORO MI CASA, COMPROMISO DE TODOS DEL DISTRITO DE   CARTAGENA DE INDIAS"/>
    <s v="06"/>
    <s v="00"/>
    <n v="1804466261"/>
    <n v="0"/>
    <n v="1804466261"/>
    <n v="1782377000"/>
    <n v="22089261"/>
    <n v="1782377000"/>
    <n v="98.78"/>
    <n v="1782377000"/>
    <n v="98.78"/>
    <n v="22089261"/>
    <n v="1782377000"/>
  </r>
  <r>
    <n v="2022"/>
    <n v="100"/>
    <x v="10"/>
    <s v="FONDO DE VIVIENDA DE INTERES SOCIAL Y REFORMA URBANA"/>
    <s v="16 FONDO DE VIVIENDA DE INTERES SOCIAL Y REFORMA URBANA"/>
    <n v="2020130010153"/>
    <s v="07. PILAR CARTAGENA RESILIENTE"/>
    <s v="7.5 LÍNEA ESTRATÉGICA VIVIENDA PARA TODOS"/>
    <s v="7.5.2 MEJORO MI CASA, COMPROMISO DE TODOS"/>
    <s v="2,3,4001,1400,2020130010153"/>
    <s v="837"/>
    <s v="1,3,3,2,00-95-039 R,B, ICDE-CORVIVIENDA 15% IPU"/>
    <s v="INV"/>
    <s v="NO"/>
    <s v="MEJORAMIENTO DE LAS CONDICIONES DE HABITABILIDAD PARA LA POBLACION BENEFICIADA DEL SECTOR URBANO Y RURAL DEL PROGRAMA MEJORO MI CASA, COMPROMISO DE TODOS DEL DISTRITO DE   CARTAGENA DE INDIAS"/>
    <s v="2020130010153 MEJORAMIENTO DE LAS CONDICIONES DE HABITABILIDAD PARA LA POBLACION BENEFICIADA DEL SECTOR URBANO Y RURAL DEL PROGRAMA MEJORO MI CASA, COMPROMISO DE TODOS DEL DISTRITO DE   CARTAGENA DE INDIAS"/>
    <s v="06"/>
    <s v="00"/>
    <n v="0"/>
    <n v="3963218476.8400002"/>
    <n v="3963218476.8400002"/>
    <n v="3960824853.5300002"/>
    <n v="2393623.31"/>
    <n v="3960824853.5300002"/>
    <n v="99.94"/>
    <n v="3960824853.5300002"/>
    <n v="99.94"/>
    <n v="2393623.31"/>
    <n v="3905824853.5300002"/>
  </r>
  <r>
    <n v="2022"/>
    <n v="100"/>
    <x v="10"/>
    <s v="FONDO DE VIVIENDA DE INTERES SOCIAL Y REFORMA URBANA"/>
    <s v="16 FONDO DE VIVIENDA DE INTERES SOCIAL Y REFORMA URBANA"/>
    <n v="2020130010154"/>
    <s v="07. PILAR CARTAGENA RESILIENTE"/>
    <s v="7.5 LÍNEA ESTRATÉGICA VIVIENDA PARA TODOS"/>
    <s v="7.5.3 ¡MI CASA A LO LEGAL!  "/>
    <s v="2,3,4001,1400,2020130010154"/>
    <s v="039"/>
    <s v="1,2,2,0,00-039 - ICDE-CORVIVIENDA 15% IPU"/>
    <s v="INV"/>
    <s v="NO"/>
    <s v="Titulacion y/o legalizacion de predios para la poblacion beneficiada del programa mi casa a lo legal de la ciudad de  Cartagena de Indias"/>
    <s v="2020130010154 Titulacion y/o legalizacion de predios para la poblacion beneficiada del programa mi casa a lo legal de la ciudad de  Cartagena de Indias"/>
    <s v="06"/>
    <s v="00"/>
    <n v="872345752"/>
    <n v="0"/>
    <n v="872345752"/>
    <n v="712941944"/>
    <n v="159403808"/>
    <n v="712941944"/>
    <n v="81.73"/>
    <n v="712941944"/>
    <n v="81.73"/>
    <n v="159403808"/>
    <n v="712941944"/>
  </r>
  <r>
    <n v="2022"/>
    <n v="100"/>
    <x v="10"/>
    <s v="FONDO DE VIVIENDA DE INTERES SOCIAL Y REFORMA URBANA"/>
    <s v="16 FONDO DE VIVIENDA DE INTERES SOCIAL Y REFORMA URBANA"/>
    <n v="2020130010154"/>
    <s v="07. PILAR CARTAGENA RESILIENTE"/>
    <s v="7.5 LÍNEA ESTRATÉGICA VIVIENDA PARA TODOS"/>
    <s v="7.5.3 ¡MI CASA A LO LEGAL!  "/>
    <s v="2,3,4001,1400,2020130010154"/>
    <s v="837"/>
    <s v="1,3,3,2,00-95-039 R,B, ICDE-CORVIVIENDA 15% IPU"/>
    <s v="INV"/>
    <s v="NO"/>
    <s v="TITULACION Y/O LEGALIZACION DE PREDIOS PARA LA POBLACION BENEFICIADA DEL PROGRAMA MI CASA A LO LEGAL DE LA CIUDAD DE  CARTAGENA DE INDIAS"/>
    <s v="2020130010154 TITULACION Y/O LEGALIZACION DE PREDIOS PARA LA POBLACION BENEFICIADA DEL PROGRAMA MI CASA A LO LEGAL DE LA CIUDAD DE  CARTAGENA DE INDIAS"/>
    <s v="06"/>
    <s v="00"/>
    <n v="0"/>
    <n v="58750337.920000002"/>
    <n v="58750337.920000002"/>
    <n v="58750337.920000002"/>
    <n v="0"/>
    <n v="58750337.920000002"/>
    <n v="100"/>
    <n v="58750337.920000002"/>
    <n v="100"/>
    <n v="0"/>
    <n v="0"/>
  </r>
  <r>
    <n v="2022"/>
    <n v="100"/>
    <x v="8"/>
    <s v="DEPARTAMENTO ADMINISTRATIVO DE SALUD"/>
    <s v="10 DEPARTAMENTO ADMINISTRATIVO DE SALUD"/>
    <n v="2020130010157"/>
    <s v="08. PILAR CARTAGENA INCLUYENTE"/>
    <s v="8.3 LÍNEA ESTRATÉGICA SALUD PARA TODOS"/>
    <s v="8.3.1 PROGRAMA: FORTALECIMIENTO DE LA AUTORIDAD SANITARIA"/>
    <s v="2,3,1903,0300,2020130010157"/>
    <s v="170"/>
    <s v="1,2,4,2,02-170 - SGP SALUD PUBLICA"/>
    <s v="INV"/>
    <s v="NO"/>
    <s v="CONTROL Y VIGILANCIA DE MEDICAMENTOS EN EL DISTRITO DE  CARTAGENA DE INDIAS"/>
    <s v="2020130010157 CONTROL Y VIGILANCIA DE MEDICAMENTOS EN EL DISTRITO DE  CARTAGENA DE INDIAS"/>
    <s v="06"/>
    <s v="00"/>
    <n v="215658186"/>
    <n v="0"/>
    <n v="215658186"/>
    <n v="215658186"/>
    <n v="0"/>
    <n v="215000185"/>
    <n v="99.69"/>
    <n v="163941999"/>
    <n v="76.02"/>
    <n v="658001"/>
    <n v="158941999"/>
  </r>
  <r>
    <n v="2022"/>
    <n v="100"/>
    <x v="8"/>
    <s v="DEPARTAMENTO ADMINISTRATIVO DE SALUD"/>
    <s v="10 DEPARTAMENTO ADMINISTRATIVO DE SALUD"/>
    <n v="2020130010157"/>
    <s v="08. PILAR CARTAGENA INCLUYENTE"/>
    <s v="8.3 LÍNEA ESTRATÉGICA SALUD PARA TODOS"/>
    <s v="8.3.1 PROGRAMA: FORTALECIMIENTO DE LA AUTORIDAD SANITARIA"/>
    <s v="2,3,1903,0300,2020130010157"/>
    <s v="880"/>
    <s v="1,3,3,4,19-95-184 R,B, OTRAS MULTAS, SANCIONES E INTERESES DE MORA (MULTAS DADIS)"/>
    <s v="INV"/>
    <s v="NO"/>
    <s v="CONTROL Y VIGILANCIA DE MEDICAMENTOS EN EL DISTRITO DE  CARTAGENA DE INDIAS"/>
    <s v="2020130010157 CONTROL Y VIGILANCIA DE MEDICAMENTOS EN EL DISTRITO DE  CARTAGENA DE INDIAS"/>
    <s v="06"/>
    <s v="00"/>
    <n v="0"/>
    <n v="317683"/>
    <n v="317683"/>
    <n v="0"/>
    <n v="317683"/>
    <n v="0"/>
    <n v="0"/>
    <n v="0"/>
    <n v="0"/>
    <n v="317683"/>
    <n v="0"/>
  </r>
  <r>
    <n v="2022"/>
    <n v="100"/>
    <x v="8"/>
    <s v="DEPARTAMENTO ADMINISTRATIVO DE SALUD"/>
    <s v="10 DEPARTAMENTO ADMINISTRATIVO DE SALUD"/>
    <n v="2020130010158"/>
    <s v="08. PILAR CARTAGENA INCLUYENTE"/>
    <s v="8.3 LÍNEA ESTRATÉGICA SALUD PARA TODOS"/>
    <s v="8.3.6 NUTRICIÓN E INOCUIDAD DE ALIMENTOS"/>
    <s v="2,3,1903,0300,2020130010158"/>
    <s v="170"/>
    <s v="1,2,4,2,02-170 - SGP SALUD PUBLICA"/>
    <s v="INV"/>
    <s v="NO"/>
    <s v="CONTROL Y VIGILANCIA DE ALIMENTOS EN EL DISTRITO DE   CARTAGENA DE INDIAS"/>
    <s v="2020130010158 CONTROL Y VIGILANCIA DE ALIMENTOS EN EL DISTRITO DE   CARTAGENA DE INDIAS"/>
    <s v="06"/>
    <s v="00"/>
    <n v="355680000"/>
    <n v="0"/>
    <n v="355680000"/>
    <n v="350900520"/>
    <n v="4779480"/>
    <n v="350900520"/>
    <n v="98.66"/>
    <n v="309020520"/>
    <n v="86.88"/>
    <n v="4779480"/>
    <n v="309020520"/>
  </r>
  <r>
    <n v="2022"/>
    <n v="100"/>
    <x v="4"/>
    <s v="DESPACHO DEL ALCALDE"/>
    <s v="01 DESPACHO DEL ALCALDE"/>
    <n v="2020130010160"/>
    <s v="07. PILAR CARTAGENA RESILIENTE"/>
    <s v="7.2 LÍNEA ESTRATÉGICA ESPACIO PÚBLICO, MOVILIDAD Y TRANSPORTE RESILIENTE"/>
    <s v="7.2.4 MOVILIDAD EN CARTAGENA"/>
    <s v="2,3,2499,0600,2020130010160"/>
    <s v="865"/>
    <s v="1,3,3,4,16-93-100 RB OTRAS TASAS Y DERECHOS ADMINISTRATIVOS APROVECHAMIENTO ESPACIO PUBLICO"/>
    <s v="INV"/>
    <s v="NO"/>
    <s v="DISE?O DE PLAN INTEGRAL PARA MEJORAR LA MOVILIDAD EN  CARTAGENA DE INDIAS"/>
    <s v="2020130010160 DISE?O DE PLAN INTEGRAL PARA MEJORAR LA MOVILIDAD EN  CARTAGENA DE INDIAS"/>
    <s v="06"/>
    <s v="00"/>
    <n v="0"/>
    <n v="36574407.549999997"/>
    <n v="36574407.549999997"/>
    <n v="36574400"/>
    <n v="7.55"/>
    <n v="36574400"/>
    <n v="100"/>
    <n v="0"/>
    <n v="0"/>
    <n v="7.55"/>
    <n v="0"/>
  </r>
  <r>
    <n v="2022"/>
    <n v="100"/>
    <x v="4"/>
    <s v="DESPACHO DEL ALCALDE"/>
    <s v="01 DESPACHO DEL ALCALDE"/>
    <n v="2020130010160"/>
    <s v="07. PILAR CARTAGENA RESILIENTE"/>
    <s v="7.2 LÍNEA ESTRATÉGICA ESPACIO PÚBLICO, MOVILIDAD Y TRANSPORTE RESILIENTE"/>
    <s v="7.2.4 MOVILIDAD EN CARTAGENA"/>
    <s v="2,3,2499,0600,2020130010160"/>
    <s v="871"/>
    <s v="1,3,3,4,16-95-100 RB OTRAS TASAS Y DERECHOS ADMINISTRATIVOS APROVECHAMIENTO ESPACIO PUBLICO"/>
    <s v="INV"/>
    <s v="NO"/>
    <s v="DISE?O DE PLAN INTEGRAL PARA MEJORAR LA MOVILIDAD EN  CARTAGENA DE INDIAS"/>
    <s v="2020130010160 DISE?O DE PLAN INTEGRAL PARA MEJORAR LA MOVILIDAD EN  CARTAGENA DE INDIAS"/>
    <s v="06"/>
    <s v="00"/>
    <n v="0"/>
    <n v="17626955.23"/>
    <n v="17626955.23"/>
    <n v="10528290"/>
    <n v="7098665.2300000004"/>
    <n v="10528290"/>
    <n v="59.73"/>
    <n v="0"/>
    <n v="0"/>
    <n v="7098665.2300000004"/>
    <n v="0"/>
  </r>
  <r>
    <n v="2022"/>
    <n v="100"/>
    <x v="4"/>
    <s v="DESPACHO DEL ALCALDE"/>
    <s v="01 DESPACHO DEL ALCALDE"/>
    <n v="2020130010160"/>
    <s v="07. PILAR CARTAGENA RESILIENTE"/>
    <s v="7.2 LÍNEA ESTRATÉGICA ESPACIO PÚBLICO, MOVILIDAD Y TRANSPORTE RESILIENTE"/>
    <s v="7.2.4 MOVILIDAD EN CARTAGENA"/>
    <s v="2,3,2499,0600,2020130010160"/>
    <s v="100"/>
    <s v="1,2,3,2,05-100 - OTRAS TASAS Y DERECHOS ADMINISTRATIVOS APROVECHAMIENTO ESPACIO PUBLICO"/>
    <s v="INV"/>
    <s v="NO"/>
    <s v="DISE?O DE PLAN INTEGRAL PARA MEJORAR LA MOVILIDAD EN  CARTAGENA DE INDIAS"/>
    <s v="2020130010160 DISE?O DE PLAN INTEGRAL PARA MEJORAR LA MOVILIDAD EN  CARTAGENA DE INDIAS"/>
    <s v="06"/>
    <s v="00"/>
    <n v="83493950"/>
    <n v="0"/>
    <n v="83493950"/>
    <n v="83493950"/>
    <n v="0"/>
    <n v="83493950"/>
    <n v="100"/>
    <n v="0"/>
    <n v="0"/>
    <n v="0"/>
    <n v="0"/>
  </r>
  <r>
    <n v="2022"/>
    <n v="100"/>
    <x v="4"/>
    <s v="DESPACHO DEL ALCALDE"/>
    <s v="01 DESPACHO DEL ALCALDE"/>
    <n v="2020130010160"/>
    <s v="07. PILAR CARTAGENA RESILIENTE"/>
    <s v="7.2 LÍNEA ESTRATÉGICA ESPACIO PÚBLICO, MOVILIDAD Y TRANSPORTE RESILIENTE"/>
    <s v="7.2.4 MOVILIDAD EN CARTAGENA"/>
    <s v="2,3,2499,0600,2020130010160"/>
    <s v="001"/>
    <s v="1,2,1,0,00-001 - ICLD"/>
    <s v="INV"/>
    <s v="NO"/>
    <s v="DISE?O DE PLAN INTEGRAL PARA MEJORAR LA MOVILIDAD EN  CARTAGENA DE INDIAS"/>
    <s v="2020130010160 DISE?O DE PLAN INTEGRAL PARA MEJORAR LA MOVILIDAD EN  CARTAGENA DE INDIAS"/>
    <s v="06"/>
    <s v="00"/>
    <n v="415400587"/>
    <n v="595002782"/>
    <n v="1010403369"/>
    <n v="1010403360"/>
    <n v="9"/>
    <n v="1010403360"/>
    <n v="100"/>
    <n v="88000000"/>
    <n v="8.7100000000000009"/>
    <n v="9"/>
    <n v="66000000"/>
  </r>
  <r>
    <n v="2022"/>
    <n v="100"/>
    <x v="7"/>
    <s v="SECRETARIA DE EDUCACION"/>
    <s v="07 SECRETARIA DE EDUCACION"/>
    <n v="2020130010162"/>
    <s v="08. PILAR CARTAGENA INCLUYENTE"/>
    <s v="8.2 LÍNEA ESTRATEGICA DE EDUCACION: CULTURA DE LA FORMACION &quot;CON LA EDUCACION PARA TODOS Y TODAS SALVAMOS JUNTOS A CARTAGENA&quot;"/>
    <s v="8.2.7 PROGRAMA: EDUCACIÓN PARA TRANSFORMAR “EDUCACIÓN MEDIA TÉCNICA Y SUPERIOR”"/>
    <s v="2,3,2201,0700,2020130010162"/>
    <s v="901"/>
    <s v="1,3,3,6,03-95-171 - R,B, SGP - EDUCACION - CALIDAD  POR MATRICULA OFICIAL"/>
    <s v="INV"/>
    <s v="NO"/>
    <s v="MEJORAMIENTO DEL PROCESO FORMATIVO DE LA EDUCACION MEDIA TECNICA OFICIAL EN LAS IEO  DESARROLLO DE POTENCIALIDADES PRODUCTIVAS DE   CARTAGENA DE INDIAS"/>
    <s v="2020130010162 MEJORAMIENTO DEL PROCESO FORMATIVO DE LA EDUCACION MEDIA TECNICA OFICIAL EN LAS IEO  DESARROLLO DE POTENCIALIDADES PRODUCTIVAS DE   CARTAGENA DE INDIAS"/>
    <s v="06"/>
    <s v="00"/>
    <n v="0"/>
    <n v="646298651"/>
    <n v="646298651"/>
    <n v="150030650"/>
    <n v="496268001"/>
    <n v="150030650"/>
    <n v="23.21"/>
    <n v="150030650"/>
    <n v="23.21"/>
    <n v="496268001"/>
    <n v="99849958"/>
  </r>
  <r>
    <n v="2022"/>
    <n v="100"/>
    <x v="7"/>
    <s v="SECRETARIA DE EDUCACION"/>
    <s v="07 SECRETARIA DE EDUCACION"/>
    <n v="2020130010162"/>
    <s v="08. PILAR CARTAGENA INCLUYENTE"/>
    <s v="8.2 LÍNEA ESTRATEGICA DE EDUCACION: CULTURA DE LA FORMACION &quot;CON LA EDUCACION PARA TODOS Y TODAS SALVAMOS JUNTOS A CARTAGENA&quot;"/>
    <s v="8.2.7 PROGRAMA: EDUCACIÓN PARA TRANSFORMAR “EDUCACIÓN MEDIA TÉCNICA Y SUPERIOR”"/>
    <s v="2,3,2201,0700,2020130010162"/>
    <s v="001"/>
    <s v="1,2,1,0,00-001 - ICLD"/>
    <s v="INV"/>
    <s v="NO"/>
    <s v="MEJORAMIENTO DEL PROCESO FORMATIVO DE LA EDUCACION MEDIA TECNICA OFICIAL EN LAS IEO  DESARROLLO DE POTENCIALIDADES PRODUCTIVAS DE   CARTAGENA DE INDIAS"/>
    <s v="2020130010162 MEJORAMIENTO DEL PROCESO FORMATIVO DE LA EDUCACION MEDIA TECNICA OFICIAL EN LAS IEO  DESARROLLO DE POTENCIALIDADES PRODUCTIVAS DE   CARTAGENA DE INDIAS"/>
    <s v="06"/>
    <s v="00"/>
    <n v="432000000"/>
    <n v="44000000"/>
    <n v="476000000"/>
    <n v="476000000"/>
    <n v="0"/>
    <n v="350185833"/>
    <n v="73.569999999999993"/>
    <n v="347652500"/>
    <n v="73.040000000000006"/>
    <n v="125814167"/>
    <n v="266100000"/>
  </r>
  <r>
    <n v="2022"/>
    <n v="100"/>
    <x v="6"/>
    <s v="INSTITUTO DE PATRIMONIO Y CULTURA DE CARTAGENA DE INDIAS"/>
    <s v="17 INSTITUTO DE PATRIMONIO Y CULTURA DE CARTAGENA DE INDIAS"/>
    <n v="2020130010163"/>
    <s v="08. PILAR CARTAGENA INCLUYENTE"/>
    <s v="8.5 LÍNEA ESTRATÉGICA ARTES, CULTURA Y PATRIMONIO PARA UNA CARTAGENA INCLUYENTE"/>
    <s v="8.5.5 PROGRAMA: DERECHOS CULTURALES Y BUEN GOBIERNO PARA EL FORTALECIMIENTO INSTITUCIONAL Y CIUDADANO"/>
    <s v="2,3,3399,1603,2020130010163"/>
    <s v="001"/>
    <s v="1,2,1,0,00-001 - ICLD"/>
    <s v="INV"/>
    <s v="NO"/>
    <s v="PROTECCION Y GARANTIA DE LOS DERECHOS CULTURALES EN EL DISTRITO DE  CARTAGENA DE INDIAS"/>
    <s v="2020130010163 PROTECCION Y GARANTIA DE LOS DERECHOS CULTURALES EN EL DISTRITO DE  CARTAGENA DE INDIAS"/>
    <s v="06"/>
    <s v="00"/>
    <n v="80457249"/>
    <n v="0"/>
    <n v="80457249"/>
    <n v="80457249"/>
    <n v="0"/>
    <n v="80457249"/>
    <n v="100"/>
    <n v="80457249"/>
    <n v="100"/>
    <n v="0"/>
    <n v="33220798"/>
  </r>
  <r>
    <n v="2022"/>
    <n v="100"/>
    <x v="6"/>
    <s v="INSTITUTO DE PATRIMONIO Y CULTURA DE CARTAGENA DE INDIAS"/>
    <s v="17 INSTITUTO DE PATRIMONIO Y CULTURA DE CARTAGENA DE INDIAS"/>
    <n v="2020130010163"/>
    <s v="08. PILAR CARTAGENA INCLUYENTE"/>
    <s v="8.5 LÍNEA ESTRATÉGICA ARTES, CULTURA Y PATRIMONIO PARA UNA CARTAGENA INCLUYENTE"/>
    <s v="8.5.5 PROGRAMA: DERECHOS CULTURALES Y BUEN GOBIERNO PARA EL FORTALECIMIENTO INSTITUCIONAL Y CIUDADANO"/>
    <s v="2,3,3399,1603,2020130010163"/>
    <s v="057"/>
    <s v="1,2,4,3,02-057 - SGP CULTURA"/>
    <s v="INV"/>
    <s v="NO"/>
    <s v="PROTECCION Y GARANTIA DE LOS DERECHOS CULTURALES EN EL DISTRITO DE  CARTAGENA DE INDIAS"/>
    <s v="2020130010163 PROTECCION Y GARANTIA DE LOS DERECHOS CULTURALES EN EL DISTRITO DE  CARTAGENA DE INDIAS"/>
    <s v="06"/>
    <s v="00"/>
    <n v="117233509"/>
    <n v="0"/>
    <n v="117233509"/>
    <n v="52759626.159999996"/>
    <n v="64473882.840000004"/>
    <n v="52759626.159999996"/>
    <n v="45"/>
    <n v="33220708"/>
    <n v="28.34"/>
    <n v="64473882.840000004"/>
    <n v="0"/>
  </r>
  <r>
    <n v="2022"/>
    <n v="100"/>
    <x v="6"/>
    <s v="INSTITUTO DE PATRIMONIO Y CULTURA DE CARTAGENA DE INDIAS"/>
    <s v="17 INSTITUTO DE PATRIMONIO Y CULTURA DE CARTAGENA DE INDIAS"/>
    <n v="2020130010163"/>
    <s v="08. PILAR CARTAGENA INCLUYENTE"/>
    <s v="8.5 LÍNEA ESTRATÉGICA ARTES, CULTURA Y PATRIMONIO PARA UNA CARTAGENA INCLUYENTE"/>
    <s v="8.5.5 PROGRAMA: DERECHOS CULTURALES Y BUEN GOBIERNO PARA EL FORTALECIMIENTO INSTITUCIONAL Y CIUDADANO"/>
    <s v="2,3,3399,1603,2020130010163"/>
    <s v="082"/>
    <s v="1,2,3,1,19-082 - ESTAMPILLAS PROCULTURA"/>
    <s v="INV"/>
    <s v="NO"/>
    <s v="PROTECCION Y GARANTIA DE LOS DERECHOS CULTURALES EN EL DISTRITO DE  CARTAGENA DE INDIAS"/>
    <s v="2020130010163 PROTECCION Y GARANTIA DE LOS DERECHOS CULTURALES EN EL DISTRITO DE  CARTAGENA DE INDIAS"/>
    <s v="06"/>
    <s v="00"/>
    <n v="645653440"/>
    <n v="0"/>
    <n v="645653440"/>
    <n v="0"/>
    <n v="645653440"/>
    <n v="0"/>
    <n v="0"/>
    <n v="0"/>
    <n v="0"/>
    <n v="645653440"/>
    <n v="0"/>
  </r>
  <r>
    <n v="2022"/>
    <n v="100"/>
    <x v="8"/>
    <s v="DEPARTAMENTO ADMINISTRATIVO DE SALUD"/>
    <s v="10 DEPARTAMENTO ADMINISTRATIVO DE SALUD"/>
    <n v="2020130010164"/>
    <s v="08. PILAR CARTAGENA INCLUYENTE"/>
    <s v="8.3 LÍNEA ESTRATÉGICA SALUD PARA TODOS"/>
    <s v="8.3.8 VIDA SALUDABLE Y ENFERMEDADES TRANSMISIBLES"/>
    <s v="2,3,1905,0300,2020130010164"/>
    <s v="016"/>
    <s v="1,2,3,3,07-016 - RECURSOS DEL SISTEMA DE SEGURIDAD SOCIAL INTEGRAL - SALUD"/>
    <s v="INV"/>
    <s v="NO"/>
    <s v="PREVENCION, PROMOCION , VIGILANCIA Y CONTROL DE ENFERMEDADES DE TRANSMISION VECTORIAL EN EL DISTRITO DE CARTAGENA DE INDIAS"/>
    <s v="2020130010164 PREVENCION, PROMOCION , VIGILANCIA Y CONTROL DE ENFERMEDADES DE TRANSMISION VECTORIAL EN EL DISTRITO DE CARTAGENA DE INDIAS"/>
    <s v="06"/>
    <s v="00"/>
    <n v="629512436"/>
    <n v="-15224809"/>
    <n v="614287627"/>
    <n v="614287627"/>
    <n v="0"/>
    <n v="614287627"/>
    <n v="100"/>
    <n v="614287627"/>
    <n v="100"/>
    <n v="0"/>
    <n v="501706185"/>
  </r>
  <r>
    <n v="2022"/>
    <n v="100"/>
    <x v="8"/>
    <s v="DEPARTAMENTO ADMINISTRATIVO DE SALUD"/>
    <s v="10 DEPARTAMENTO ADMINISTRATIVO DE SALUD"/>
    <n v="2020130010164"/>
    <s v="08. PILAR CARTAGENA INCLUYENTE"/>
    <s v="8.3 LÍNEA ESTRATÉGICA SALUD PARA TODOS"/>
    <s v="8.3.8 VIDA SALUDABLE Y ENFERMEDADES TRANSMISIBLES"/>
    <s v="2,3,1905,0300,2020130010164"/>
    <s v="170"/>
    <s v="1,2,4,2,02-170 - SGP SALUD PUBLICA"/>
    <s v="INV"/>
    <s v="NO"/>
    <s v="PREVENCION, PROMOCION , VIGILANCIA Y CONTROL DE ENFERMEDADES DE TRANSMISION VECTORIAL EN EL DISTRITO DE CARTAGENA DE INDIAS"/>
    <s v="2020130010164 PREVENCION, PROMOCION , VIGILANCIA Y CONTROL DE ENFERMEDADES DE TRANSMISION VECTORIAL EN EL DISTRITO DE CARTAGENA DE INDIAS"/>
    <s v="06"/>
    <s v="00"/>
    <n v="808197817"/>
    <n v="0"/>
    <n v="808197817"/>
    <n v="803597817"/>
    <n v="4600000"/>
    <n v="529361712"/>
    <n v="65.5"/>
    <n v="355361712"/>
    <n v="43.97"/>
    <n v="278836105"/>
    <n v="350361712"/>
  </r>
  <r>
    <n v="2022"/>
    <n v="100"/>
    <x v="8"/>
    <s v="DEPARTAMENTO ADMINISTRATIVO DE SALUD"/>
    <s v="10 DEPARTAMENTO ADMINISTRATIVO DE SALUD"/>
    <n v="2020130010164"/>
    <s v="08. PILAR CARTAGENA INCLUYENTE"/>
    <s v="8.3 LÍNEA ESTRATÉGICA SALUD PARA TODOS"/>
    <s v="8.3.8 VIDA SALUDABLE Y ENFERMEDADES TRANSMISIBLES"/>
    <s v="2,3,1905,0300,2020130010164"/>
    <s v="890"/>
    <s v="1,3,3,5,07-93-016 R,B, RECURSOS DEL SISTEMA DE SEGURIDAD SOCIAL INTEGRAL - SALUD MINISTERIO DE PROTECCION SOCIAL"/>
    <s v="INV"/>
    <s v="NO"/>
    <s v="PREVENCION, PROMOCION, VIGILANCIA Y CONTROL DE ENFERMEDADES DE TRANSMISION VECTORIAL EN EL DISTRITO DE CARTAGENA DE INDIAS"/>
    <s v="2020130010164 PREVENCION, PROMOCION, VIGILANCIA Y CONTROL DE ENFERMEDADES DE TRANSMISION VECTORIAL EN EL DISTRITO DE CARTAGENA DE INDIAS"/>
    <s v="06"/>
    <s v="00"/>
    <n v="0"/>
    <n v="139465828"/>
    <n v="139465828"/>
    <n v="1476840"/>
    <n v="137988988"/>
    <n v="1476840"/>
    <n v="1.06"/>
    <n v="1476840"/>
    <n v="1.06"/>
    <n v="137988988"/>
    <n v="0"/>
  </r>
  <r>
    <n v="2022"/>
    <n v="100"/>
    <x v="8"/>
    <s v="DEPARTAMENTO ADMINISTRATIVO DE SALUD"/>
    <s v="10 DEPARTAMENTO ADMINISTRATIVO DE SALUD"/>
    <n v="2020130010164"/>
    <s v="08. PILAR CARTAGENA INCLUYENTE"/>
    <s v="8.3 LÍNEA ESTRATÉGICA SALUD PARA TODOS"/>
    <s v="8.3.8 VIDA SALUDABLE Y ENFERMEDADES TRANSMISIBLES"/>
    <s v="2,3,1905,0300,2020130010164"/>
    <s v="891"/>
    <s v="1,3,3,5,07-93-017 R,B, RECURSOS DEL SISTEMA DE SEGURIDAD SOCIAL INTEGRAL - SALUD Rendimientos  Financieros FLS"/>
    <s v="INV"/>
    <s v="NO"/>
    <s v="PREVENCION, PROMOCION, VIGILANCIA Y CONTROL DE ENFERMEDADES DE TRANSMISION VECTORIAL EN EL DISTRITO DE CARTAGENA DE INDIAS"/>
    <s v="2020130010164 PREVENCION, PROMOCION, VIGILANCIA Y CONTROL DE ENFERMEDADES DE TRANSMISION VECTORIAL EN EL DISTRITO DE CARTAGENA DE INDIAS"/>
    <s v="06"/>
    <s v="00"/>
    <n v="0"/>
    <n v="52992643"/>
    <n v="52992643"/>
    <n v="0"/>
    <n v="52992643"/>
    <n v="0"/>
    <n v="0"/>
    <n v="0"/>
    <n v="0"/>
    <n v="52992643"/>
    <n v="0"/>
  </r>
  <r>
    <n v="2022"/>
    <n v="100"/>
    <x v="8"/>
    <s v="DEPARTAMENTO ADMINISTRATIVO DE SALUD"/>
    <s v="10 DEPARTAMENTO ADMINISTRATIVO DE SALUD"/>
    <n v="2020130010164"/>
    <s v="08. PILAR CARTAGENA INCLUYENTE"/>
    <s v="8.3 LÍNEA ESTRATÉGICA SALUD PARA TODOS"/>
    <s v="8.3.8 VIDA SALUDABLE Y ENFERMEDADES TRANSMISIBLES"/>
    <s v="2,3,1905,0300,2020130010164"/>
    <s v="894"/>
    <s v="1,3,3,5,07-95-016 R,B, RECURSOS DEL SISTEMA DE SEGURIDAD SOCIAL INTEGRAL - SALUD MINISTERIO DE PROTECCION SOCIAL"/>
    <s v="INV"/>
    <s v="NO"/>
    <s v="PREVENCION, PROMOCION, VIGILANCIA Y CONTROL DE ENFERMEDADES DE TRANSMISION VECTORIAL EN EL DISTRITO DE CARTAGENA DE INDIAS"/>
    <s v="2020130010164 PREVENCION, PROMOCION, VIGILANCIA Y CONTROL DE ENFERMEDADES DE TRANSMISION VECTORIAL EN EL DISTRITO DE CARTAGENA DE INDIAS"/>
    <s v="06"/>
    <s v="00"/>
    <n v="0"/>
    <n v="48240299"/>
    <n v="48240299"/>
    <n v="48240299"/>
    <n v="0"/>
    <n v="48240299"/>
    <n v="100"/>
    <n v="48240299"/>
    <n v="100"/>
    <n v="0"/>
    <n v="48240299"/>
  </r>
  <r>
    <n v="2022"/>
    <n v="100"/>
    <x v="8"/>
    <s v="DEPARTAMENTO ADMINISTRATIVO DE SALUD"/>
    <s v="10 DEPARTAMENTO ADMINISTRATIVO DE SALUD"/>
    <n v="2020130010164"/>
    <s v="08. PILAR CARTAGENA INCLUYENTE"/>
    <s v="8.3 LÍNEA ESTRATÉGICA SALUD PARA TODOS"/>
    <s v="8.3.8 VIDA SALUDABLE Y ENFERMEDADES TRANSMISIBLES"/>
    <s v="2,3,1905,0300,2020130010164"/>
    <s v="916"/>
    <s v="1,3,3,7,02-95-170 R,B, SGP-SALUD-SALUD PUBLICA"/>
    <s v="INV"/>
    <s v="NO"/>
    <s v="PREVENCION, PROMOCION, VIGILANCIA Y CONTROL DE ENFERMEDADES DE TRANSMISION VECTORIAL EN EL DISTRITO DE CARTAGENA DE INDIAS"/>
    <s v="2020130010164 PREVENCION, PROMOCION, VIGILANCIA Y CONTROL DE ENFERMEDADES DE TRANSMISION VECTORIAL EN EL DISTRITO DE CARTAGENA DE INDIAS"/>
    <s v="06"/>
    <s v="00"/>
    <n v="0"/>
    <n v="765414745"/>
    <n v="765414745"/>
    <n v="758281412"/>
    <n v="7133333"/>
    <n v="671962744"/>
    <n v="87.79"/>
    <n v="379581332"/>
    <n v="49.59"/>
    <n v="93452001"/>
    <n v="175600000"/>
  </r>
  <r>
    <n v="2022"/>
    <n v="100"/>
    <x v="7"/>
    <s v="SECRETARIA DE EDUCACION"/>
    <s v="07 SECRETARIA DE EDUCACION"/>
    <n v="2020130010165"/>
    <s v="08. PILAR CARTAGENA INCLUYENTE"/>
    <s v="8.2 LÍNEA ESTRATEGICA DE EDUCACION: CULTURA DE LA FORMACION &quot;CON LA EDUCACION PARA TODOS Y TODAS SALVAMOS JUNTOS A CARTAGENA&quot;"/>
    <s v="8.2.8 PROGRAMA: MOVILIZACIÓN  “POR UNA GESTIÓN EDUCATIVA TRANSPARENTE, PARTICIPATIVA Y EFICIENTE”"/>
    <s v="2,3,2299,0700,2020130010165"/>
    <s v="001"/>
    <s v="1,2,1,0,00-001 - ICLD"/>
    <s v="INV"/>
    <s v="NO"/>
    <s v="MEJORAMIENTO DEL BIENESTAR Y PROTECCION DE LOS FUNCIONARIOS DE LA SECRETARIA DE EDUCACION DISTRITAL  PARA CONTRIBUIR A UNA MEJOR CALIDAD DE VIDA EN EL DISTRITO DE  CARTAGENA DE INDIAS"/>
    <s v="2020130010165 MEJORAMIENTO DEL BIENESTAR Y PROTECCION DE LOS FUNCIONARIOS DE LA SECRETARIA DE EDUCACION DISTRITAL  PARA CONTRIBUIR A UNA MEJOR CALIDAD DE VIDA EN EL DISTRITO DE  CARTAGENA DE INDIAS"/>
    <s v="06"/>
    <s v="00"/>
    <n v="828000000"/>
    <n v="490000000"/>
    <n v="1318000000"/>
    <n v="1314536921.9000001"/>
    <n v="3463078.1"/>
    <n v="905464687.20000005"/>
    <n v="68.7"/>
    <n v="492437081.35000002"/>
    <n v="37.36"/>
    <n v="412535312.80000001"/>
    <n v="382437082.89999998"/>
  </r>
  <r>
    <n v="2022"/>
    <n v="100"/>
    <x v="8"/>
    <s v="DEPARTAMENTO ADMINISTRATIVO DE SALUD"/>
    <s v="10 DEPARTAMENTO ADMINISTRATIVO DE SALUD"/>
    <n v="2020130010166"/>
    <s v="08. PILAR CARTAGENA INCLUYENTE"/>
    <s v="8.3 LÍNEA ESTRATÉGICA SALUD PARA TODOS"/>
    <s v="8.3.5 CONVIVENCIA SOCIAL Y SALUD MENTAL"/>
    <s v="2,3,1905,0300,2020130010166"/>
    <s v="170"/>
    <s v="1,2,4,2,02-170 - SGP SALUD PUBLICA"/>
    <s v="INV"/>
    <s v="NO"/>
    <s v="PREVENCION EN SALUD MENTAL EN EL DISTRITO DE  CARTAGENA DE INDIAS"/>
    <s v="2020130010166 PREVENCION EN SALUD MENTAL EN EL DISTRITO DE  CARTAGENA DE INDIAS"/>
    <s v="06"/>
    <s v="00"/>
    <n v="624000000"/>
    <n v="0"/>
    <n v="624000000"/>
    <n v="616300000"/>
    <n v="7700000"/>
    <n v="616300000"/>
    <n v="98.77"/>
    <n v="261800000"/>
    <n v="41.96"/>
    <n v="7700000"/>
    <n v="261800000"/>
  </r>
  <r>
    <n v="2022"/>
    <n v="100"/>
    <x v="8"/>
    <s v="DEPARTAMENTO ADMINISTRATIVO DE SALUD"/>
    <s v="10 DEPARTAMENTO ADMINISTRATIVO DE SALUD"/>
    <n v="2020130010166"/>
    <s v="08. PILAR CARTAGENA INCLUYENTE"/>
    <s v="8.3 LÍNEA ESTRATÉGICA SALUD PARA TODOS"/>
    <s v="8.3.5 CONVIVENCIA SOCIAL Y SALUD MENTAL"/>
    <s v="2,3,1905,0300,2020130010166"/>
    <s v="894"/>
    <s v="1,3,3,5,07-95-016 R,B, RECURSOS DEL SISTEMA DE SEGURIDAD SOCIAL INTEGRAL - SALUD MINISTERIO DE PROTECCION SOCIAL"/>
    <s v="INV"/>
    <s v="NO"/>
    <s v="PREVENCION EN SALUD MENTAL EN EL DISTRITO DE  CARTAGENA DE INDIAS"/>
    <s v="2020130010166 PREVENCION EN SALUD MENTAL EN EL DISTRITO DE  CARTAGENA DE INDIAS"/>
    <s v="06"/>
    <s v="00"/>
    <n v="0"/>
    <n v="15020000"/>
    <n v="15020000"/>
    <n v="0"/>
    <n v="15020000"/>
    <n v="0"/>
    <n v="0"/>
    <n v="0"/>
    <n v="0"/>
    <n v="15020000"/>
    <n v="0"/>
  </r>
  <r>
    <n v="2022"/>
    <n v="100"/>
    <x v="9"/>
    <s v="SECRETARIA DE PARTICIPACION Y DESARROLLO SOCIAL"/>
    <s v="08 SECRETARIA DE PARTICIPACION Y DESARROLLO SOCIAL"/>
    <n v="2020130010168"/>
    <s v="11. EJE TRANSVERSAL: CARTAGENA CON ATENCION Y GARANTIA DE DERECHOS A POBLACION DIFERENCIAL."/>
    <s v="11.4 LÍNEA ESTRATÉGICA JÓVENES SALVANDO A CARTAGENA"/>
    <s v="11.4.2 PROGRAMA: POLITICA PUBLICA DE JUVENTUD"/>
    <s v="2,3,4199,1500,2020130010168"/>
    <s v="001"/>
    <s v="1,2,1,0,00-001 - ICLD"/>
    <s v="INV"/>
    <s v="NO"/>
    <s v="FORMULACION E IMPLEMENTACION DE LA POLITICA PUBLICA DE JUVENTUD EN  CARTAGENA DE INDIAS"/>
    <s v="2020130010168 FORMULACION E IMPLEMENTACION DE LA POLITICA PUBLICA DE JUVENTUD EN  CARTAGENA DE INDIAS"/>
    <s v="06"/>
    <s v="00"/>
    <n v="70000000"/>
    <n v="0"/>
    <n v="70000000"/>
    <n v="69999557"/>
    <n v="443"/>
    <n v="69999440"/>
    <n v="100"/>
    <n v="0"/>
    <n v="0"/>
    <n v="560"/>
    <n v="0"/>
  </r>
  <r>
    <n v="2022"/>
    <n v="100"/>
    <x v="8"/>
    <s v="DEPARTAMENTO ADMINISTRATIVO DE SALUD"/>
    <s v="10 DEPARTAMENTO ADMINISTRATIVO DE SALUD"/>
    <n v="2020130010169"/>
    <s v="08. PILAR CARTAGENA INCLUYENTE"/>
    <s v="8.3 LÍNEA ESTRATÉGICA SALUD PARA TODOS"/>
    <s v="8.3.3 SALUD AMBIENTAL"/>
    <s v="2,3,1905,0300,2020130010169"/>
    <s v="170"/>
    <s v="1,2,4,2,02-170 - SGP SALUD PUBLICA"/>
    <s v="INV"/>
    <s v="NO"/>
    <s v="CONTROL Y VIGILANCIA DE LA CALIDAD DEL AGUA PARA CONSUMO HUMANO Y DE DIVERSION EN EL DISTRITO DE  CARTAGENA DE INDIAS"/>
    <s v="2020130010169 CONTROL Y VIGILANCIA DE LA CALIDAD DEL AGUA PARA CONSUMO HUMANO Y DE DIVERSION EN EL DISTRITO DE  CARTAGENA DE INDIAS"/>
    <s v="06"/>
    <s v="00"/>
    <n v="225689093"/>
    <n v="0"/>
    <n v="225689093"/>
    <n v="225689093"/>
    <n v="0"/>
    <n v="225689093"/>
    <n v="100"/>
    <n v="175400000"/>
    <n v="77.72"/>
    <n v="0"/>
    <n v="171600000"/>
  </r>
  <r>
    <n v="2022"/>
    <n v="100"/>
    <x v="9"/>
    <s v="SECRETARIA DE PARTICIPACION Y DESARROLLO SOCIAL"/>
    <s v="08 SECRETARIA DE PARTICIPACION Y DESARROLLO SOCIAL"/>
    <n v="2020130010170"/>
    <s v="11. EJE TRANSVERSAL: CARTAGENA CON ATENCION Y GARANTIA DE DERECHOS A POBLACION DIFERENCIAL."/>
    <s v="11.4 LÍNEA ESTRATÉGICA JÓVENES SALVANDO A CARTAGENA"/>
    <s v="11.4.1 PROGRAMA: JOVENES PARTICIPANDO Y SALVANDO A CARTAGENA"/>
    <s v="2,3,4102,1500,2020130010170"/>
    <s v="001"/>
    <s v="1,2,1,0,00-001 - ICLD"/>
    <s v="INV"/>
    <s v="NO"/>
    <s v="FORTALECIMIENTO AL PROGRAMA JOVENES PARTICIPANDO Y SALVANDO A  CARTAGENA DE INDIAS"/>
    <s v="2020130010170 FORTALECIMIENTO AL PROGRAMA JOVENES PARTICIPANDO Y SALVANDO A  CARTAGENA DE INDIAS"/>
    <s v="06"/>
    <s v="00"/>
    <n v="200000000"/>
    <n v="0"/>
    <n v="200000000"/>
    <n v="199416175"/>
    <n v="583825"/>
    <n v="170174188.66999999"/>
    <n v="85.09"/>
    <n v="106510133.67"/>
    <n v="53.26"/>
    <n v="29825811.329999998"/>
    <n v="73766666.670000002"/>
  </r>
  <r>
    <n v="2022"/>
    <n v="100"/>
    <x v="8"/>
    <s v="DEPARTAMENTO ADMINISTRATIVO DE SALUD"/>
    <s v="10 DEPARTAMENTO ADMINISTRATIVO DE SALUD"/>
    <n v="2020130010173"/>
    <s v="08. PILAR CARTAGENA INCLUYENTE"/>
    <s v="8.3 LÍNEA ESTRATÉGICA SALUD PARA TODOS"/>
    <s v="8.3.8 VIDA SALUDABLE Y ENFERMEDADES TRANSMISIBLES"/>
    <s v="2,3,1905,0300,2020130010173"/>
    <s v="170"/>
    <s v="1,2,4,2,02-170 - SGP SALUD PUBLICA"/>
    <s v="INV"/>
    <s v="NO"/>
    <s v="PREVENCION , MANEJO Y CONTROL DE LA INFECCION RESPIRATORIA AGUDA EN NI?OS Y NI?AS MENORES DE CINCO A?OS EN  CARTAGENA DE INDIAS"/>
    <s v="2020130010173 PREVENCION , MANEJO Y CONTROL DE LA INFECCION RESPIRATORIA AGUDA EN NI?OS Y NI?AS MENORES DE CINCO A?OS EN  CARTAGENA DE INDIAS"/>
    <s v="06"/>
    <s v="00"/>
    <n v="292240000"/>
    <n v="0"/>
    <n v="292240000"/>
    <n v="292240000"/>
    <n v="0"/>
    <n v="292240000"/>
    <n v="100"/>
    <n v="185200000"/>
    <n v="63.37"/>
    <n v="0"/>
    <n v="185200000"/>
  </r>
  <r>
    <n v="2022"/>
    <n v="100"/>
    <x v="8"/>
    <s v="DEPARTAMENTO ADMINISTRATIVO DE SALUD"/>
    <s v="10 DEPARTAMENTO ADMINISTRATIVO DE SALUD"/>
    <n v="2020130010173"/>
    <s v="08. PILAR CARTAGENA INCLUYENTE"/>
    <s v="8.3 LÍNEA ESTRATÉGICA SALUD PARA TODOS"/>
    <s v="8.3.8 VIDA SALUDABLE Y ENFERMEDADES TRANSMISIBLES"/>
    <s v="2,3,1905,0300,2020130010173"/>
    <s v="916"/>
    <s v="1,3,3,7,02-95-170 R,B, SGP-SALUD-SALUD PUBLICA"/>
    <s v="INV"/>
    <s v="NO"/>
    <s v="PREVENCION, MANEJO Y CONTROL DE LA INFECCION RESPIRATORIA AGUDA EN NI?OS Y NI?AS MENORES DE CINCO A?OS EN  CARTAGENA DE INDIAS"/>
    <s v="2020130010173 PREVENCION, MANEJO Y CONTROL DE LA INFECCION RESPIRATORIA AGUDA EN NI?OS Y NI?AS MENORES DE CINCO A?OS EN  CARTAGENA DE INDIAS"/>
    <s v="06"/>
    <s v="00"/>
    <n v="0"/>
    <n v="185435106"/>
    <n v="185435106"/>
    <n v="185435106"/>
    <n v="0"/>
    <n v="184041772"/>
    <n v="99.25"/>
    <n v="59406666"/>
    <n v="32.04"/>
    <n v="1393334"/>
    <n v="41800000"/>
  </r>
  <r>
    <n v="2022"/>
    <n v="100"/>
    <x v="8"/>
    <s v="DEPARTAMENTO ADMINISTRATIVO DE SALUD"/>
    <s v="10 DEPARTAMENTO ADMINISTRATIVO DE SALUD"/>
    <n v="2020130010175"/>
    <s v="08. PILAR CARTAGENA INCLUYENTE"/>
    <s v="8.3 LÍNEA ESTRATÉGICA SALUD PARA TODOS"/>
    <s v="8.3.3 SALUD AMBIENTAL"/>
    <s v="2,3,1905,0300,2020130010175"/>
    <s v="170"/>
    <s v="1,2,4,2,02-170 - SGP SALUD PUBLICA"/>
    <s v="INV"/>
    <s v="NO"/>
    <s v="SANEAMIENTO EN SEGURIDAD SANITARIA DEL AMBIENTE  CARTAGENA DE INDIAS"/>
    <s v="2020130010175 SANEAMIENTO EN SEGURIDAD SANITARIA DEL AMBIENTE  CARTAGENA DE INDIAS"/>
    <s v="06"/>
    <s v="00"/>
    <n v="236458187"/>
    <n v="0"/>
    <n v="236458187"/>
    <n v="235400000"/>
    <n v="1058187"/>
    <n v="233120000"/>
    <n v="98.59"/>
    <n v="149520000"/>
    <n v="63.23"/>
    <n v="3338187"/>
    <n v="136600000"/>
  </r>
  <r>
    <n v="2022"/>
    <n v="100"/>
    <x v="8"/>
    <s v="DEPARTAMENTO ADMINISTRATIVO DE SALUD"/>
    <s v="10 DEPARTAMENTO ADMINISTRATIVO DE SALUD"/>
    <n v="2020130010177"/>
    <s v="08. PILAR CARTAGENA INCLUYENTE"/>
    <s v="8.3 LÍNEA ESTRATÉGICA SALUD PARA TODOS"/>
    <s v="8.3.2 TRANSVERSAL GESTIÓN DIFERENCIAL DE POBLACIONES VULNERABLES"/>
    <s v="2,3,1905,0300,2020130010177"/>
    <s v="170"/>
    <s v="1,2,4,2,02-170 - SGP SALUD PUBLICA"/>
    <s v="INV"/>
    <s v="NO"/>
    <s v="PREVENCION Y PROMOCION DE LA SALUD INFANTIL EN EL DISTRITO DE CARTAGENA DE INDIAS"/>
    <s v="2020130010177 PREVENCION Y PROMOCION DE LA SALUD INFANTIL EN EL DISTRITO DE CARTAGENA DE INDIAS"/>
    <s v="06"/>
    <s v="00"/>
    <n v="315952000"/>
    <n v="0"/>
    <n v="315952000"/>
    <n v="315952000"/>
    <n v="0"/>
    <n v="315952000"/>
    <n v="100"/>
    <n v="220800000"/>
    <n v="69.88"/>
    <n v="0"/>
    <n v="218400000"/>
  </r>
  <r>
    <n v="2022"/>
    <n v="100"/>
    <x v="11"/>
    <s v="ESTABLECIMIENTO PUBLICO AMBIENTAL-EPA"/>
    <s v="21 ESTABLECIMIENTO PUBLICO AMBIENTAL-EPA"/>
    <n v="2020130010179"/>
    <s v="07. PILAR CARTAGENA RESILIENTE"/>
    <s v="7.1 LÍNEA ESTRATÉGICA: “SALVEMOS JUNTOS NUESTRO PATRIMONIO NATURAL”"/>
    <s v="7.1.6 NEGOCIOS VERDES, ECONOMÍA CIRCULAR, PRODUCCIÓN Y CONSUMO SOSTENIBLE (NEGOCIOS VERDES INCLUSIVOS)"/>
    <s v="2,3,3201,0900,2020130010179"/>
    <s v="001"/>
    <s v="1,2,1,0,00-001 - ICLD"/>
    <s v="INV"/>
    <s v="NO"/>
    <s v="GENERACION DE NEGOCIOS VERDES, ECONOMIA CIRCULAR, PRODUCCION Y CONSUMO SOSTENIBLE, NEGOCIOS VERDES INCLUSIVOS EN LA CIUDAD DE   CARTAGENA DE INDIAS"/>
    <s v="2020130010179 GENERACION DE NEGOCIOS VERDES, ECONOMIA CIRCULAR, PRODUCCION Y CONSUMO SOSTENIBLE, NEGOCIOS VERDES INCLUSIVOS EN LA CIUDAD DE   CARTAGENA DE INDIAS"/>
    <s v="06"/>
    <s v="00"/>
    <n v="150000000"/>
    <n v="0"/>
    <n v="150000000"/>
    <n v="150000000"/>
    <n v="0"/>
    <n v="150000000"/>
    <n v="100"/>
    <n v="150000000"/>
    <n v="100"/>
    <n v="0"/>
    <n v="150000000"/>
  </r>
  <r>
    <n v="2022"/>
    <n v="100"/>
    <x v="11"/>
    <s v="ESTABLECIMIENTO PUBLICO AMBIENTAL-EPA"/>
    <s v="21 ESTABLECIMIENTO PUBLICO AMBIENTAL-EPA"/>
    <n v="2020130010183"/>
    <s v="07. PILAR CARTAGENA RESILIENTE"/>
    <s v="7.1 LÍNEA ESTRATÉGICA: “SALVEMOS JUNTOS NUESTRO PATRIMONIO NATURAL”"/>
    <s v="7.1.3 ASEGURAMIENTO, MONITOREO, CONTROL Y VIGILANCIA AMBIENTAL (SISTEMA INTEGRADO DE MONITOREO AMBIENTAL)"/>
    <s v="2,3,3299,0900,2020130010183"/>
    <s v="935"/>
    <s v="1,3,3,4,02-93-031- R,B, CONTRIBUCION DEL SECTOR ELECTRICO"/>
    <s v="INV"/>
    <s v="NO"/>
    <s v="IMPLEMENTACION DEL SISTEMA DE MONITOREO INTELIGENTE AMBIENTAL CARTAGENA DE INDIAS"/>
    <s v="2020130010183 IMPLEMENTACION DEL SISTEMA DE MONITOREO INTELIGENTE AMBIENTAL CARTAGENA DE INDIAS"/>
    <s v="06"/>
    <s v="00"/>
    <n v="0"/>
    <n v="455945541"/>
    <n v="455945541"/>
    <n v="0"/>
    <n v="455945541"/>
    <n v="0"/>
    <n v="0"/>
    <n v="0"/>
    <n v="0"/>
    <n v="455945541"/>
    <n v="0"/>
  </r>
  <r>
    <n v="2022"/>
    <n v="100"/>
    <x v="11"/>
    <s v="ESTABLECIMIENTO PUBLICO AMBIENTAL-EPA"/>
    <s v="21 ESTABLECIMIENTO PUBLICO AMBIENTAL-EPA"/>
    <n v="2020130010183"/>
    <s v="07. PILAR CARTAGENA RESILIENTE"/>
    <s v="7.1 LÍNEA ESTRATÉGICA: “SALVEMOS JUNTOS NUESTRO PATRIMONIO NATURAL”"/>
    <s v="7.1.3 ASEGURAMIENTO, MONITOREO, CONTROL Y VIGILANCIA AMBIENTAL (SISTEMA INTEGRADO DE MONITOREO AMBIENTAL)"/>
    <s v="2,3,3299,0900,2020130010183"/>
    <s v="937"/>
    <s v="1,3,3,4,04-93-014 - R,B, TASAS RETRIBUTIVAS"/>
    <s v="INV"/>
    <s v="NO"/>
    <s v="IMPLEMENTACION DEL SISTEMA DE MONITOREO INTELIGENTE AMBIENTAL CARTAGENA DE INDIAS"/>
    <s v="2020130010183 IMPLEMENTACION DEL SISTEMA DE MONITOREO INTELIGENTE AMBIENTAL CARTAGENA DE INDIAS"/>
    <s v="06"/>
    <s v="00"/>
    <n v="0"/>
    <n v="144054458.88999999"/>
    <n v="144054458.88999999"/>
    <n v="0"/>
    <n v="144054458.88999999"/>
    <n v="0"/>
    <n v="0"/>
    <n v="0"/>
    <n v="0"/>
    <n v="144054458.88999999"/>
    <n v="0"/>
  </r>
  <r>
    <n v="2022"/>
    <n v="100"/>
    <x v="11"/>
    <s v="ESTABLECIMIENTO PUBLICO AMBIENTAL-EPA"/>
    <s v="21 ESTABLECIMIENTO PUBLICO AMBIENTAL-EPA"/>
    <n v="2020130010183"/>
    <s v="07. PILAR CARTAGENA RESILIENTE"/>
    <s v="7.1 LÍNEA ESTRATÉGICA: “SALVEMOS JUNTOS NUESTRO PATRIMONIO NATURAL”"/>
    <s v="7.1.3 ASEGURAMIENTO, MONITOREO, CONTROL Y VIGILANCIA AMBIENTAL (SISTEMA INTEGRADO DE MONITOREO AMBIENTAL)"/>
    <s v="2,3,3299,0900,2020130010183"/>
    <s v="001"/>
    <s v="1,2,1,0,00-001 - ICLD"/>
    <s v="INV"/>
    <s v="NO"/>
    <s v="IMPLEMENTACION DEL SISTEMA DE MONITOREO INTELIGENTE AMBIENTAL   CARTAGENA DE INDIAS"/>
    <s v="2020130010183 IMPLEMENTACION DEL SISTEMA DE MONITOREO INTELIGENTE AMBIENTAL   CARTAGENA DE INDIAS"/>
    <s v="06"/>
    <s v="00"/>
    <n v="300000000"/>
    <n v="0"/>
    <n v="300000000"/>
    <n v="300000000"/>
    <n v="0"/>
    <n v="300000000"/>
    <n v="100"/>
    <n v="300000000"/>
    <n v="100"/>
    <n v="0"/>
    <n v="150000000"/>
  </r>
  <r>
    <n v="2022"/>
    <n v="100"/>
    <x v="11"/>
    <s v="ESTABLECIMIENTO PUBLICO AMBIENTAL-EPA"/>
    <s v="21 ESTABLECIMIENTO PUBLICO AMBIENTAL-EPA"/>
    <n v="2020130010183"/>
    <s v="07. PILAR CARTAGENA RESILIENTE"/>
    <s v="7.1 LÍNEA ESTRATÉGICA: “SALVEMOS JUNTOS NUESTRO PATRIMONIO NATURAL”"/>
    <s v="7.1.3 ASEGURAMIENTO, MONITOREO, CONTROL Y VIGILANCIA AMBIENTAL (SISTEMA INTEGRADO DE MONITOREO AMBIENTAL)"/>
    <s v="2,3,3299,0900,2020130010183"/>
    <s v="031"/>
    <s v="1,2,3,2,12-031 - CONTRIBUCCION DEL SECTOR ELECTRICO - GENERAL "/>
    <s v="INV"/>
    <s v="NO"/>
    <s v="IMPLEMENTACION DEL SISTEMA DE MONITOREO INTELIGENTE AMBIENTAL   CARTAGENA DE INDIAS"/>
    <s v="2020130010183 IMPLEMENTACION DEL SISTEMA DE MONITOREO INTELIGENTE AMBIENTAL   CARTAGENA DE INDIAS"/>
    <s v="06"/>
    <s v="00"/>
    <n v="900000000"/>
    <n v="0"/>
    <n v="900000000"/>
    <n v="0"/>
    <n v="900000000"/>
    <n v="0"/>
    <n v="0"/>
    <n v="0"/>
    <n v="0"/>
    <n v="900000000"/>
    <n v="0"/>
  </r>
  <r>
    <n v="2022"/>
    <n v="100"/>
    <x v="7"/>
    <s v="SECRETARIA DE EDUCACION"/>
    <s v="07 SECRETARIA DE EDUCACION"/>
    <n v="2020130010185"/>
    <s v="08. PILAR CARTAGENA INCLUYENTE"/>
    <s v="8.2 LÍNEA ESTRATEGICA DE EDUCACION: CULTURA DE LA FORMACION &quot;CON LA EDUCACION PARA TODOS Y TODAS SALVAMOS JUNTOS A CARTAGENA&quot;"/>
    <s v="8.2.4 DESARROLLO DE POTENCIALIDADES"/>
    <s v="2,3,2201,0700,2020130010185"/>
    <s v="171"/>
    <s v="1,2,4,1,03-171 - SGP CALIDAD MATRICULA"/>
    <s v="INV"/>
    <s v="NO"/>
    <s v="FORTALECIMIENTO DE LA GESTION ESCOLAR PARA EL MEJORAMIENTO DE LA CALIDAD EDUCATIVA   CARTAGENA DE INDIAS"/>
    <s v="2020130010185 FORTALECIMIENTO DE LA GESTION ESCOLAR PARA EL MEJORAMIENTO DE LA CALIDAD EDUCATIVA   CARTAGENA DE INDIAS"/>
    <s v="06"/>
    <s v="00"/>
    <n v="662785746"/>
    <n v="-161686032"/>
    <n v="501099714"/>
    <n v="501097702"/>
    <n v="2012"/>
    <n v="296912000"/>
    <n v="59.25"/>
    <n v="296912000"/>
    <n v="59.25"/>
    <n v="204187714"/>
    <n v="256424000"/>
  </r>
  <r>
    <n v="2022"/>
    <n v="100"/>
    <x v="7"/>
    <s v="SECRETARIA DE EDUCACION"/>
    <s v="07 SECRETARIA DE EDUCACION"/>
    <n v="2020130010185"/>
    <s v="08. PILAR CARTAGENA INCLUYENTE"/>
    <s v="8.2 LÍNEA ESTRATEGICA DE EDUCACION: CULTURA DE LA FORMACION &quot;CON LA EDUCACION PARA TODOS Y TODAS SALVAMOS JUNTOS A CARTAGENA&quot;"/>
    <s v="8.2.4 DESARROLLO DE POTENCIALIDADES"/>
    <s v="2,3,2201,0700,2020130010185"/>
    <s v="001"/>
    <s v="1,2,1,0,00-001 - ICLD"/>
    <s v="INV"/>
    <s v="NO"/>
    <s v="FORTALECIMIENTO DE LA GESTION ESCOLAR PARA EL MEJORAMIENTO DE LA CALIDAD EDUCATIVA   CARTAGENA DE INDIAS"/>
    <s v="2020130010185 FORTALECIMIENTO DE LA GESTION ESCOLAR PARA EL MEJORAMIENTO DE LA CALIDAD EDUCATIVA   CARTAGENA DE INDIAS"/>
    <s v="06"/>
    <s v="00"/>
    <n v="88000000"/>
    <n v="0"/>
    <n v="88000000"/>
    <n v="88000000"/>
    <n v="0"/>
    <n v="88000000"/>
    <n v="100"/>
    <n v="88000000"/>
    <n v="100"/>
    <n v="0"/>
    <n v="84000000"/>
  </r>
  <r>
    <n v="2022"/>
    <n v="100"/>
    <x v="7"/>
    <s v="SECRETARIA DE EDUCACION"/>
    <s v="07 SECRETARIA DE EDUCACION"/>
    <n v="2020130010186"/>
    <s v="08. PILAR CARTAGENA INCLUYENTE"/>
    <s v="8.2 LÍNEA ESTRATEGICA DE EDUCACION: CULTURA DE LA FORMACION &quot;CON LA EDUCACION PARA TODOS Y TODAS SALVAMOS JUNTOS A CARTAGENA&quot;"/>
    <s v="8.2.3 PROGRAMA: FORMANDO CON AMOR “GENIO SINGULAR”"/>
    <s v="2,3,2201,0700,2020130010186"/>
    <s v="171"/>
    <s v="1,2,4,1,03-171 - SGP CALIDAD MATRICULA"/>
    <s v="INV"/>
    <s v="NO"/>
    <s v="MEJORAMIENTO DE LA CALIDAD EDUCATIVA DE LAS INSTITUCIONES EDUCATIVAS DEL DISTRITO: FORMANDO CON AMOR  CARTAGENA DE INDIAS"/>
    <s v="2020130010186 MEJORAMIENTO DE LA CALIDAD EDUCATIVA DE LAS INSTITUCIONES EDUCATIVAS DEL DISTRITO: FORMANDO CON AMOR  CARTAGENA DE INDIAS"/>
    <s v="06"/>
    <s v="00"/>
    <n v="601450000"/>
    <n v="-501450000"/>
    <n v="100000000"/>
    <n v="99029020"/>
    <n v="970980"/>
    <n v="52280400"/>
    <n v="52.28"/>
    <n v="52280400"/>
    <n v="52.28"/>
    <n v="47719600"/>
    <n v="20000000"/>
  </r>
  <r>
    <n v="2022"/>
    <n v="100"/>
    <x v="7"/>
    <s v="SECRETARIA DE EDUCACION"/>
    <s v="07 SECRETARIA DE EDUCACION"/>
    <n v="2020130010186"/>
    <s v="08. PILAR CARTAGENA INCLUYENTE"/>
    <s v="8.2 LÍNEA ESTRATEGICA DE EDUCACION: CULTURA DE LA FORMACION &quot;CON LA EDUCACION PARA TODOS Y TODAS SALVAMOS JUNTOS A CARTAGENA&quot;"/>
    <s v="8.2.3 PROGRAMA: FORMANDO CON AMOR “GENIO SINGULAR”"/>
    <s v="2,3,2201,0700,2020130010186"/>
    <s v="901"/>
    <s v="1,3,3,6,03-95-171 - R,B, SGP - EDUCACION - CALIDAD  POR MATRICULA OFICIAL"/>
    <s v="INV"/>
    <s v="NO"/>
    <s v="MEJORAMIENTO DE LA CALIDAD EDUCATIVA DE LAS INSTITUCIONES EDUCATIVAS DEL DISTRITO: FORMANDO CON AMOR  CARTAGENA DE INDIAS"/>
    <s v="2020130010186 MEJORAMIENTO DE LA CALIDAD EDUCATIVA DE LAS INSTITUCIONES EDUCATIVAS DEL DISTRITO: FORMANDO CON AMOR  CARTAGENA DE INDIAS"/>
    <s v="06"/>
    <s v="00"/>
    <n v="0"/>
    <n v="55000.12"/>
    <n v="55000.12"/>
    <n v="55000"/>
    <n v="0.12"/>
    <n v="55000"/>
    <n v="100"/>
    <n v="55000"/>
    <n v="100"/>
    <n v="0.12"/>
    <n v="0"/>
  </r>
  <r>
    <n v="2022"/>
    <n v="100"/>
    <x v="7"/>
    <s v="SECRETARIA DE EDUCACION"/>
    <s v="07 SECRETARIA DE EDUCACION"/>
    <n v="2020130010186"/>
    <s v="08. PILAR CARTAGENA INCLUYENTE"/>
    <s v="8.2 LÍNEA ESTRATEGICA DE EDUCACION: CULTURA DE LA FORMACION &quot;CON LA EDUCACION PARA TODOS Y TODAS SALVAMOS JUNTOS A CARTAGENA&quot;"/>
    <s v="8.2.3 PROGRAMA: FORMANDO CON AMOR “GENIO SINGULAR”"/>
    <s v="2,3,2201,0700,2020130010186"/>
    <s v="001"/>
    <s v="1,2,1,0,00-001 - ICLD"/>
    <s v="INV"/>
    <s v="NO"/>
    <s v="MEJORAMIENTO DE LA CALIDAD EDUCATIVA DE LAS INSTITUCIONES EDUCATIVAS DEL DISTRITO: FORMANDO CON AMOR  CARTAGENA DE INDIAS"/>
    <s v="2020130010186 MEJORAMIENTO DE LA CALIDAD EDUCATIVA DE LAS INSTITUCIONES EDUCATIVAS DEL DISTRITO: FORMANDO CON AMOR  CARTAGENA DE INDIAS"/>
    <s v="06"/>
    <s v="00"/>
    <n v="729426000"/>
    <n v="100000000"/>
    <n v="829426000"/>
    <n v="829077800"/>
    <n v="348200"/>
    <n v="773727292"/>
    <n v="93.28"/>
    <n v="773727292"/>
    <n v="93.28"/>
    <n v="55698708"/>
    <n v="766062692"/>
  </r>
  <r>
    <n v="2022"/>
    <n v="100"/>
    <x v="3"/>
    <s v="SECRETARIA DEL INTERIOR Y CONVIVENCIA CIUDADANAL"/>
    <s v="02 SECRETARIA DEL INTERIOR Y CONVIVENCIA CIUDADANAL"/>
    <n v="2020130010187"/>
    <s v="10. PILAR: CARTAGENA TRANSPARENTE"/>
    <s v="10.5 LÍNEA ESTRATÉGICA: ATENCIÓN Y REPARACIÓN A VICTIMAS PARA LA CONSTRUCCIÓN DE LA PAZ TERRITORIAL"/>
    <s v="10.5.2 PROGRAMA: CONSTRUCCIÓN DE PAZ TERRITORIAL"/>
    <s v="2,3,4103,1500,2020130010187"/>
    <s v="001"/>
    <s v="1,2,1,0,00-001 - ICLD"/>
    <s v="INV"/>
    <s v="NO"/>
    <s v="CONSTRUCCION DE PAZ TERRITORIAL EN EL DISTRITO DE   CARTAGENA DE INDIAS"/>
    <s v="2020130010187 CONSTRUCCION DE PAZ TERRITORIAL EN EL DISTRITO DE   CARTAGENA DE INDIAS"/>
    <s v="06"/>
    <s v="00"/>
    <n v="95718309"/>
    <n v="0"/>
    <n v="95718309"/>
    <n v="95718304"/>
    <n v="5"/>
    <n v="91300000"/>
    <n v="95.38"/>
    <n v="91300000"/>
    <n v="95.38"/>
    <n v="4418309"/>
    <n v="77800000"/>
  </r>
  <r>
    <n v="2022"/>
    <n v="100"/>
    <x v="3"/>
    <s v="SECRETARIA DEL INTERIOR Y CONVIVENCIA CIUDADANAL"/>
    <s v="02 SECRETARIA DEL INTERIOR Y CONVIVENCIA CIUDADANAL"/>
    <n v="2020130010187"/>
    <s v="10. PILAR: CARTAGENA TRANSPARENTE"/>
    <s v="10.5 LÍNEA ESTRATÉGICA: ATENCIÓN Y REPARACIÓN A VICTIMAS PARA LA CONSTRUCCIÓN DE LA PAZ TERRITORIAL"/>
    <s v="10.5.2 PROGRAMA: CONSTRUCCIÓN DE PAZ TERRITORIAL"/>
    <s v="2,3,4103,1500,2020130010187"/>
    <s v="869"/>
    <s v="1,3,3,4,16-95-053 RB  OTRAS TASAS Y DERECHOS ADMINISTRATIVOS CONTRAPRESTACION PORTUARIA"/>
    <s v="INV"/>
    <s v="NO"/>
    <s v="CONSTRUCCION DE PAZ TERRITORIAL EN EL DISTRITO DE   CARTAGENA DE INDIAS"/>
    <s v="2020130010187 CONSTRUCCION DE PAZ TERRITORIAL EN EL DISTRITO DE   CARTAGENA DE INDIAS"/>
    <s v="06"/>
    <s v="00"/>
    <n v="0"/>
    <n v="76726666.670000002"/>
    <n v="76726666.670000002"/>
    <n v="70943040"/>
    <n v="5783626.6699999999"/>
    <n v="70542000"/>
    <n v="91.94"/>
    <n v="0"/>
    <n v="0"/>
    <n v="6184666.6699999999"/>
    <n v="0"/>
  </r>
  <r>
    <n v="2022"/>
    <n v="100"/>
    <x v="5"/>
    <s v="INSTITUTO DE DEPORTE Y RECREACION"/>
    <s v="15 INSTITUTO DE DEPORTE Y RECREACION"/>
    <n v="2020130010194"/>
    <s v="08. PILAR CARTAGENA INCLUYENTE"/>
    <s v="8.4 LÍNEA ESTRATÉGICA DEPORTE Y RECREACIÓN PARA LA TRANSFORMACION SOCIAL "/>
    <s v="8.4.1 “LA ESCUELA Y EL DEPORTE SON DE TODOS” "/>
    <s v="2,3,4301,1604,2020130010194"/>
    <s v="841"/>
    <s v="1,3,3,2,00-95-097 R,B, ICDE IDER 3% ICA"/>
    <s v="INV"/>
    <s v="NO"/>
    <s v="FORTALECIMIENTO DEL DEPORTE ESTUDIANTIL MEDIANTE LA IMPLEMENTACION DE LOS JUEGOS INTERCOLEGIADOS Y UNIVERSITARIOS EN EL DISTRITO DE   CARTAGENA DE INDIAS"/>
    <s v="2020130010194 FORTALECIMIENTO DEL DEPORTE ESTUDIANTIL MEDIANTE LA IMPLEMENTACION DE LOS JUEGOS INTERCOLEGIADOS Y UNIVERSITARIOS EN EL DISTRITO DE   CARTAGENA DE INDIAS"/>
    <s v="06"/>
    <s v="00"/>
    <n v="0"/>
    <n v="300000000"/>
    <n v="300000000"/>
    <n v="227730449"/>
    <n v="72269551"/>
    <n v="227730449"/>
    <n v="75.91"/>
    <n v="227730449"/>
    <n v="75.91"/>
    <n v="72269551"/>
    <n v="0"/>
  </r>
  <r>
    <n v="2022"/>
    <n v="100"/>
    <x v="5"/>
    <s v="INSTITUTO DE DEPORTE Y RECREACION"/>
    <s v="15 INSTITUTO DE DEPORTE Y RECREACION"/>
    <n v="2020130010194"/>
    <s v="08. PILAR CARTAGENA INCLUYENTE"/>
    <s v="8.4 LÍNEA ESTRATÉGICA DEPORTE Y RECREACIÓN PARA LA TRANSFORMACION SOCIAL "/>
    <s v="8.4.1 “LA ESCUELA Y EL DEPORTE SON DE TODOS” "/>
    <s v="2,3,4301,1604,2020130010194"/>
    <s v="918"/>
    <s v="1,3,3,8,01-95-059 - R,B, SGP DEPORTE"/>
    <s v="INV"/>
    <s v="NO"/>
    <s v="FORTALECIMIENTO DEL DEPORTE ESTUDIANTIL MEDIANTE LA IMPLEMENTACION DE LOS JUEGOS INTERCOLEGIADOS Y UNIVERSITARIOS EN EL DISTRITO DE   CARTAGENA DE INDIAS"/>
    <s v="2020130010194 FORTALECIMIENTO DEL DEPORTE ESTUDIANTIL MEDIANTE LA IMPLEMENTACION DE LOS JUEGOS INTERCOLEGIADOS Y UNIVERSITARIOS EN EL DISTRITO DE   CARTAGENA DE INDIAS"/>
    <s v="06"/>
    <s v="00"/>
    <n v="0"/>
    <n v="69674607.700000003"/>
    <n v="69674607.700000003"/>
    <n v="45154615"/>
    <n v="24519992.699999999"/>
    <n v="45154615"/>
    <n v="64.81"/>
    <n v="45154615"/>
    <n v="64.81"/>
    <n v="24519992.699999999"/>
    <n v="0"/>
  </r>
  <r>
    <n v="2022"/>
    <n v="100"/>
    <x v="5"/>
    <s v="INSTITUTO DE DEPORTE Y RECREACION"/>
    <s v="15 INSTITUTO DE DEPORTE Y RECREACION"/>
    <n v="2020130010194"/>
    <s v="08. PILAR CARTAGENA INCLUYENTE"/>
    <s v="8.4 LÍNEA ESTRATÉGICA DEPORTE Y RECREACIÓN PARA LA TRANSFORMACION SOCIAL "/>
    <s v="8.4.1 “LA ESCUELA Y EL DEPORTE SON DE TODOS” "/>
    <s v="2,3,4301,1604,2020130010194"/>
    <s v="097"/>
    <s v="1,2,2,0,00-097 - ICDE IDER 3% ICA"/>
    <s v="INV"/>
    <s v="NO"/>
    <s v="FORTALECIMIENTO DEL DEPORTE ESTUDIANTIL MEDIANTE LA IMPLEMENTACION DE LOS JUEGOS INTERCOLEGIADOS Y UNIVERSITARIOS EN EL DISTRITO DE   CARTAGENA DE INDIAS"/>
    <s v="2020130010194 FORTALECIMIENTO DEL DEPORTE ESTUDIANTIL MEDIANTE LA IMPLEMENTACION DE LOS JUEGOS INTERCOLEGIADOS Y UNIVERSITARIOS EN EL DISTRITO DE   CARTAGENA DE INDIAS"/>
    <s v="06"/>
    <s v="00"/>
    <n v="361316776"/>
    <n v="0"/>
    <n v="361316776"/>
    <n v="320891611.41000003"/>
    <n v="40425164.590000004"/>
    <n v="320891611.41000003"/>
    <n v="88.81"/>
    <n v="320891611.41000003"/>
    <n v="88.81"/>
    <n v="40425164.590000004"/>
    <n v="300891611.41000003"/>
  </r>
  <r>
    <n v="2022"/>
    <n v="100"/>
    <x v="7"/>
    <s v="SECRETARIA DE EDUCACION"/>
    <s v="07 SECRETARIA DE EDUCACION"/>
    <n v="2020130010195"/>
    <s v="08. PILAR CARTAGENA INCLUYENTE"/>
    <s v="8.2 LÍNEA ESTRATEGICA DE EDUCACION: CULTURA DE LA FORMACION &quot;CON LA EDUCACION PARA TODOS Y TODAS SALVAMOS JUNTOS A CARTAGENA&quot;"/>
    <s v="8.2.1 PROGRAMA: ACOGIDA “ATENCIÓN A POBLACIONES Y ESTRATEGIAS DE ACCESO Y PERMANENCIA”"/>
    <s v="2,3,2201,0700,2020130010195"/>
    <s v="901"/>
    <s v="1,3,3,6,03-95-171 - R,B, SGP - EDUCACION - CALIDAD  POR MATRICULA OFICIAL"/>
    <s v="INV"/>
    <s v="NO"/>
    <s v="IMPLEMENTACION DE LA ESTRATEGIA PERMANECER: ME ALIMENTO Y APRENDO ALIMENTACION ESCOLAR EN  CARTAGENA DE INDIAS "/>
    <s v="2020130010195 IMPLEMENTACION DE LA ESTRATEGIA PERMANECER: ME ALIMENTO Y APRENDO ALIMENTACION ESCOLAR EN  CARTAGENA DE INDIAS "/>
    <s v="06"/>
    <s v="00"/>
    <n v="0"/>
    <n v="1367648896"/>
    <n v="1367648896"/>
    <n v="1367648896"/>
    <n v="0"/>
    <n v="1367648896"/>
    <n v="100"/>
    <n v="1238582315.95"/>
    <n v="90.56"/>
    <n v="0"/>
    <n v="1238582315.95"/>
  </r>
  <r>
    <n v="2022"/>
    <n v="100"/>
    <x v="7"/>
    <s v="SECRETARIA DE EDUCACION"/>
    <s v="07 SECRETARIA DE EDUCACION"/>
    <n v="2020130010195"/>
    <s v="08. PILAR CARTAGENA INCLUYENTE"/>
    <s v="8.2 LÍNEA ESTRATEGICA DE EDUCACION: CULTURA DE LA FORMACION &quot;CON LA EDUCACION PARA TODOS Y TODAS SALVAMOS JUNTOS A CARTAGENA&quot;"/>
    <s v="8.2.1 PROGRAMA: ACOGIDA “ATENCIÓN A POBLACIONES Y ESTRATEGIAS DE ACCESO Y PERMANENCIA”"/>
    <s v="2,3,2201,0700,2020130010195"/>
    <s v="902"/>
    <s v="1,3,3,5,03-95-028 - R,B, APORTES NACION - ALIMENTACION ESCOLAR"/>
    <s v="INV"/>
    <s v="NO"/>
    <s v="IMPLEMENTACION DE LA ESTRATEGIA PERMANECER: ME ALIMENTO Y APRENDO ALIMENTACION ESCOLAR EN  CARTAGENA DE INDIAS "/>
    <s v="2020130010195 IMPLEMENTACION DE LA ESTRATEGIA PERMANECER: ME ALIMENTO Y APRENDO ALIMENTACION ESCOLAR EN  CARTAGENA DE INDIAS "/>
    <s v="06"/>
    <s v="00"/>
    <n v="0"/>
    <n v="9281454300"/>
    <n v="9281454300"/>
    <n v="9281454300"/>
    <n v="0"/>
    <n v="9281454300"/>
    <n v="100"/>
    <n v="0"/>
    <n v="0"/>
    <n v="0"/>
    <n v="0"/>
  </r>
  <r>
    <n v="2022"/>
    <n v="100"/>
    <x v="7"/>
    <s v="SECRETARIA DE EDUCACION"/>
    <s v="07 SECRETARIA DE EDUCACION"/>
    <n v="2020130010195"/>
    <s v="08. PILAR CARTAGENA INCLUYENTE"/>
    <s v="8.2 LÍNEA ESTRATEGICA DE EDUCACION: CULTURA DE LA FORMACION &quot;CON LA EDUCACION PARA TODOS Y TODAS SALVAMOS JUNTOS A CARTAGENA&quot;"/>
    <s v="8.2.1 PROGRAMA: ACOGIDA “ATENCIÓN A POBLACIONES Y ESTRATEGIAS DE ACCESO Y PERMANENCIA”"/>
    <s v="2,3,2201,0700,2020130010195"/>
    <s v="903"/>
    <s v="1,3,3,5,03-93-028 - R,B, APORTES NACION - ALIMENTACION ESCOLAR"/>
    <s v="INV"/>
    <s v="NO"/>
    <s v="IMPLEMENTACION DE LA ESTRATEGIA PERMANECER: ME ALIMENTO Y APRENDO ALIMENTACION ESCOLAR EN  CARTAGENA DE INDIAS "/>
    <s v="2020130010195 IMPLEMENTACION DE LA ESTRATEGIA PERMANECER: ME ALIMENTO Y APRENDO ALIMENTACION ESCOLAR EN  CARTAGENA DE INDIAS "/>
    <s v="06"/>
    <s v="00"/>
    <n v="0"/>
    <n v="2209964700.7199998"/>
    <n v="2209964700.7199998"/>
    <n v="2209964700.7199998"/>
    <n v="0"/>
    <n v="2209964700.7199998"/>
    <n v="100"/>
    <n v="2205277351.54"/>
    <n v="99.79"/>
    <n v="0"/>
    <n v="2205277351.54"/>
  </r>
  <r>
    <n v="2022"/>
    <n v="100"/>
    <x v="7"/>
    <s v="SECRETARIA DE EDUCACION"/>
    <s v="07 SECRETARIA DE EDUCACION"/>
    <n v="2020130010195"/>
    <s v="08. PILAR CARTAGENA INCLUYENTE"/>
    <s v="8.2 LÍNEA ESTRATEGICA DE EDUCACION: CULTURA DE LA FORMACION &quot;CON LA EDUCACION PARA TODOS Y TODAS SALVAMOS JUNTOS A CARTAGENA&quot;"/>
    <s v="8.2.1 PROGRAMA: ACOGIDA “ATENCIÓN A POBLACIONES Y ESTRATEGIAS DE ACCESO Y PERMANENCIA”"/>
    <s v="2,3,2201,0700,2020130010195"/>
    <s v="904"/>
    <s v="1,3,3,9,01-95-072 - R,B, SGP - ASIGNACION ESPECIAL - PROGRAMAS DE ALIMENTACION ESCOLAR"/>
    <s v="INV"/>
    <s v="NO"/>
    <s v="IMPLEMENTACION DE LA ESTRATEGIA PERMANECER: ME ALIMENTO Y APRENDO ALIMENTACION ESCOLAR EN  CARTAGENA DE INDIAS "/>
    <s v="2020130010195 IMPLEMENTACION DE LA ESTRATEGIA PERMANECER: ME ALIMENTO Y APRENDO ALIMENTACION ESCOLAR EN  CARTAGENA DE INDIAS "/>
    <s v="06"/>
    <s v="00"/>
    <n v="0"/>
    <n v="3835626933"/>
    <n v="3835626933"/>
    <n v="3835626933"/>
    <n v="0"/>
    <n v="3835626933"/>
    <n v="100"/>
    <n v="3835626933"/>
    <n v="100"/>
    <n v="0"/>
    <n v="3835626933"/>
  </r>
  <r>
    <n v="2022"/>
    <n v="100"/>
    <x v="7"/>
    <s v="SECRETARIA DE EDUCACION"/>
    <s v="07 SECRETARIA DE EDUCACION"/>
    <n v="2020130010195"/>
    <s v="08. PILAR CARTAGENA INCLUYENTE"/>
    <s v="8.2 LÍNEA ESTRATEGICA DE EDUCACION: CULTURA DE LA FORMACION &quot;CON LA EDUCACION PARA TODOS Y TODAS SALVAMOS JUNTOS A CARTAGENA&quot;"/>
    <s v="8.2.1 PROGRAMA: ACOGIDA “ATENCIÓN A POBLACIONES Y ESTRATEGIAS DE ACCESO Y PERMANENCIA”"/>
    <s v="2,3,2201,0700,2020130010195"/>
    <s v="905"/>
    <s v="1,3,3,9,01-95-078 - R,B, SGP- ASIGNACION ESPECIAL-PROGRAMAS DE ALIMENTACION ESCOLAR"/>
    <s v="INV"/>
    <s v="NO"/>
    <s v="IMPLEMENTACION DE LA ESTRATEGIA PERMANECER: ME ALIMENTO Y APRENDO ALIMENTACION ESCOLAR EN  CARTAGENA DE INDIAS "/>
    <s v="2020130010195 IMPLEMENTACION DE LA ESTRATEGIA PERMANECER: ME ALIMENTO Y APRENDO ALIMENTACION ESCOLAR EN  CARTAGENA DE INDIAS "/>
    <s v="06"/>
    <s v="00"/>
    <n v="0"/>
    <n v="509100587.85000002"/>
    <n v="509100587.85000002"/>
    <n v="509100587.85000002"/>
    <n v="0"/>
    <n v="509100587.85000002"/>
    <n v="100"/>
    <n v="509100587.85000002"/>
    <n v="100"/>
    <n v="0"/>
    <n v="509100587.85000002"/>
  </r>
  <r>
    <n v="2022"/>
    <n v="100"/>
    <x v="7"/>
    <s v="SECRETARIA DE EDUCACION"/>
    <s v="07 SECRETARIA DE EDUCACION"/>
    <n v="2020130010195"/>
    <s v="08. PILAR CARTAGENA INCLUYENTE"/>
    <s v="8.2 LÍNEA ESTRATEGICA DE EDUCACION: CULTURA DE LA FORMACION &quot;CON LA EDUCACION PARA TODOS Y TODAS SALVAMOS JUNTOS A CARTAGENA&quot;"/>
    <s v="8.2.1 PROGRAMA: ACOGIDA “ATENCIÓN A POBLACIONES Y ESTRATEGIAS DE ACCESO Y PERMANENCIA”"/>
    <s v="2,3,2201,0700,2020130010195"/>
    <s v="906"/>
    <s v="1,3,3,9,01-93-078 - R,B, SGP- ASIGNACION ESPECIAL-PROGRAMAS DE ALIMENTACION ESCOLAR"/>
    <s v="INV"/>
    <s v="NO"/>
    <s v="IMPLEMENTACION DE LA ESTRATEGIA PERMANECER: ME ALIMENTO Y APRENDO ALIMENTACION ESCOLAR EN  CARTAGENA DE INDIAS "/>
    <s v="2020130010195 IMPLEMENTACION DE LA ESTRATEGIA PERMANECER: ME ALIMENTO Y APRENDO ALIMENTACION ESCOLAR EN  CARTAGENA DE INDIAS "/>
    <s v="06"/>
    <s v="00"/>
    <n v="0"/>
    <n v="12379073.27"/>
    <n v="12379073.27"/>
    <n v="12379073.27"/>
    <n v="0"/>
    <n v="12371248.380000001"/>
    <n v="99.94"/>
    <n v="0"/>
    <n v="0"/>
    <n v="7824.89"/>
    <n v="0"/>
  </r>
  <r>
    <n v="2022"/>
    <n v="100"/>
    <x v="7"/>
    <s v="SECRETARIA DE EDUCACION"/>
    <s v="07 SECRETARIA DE EDUCACION"/>
    <n v="2020130010195"/>
    <s v="08. PILAR CARTAGENA INCLUYENTE"/>
    <s v="8.2 LÍNEA ESTRATEGICA DE EDUCACION: CULTURA DE LA FORMACION &quot;CON LA EDUCACION PARA TODOS Y TODAS SALVAMOS JUNTOS A CARTAGENA&quot;"/>
    <s v="8.2.1 PROGRAMA: ACOGIDA “ATENCIÓN A POBLACIONES Y ESTRATEGIAS DE ACCESO Y PERMANENCIA”"/>
    <s v="2,3,2201,0700,2020130010195"/>
    <s v="028"/>
    <s v="1,2,4,4,01-028 -ASIGNACION ESPECIAL MEN"/>
    <s v="INV"/>
    <s v="NO"/>
    <s v="IMPLEMENTACION DE LA ESTRATEGIA PERMANECER: ME ALIMENTO Y APRENDO ALIMENTACION ESCOLAR EN  CARTAGENA DE INDIAS"/>
    <s v="2020130010195 IMPLEMENTACION DE LA ESTRATEGIA PERMANECER: ME ALIMENTO Y APRENDO ALIMENTACION ESCOLAR EN  CARTAGENA DE INDIAS"/>
    <s v="06"/>
    <s v="00"/>
    <n v="2715358336"/>
    <n v="0"/>
    <n v="2715358336"/>
    <n v="2715358336"/>
    <n v="0"/>
    <n v="2715358336"/>
    <n v="100"/>
    <n v="794894908.33000004"/>
    <n v="29.27"/>
    <n v="0"/>
    <n v="794894908.33000004"/>
  </r>
  <r>
    <n v="2022"/>
    <n v="100"/>
    <x v="7"/>
    <s v="SECRETARIA DE EDUCACION"/>
    <s v="07 SECRETARIA DE EDUCACION"/>
    <n v="2020130010195"/>
    <s v="08. PILAR CARTAGENA INCLUYENTE"/>
    <s v="8.2 LÍNEA ESTRATEGICA DE EDUCACION: CULTURA DE LA FORMACION &quot;CON LA EDUCACION PARA TODOS Y TODAS SALVAMOS JUNTOS A CARTAGENA&quot;"/>
    <s v="8.2.1 PROGRAMA: ACOGIDA “ATENCIÓN A POBLACIONES Y ESTRATEGIAS DE ACCESO Y PERMANENCIA”"/>
    <s v="2,3,2201,0700,2020130010195"/>
    <s v="072"/>
    <s v="1,2,4,4,01-072 - SGP ALIMENTACION ESCOLAR"/>
    <s v="INV"/>
    <s v="NO"/>
    <s v="IMPLEMENTACION DE LA ESTRATEGIA PERMANECER: ME ALIMENTO Y APRENDO ALIMENTACION ESCOLAR EN  CARTAGENA DE INDIAS"/>
    <s v="2020130010195 IMPLEMENTACION DE LA ESTRATEGIA PERMANECER: ME ALIMENTO Y APRENDO ALIMENTACION ESCOLAR EN  CARTAGENA DE INDIAS"/>
    <s v="06"/>
    <s v="00"/>
    <n v="3368443956"/>
    <n v="458874622"/>
    <n v="3827318578"/>
    <n v="3368443956"/>
    <n v="458874622"/>
    <n v="3368443956"/>
    <n v="88.01"/>
    <n v="3368443956"/>
    <n v="88.01"/>
    <n v="458874622"/>
    <n v="3368443956"/>
  </r>
  <r>
    <n v="2022"/>
    <n v="100"/>
    <x v="7"/>
    <s v="SECRETARIA DE EDUCACION"/>
    <s v="07 SECRETARIA DE EDUCACION"/>
    <n v="2020130010195"/>
    <s v="08. PILAR CARTAGENA INCLUYENTE"/>
    <s v="8.2 LÍNEA ESTRATEGICA DE EDUCACION: CULTURA DE LA FORMACION &quot;CON LA EDUCACION PARA TODOS Y TODAS SALVAMOS JUNTOS A CARTAGENA&quot;"/>
    <s v="8.2.1 PROGRAMA: ACOGIDA “ATENCIÓN A POBLACIONES Y ESTRATEGIAS DE ACCESO Y PERMANENCIA”"/>
    <s v="2,3,2201,0700,2020130010195"/>
    <s v="078"/>
    <s v="1,3,2,2,09-078 - RF SGP ALIMENTACION ESCOLAR"/>
    <s v="INV"/>
    <s v="NO"/>
    <s v="IMPLEMENTACION DE LA ESTRATEGIA PERMANECER: ME ALIMENTO Y APRENDO ALIMENTACION ESCOLAR EN  CARTAGENA DE INDIAS"/>
    <s v="2020130010195 IMPLEMENTACION DE LA ESTRATEGIA PERMANECER: ME ALIMENTO Y APRENDO ALIMENTACION ESCOLAR EN  CARTAGENA DE INDIAS"/>
    <s v="06"/>
    <s v="00"/>
    <n v="268896063"/>
    <n v="0"/>
    <n v="268896063"/>
    <n v="28555080"/>
    <n v="240340983"/>
    <n v="28555080"/>
    <n v="10.62"/>
    <n v="0"/>
    <n v="0"/>
    <n v="240340983"/>
    <n v="0"/>
  </r>
  <r>
    <n v="2022"/>
    <n v="100"/>
    <x v="7"/>
    <s v="SECRETARIA DE EDUCACION"/>
    <s v="07 SECRETARIA DE EDUCACION"/>
    <n v="2020130010195"/>
    <s v="08. PILAR CARTAGENA INCLUYENTE"/>
    <s v="8.2 LÍNEA ESTRATEGICA DE EDUCACION: CULTURA DE LA FORMACION &quot;CON LA EDUCACION PARA TODOS Y TODAS SALVAMOS JUNTOS A CARTAGENA&quot;"/>
    <s v="8.2.1 PROGRAMA: ACOGIDA “ATENCIÓN A POBLACIONES Y ESTRATEGIAS DE ACCESO Y PERMANENCIA”"/>
    <s v="2,3,2201,0700,2020130010195"/>
    <s v="001"/>
    <s v="1,2,1,0,00-001 - ICLD"/>
    <s v="INV"/>
    <s v="NO"/>
    <s v="IMPLEMENTACION DE LA ESTRATEGIA PERMANECER: ME ALIMENTO Y APRENDO ALIMENTACION ESCOLAR EN  CARTAGENA DE INDIAS"/>
    <s v="2020130010195 IMPLEMENTACION DE LA ESTRATEGIA PERMANECER: ME ALIMENTO Y APRENDO ALIMENTACION ESCOLAR EN  CARTAGENA DE INDIAS"/>
    <s v="06"/>
    <s v="00"/>
    <n v="13275462587"/>
    <n v="-341935538"/>
    <n v="12933527049"/>
    <n v="12932924957.540001"/>
    <n v="602091.46"/>
    <n v="12903087320.200001"/>
    <n v="99.76"/>
    <n v="8033758323.0200005"/>
    <n v="62.12"/>
    <n v="30439728.800000001"/>
    <n v="6594698685.7399998"/>
  </r>
  <r>
    <n v="2022"/>
    <n v="100"/>
    <x v="11"/>
    <s v="ESTABLECIMIENTO PUBLICO AMBIENTAL-EPA"/>
    <s v="21 ESTABLECIMIENTO PUBLICO AMBIENTAL-EPA"/>
    <n v="2020130010201"/>
    <s v="07. PILAR CARTAGENA RESILIENTE"/>
    <s v="7.1 LÍNEA ESTRATÉGICA: “SALVEMOS JUNTOS NUESTRO PATRIMONIO NATURAL”"/>
    <s v="7.1.4 INVESTIGACIÓN, EDUCACIÓN Y CULTURA AMBIENTAL (EDUCACIÓN Y CULTURA AMBIENTAL)"/>
    <s v="2,3,3208,0900,2020130010201"/>
    <s v="063"/>
    <s v="1,3,2,3,05-063 - OTROS RENDIMIENTOS FINANCIEROS EPA"/>
    <s v="INV"/>
    <s v="NO"/>
    <s v="FORTALECIMIENTO DE LA EDUCACION Y CULTURA AMBIENTAL EN EL DISTRITO DE  CARTAGENA DE INDIAS"/>
    <s v="2020130010201 FORTALECIMIENTO DE LA EDUCACION Y CULTURA AMBIENTAL EN EL DISTRITO DE  CARTAGENA DE INDIAS"/>
    <s v="06"/>
    <s v="00"/>
    <n v="78799999"/>
    <n v="0"/>
    <n v="78799999"/>
    <n v="0"/>
    <n v="78799999"/>
    <n v="0"/>
    <n v="0"/>
    <n v="0"/>
    <n v="0"/>
    <n v="78799999"/>
    <n v="0"/>
  </r>
  <r>
    <n v="2022"/>
    <n v="100"/>
    <x v="11"/>
    <s v="ESTABLECIMIENTO PUBLICO AMBIENTAL-EPA"/>
    <s v="21 ESTABLECIMIENTO PUBLICO AMBIENTAL-EPA"/>
    <n v="2020130010201"/>
    <s v="07. PILAR CARTAGENA RESILIENTE"/>
    <s v="7.1 LÍNEA ESTRATÉGICA: “SALVEMOS JUNTOS NUESTRO PATRIMONIO NATURAL”"/>
    <s v="7.1.4 INVESTIGACIÓN, EDUCACIÓN Y CULTURA AMBIENTAL (EDUCACIÓN Y CULTURA AMBIENTAL)"/>
    <s v="2,3,3208,0900,2020130010201"/>
    <s v="934"/>
    <s v="1,3,1,1,02-05 -EXCEDENTES FINANCIEROS EPA"/>
    <s v="INV"/>
    <s v="NO"/>
    <s v=" FORTALECIMIENTO DE LA EDUCACION Y CULTURA AMBIENTAL EN EL DISTRITO DE CARTAGENA DE INDIAS"/>
    <s v="2020130010201  FORTALECIMIENTO DE LA EDUCACION Y CULTURA AMBIENTAL EN EL DISTRITO DE CARTAGENA DE INDIAS"/>
    <s v="06"/>
    <s v="00"/>
    <n v="0"/>
    <n v="40719600.549999997"/>
    <n v="40719600.549999997"/>
    <n v="0"/>
    <n v="40719600.549999997"/>
    <n v="0"/>
    <n v="0"/>
    <n v="0"/>
    <n v="0"/>
    <n v="40719600.549999997"/>
    <n v="0"/>
  </r>
  <r>
    <n v="2022"/>
    <n v="100"/>
    <x v="11"/>
    <s v="ESTABLECIMIENTO PUBLICO AMBIENTAL-EPA"/>
    <s v="21 ESTABLECIMIENTO PUBLICO AMBIENTAL-EPA"/>
    <n v="2020130010201"/>
    <s v="07. PILAR CARTAGENA RESILIENTE"/>
    <s v="7.1 LÍNEA ESTRATÉGICA: “SALVEMOS JUNTOS NUESTRO PATRIMONIO NATURAL”"/>
    <s v="7.1.4 INVESTIGACIÓN, EDUCACIÓN Y CULTURA AMBIENTAL (EDUCACIÓN Y CULTURA AMBIENTAL)"/>
    <s v="2,3,3208,0900,2020130010201"/>
    <s v="935"/>
    <s v="1,3,3,4,02-93-031- R,B, CONTRIBUCION DEL SECTOR ELECTRICO"/>
    <s v="INV"/>
    <s v="NO"/>
    <s v="FORTALECIMIENTO DE LA EDUCACION Y CULTURA AMBIENTAL EN EL DISTRITO DE CARTAGENA DE INDIAS"/>
    <s v="2020130010201 FORTALECIMIENTO DE LA EDUCACION Y CULTURA AMBIENTAL EN EL DISTRITO DE CARTAGENA DE INDIAS"/>
    <s v="06"/>
    <s v="00"/>
    <n v="0"/>
    <n v="48000000"/>
    <n v="48000000"/>
    <n v="0"/>
    <n v="48000000"/>
    <n v="0"/>
    <n v="0"/>
    <n v="0"/>
    <n v="0"/>
    <n v="48000000"/>
    <n v="0"/>
  </r>
  <r>
    <n v="2022"/>
    <n v="100"/>
    <x v="11"/>
    <s v="ESTABLECIMIENTO PUBLICO AMBIENTAL-EPA"/>
    <s v="21 ESTABLECIMIENTO PUBLICO AMBIENTAL-EPA"/>
    <n v="2020130010203"/>
    <s v="07. PILAR CARTAGENA RESILIENTE"/>
    <s v="7.7 LÍNEA ESTRATÉGICA INSTRUMENTOS DE ORDENAMIENTO TERRITORIAL."/>
    <s v="7.7.3 ORDENACIÓN TERRITORIAL Y  RECUPERACIÓN SOCIAL, AMBIENTAL Y URBANA DE LA CIÉNAGA DE LA VIRGEN."/>
    <s v="2,3,3299,0900,2020130010203"/>
    <s v="938"/>
    <s v="1,3,3,4,12-93-094- R,B, SOBRETASA AMBIENTAL - PEAJES"/>
    <s v="INV"/>
    <s v="NO"/>
    <s v="IMPLEMENTACION DEL SISTEMA DE GESTION HIDRICA DE LA CIENAGA DE LA VIRGEN Y RECUPERACION DEL MANGLAR DE CARTAGENA DE INDIAS MONITOREO INTELIGENTE AMBIENTAL CARTAGENA DE INDIAS"/>
    <s v="2020130010203 IMPLEMENTACION DEL SISTEMA DE GESTION HIDRICA DE LA CIENAGA DE LA VIRGEN Y RECUPERACION DEL MANGLAR DE CARTAGENA DE INDIAS MONITOREO INTELIGENTE AMBIENTAL CARTAGENA DE INDIAS"/>
    <s v="06"/>
    <s v="00"/>
    <n v="0"/>
    <n v="1571678653.78"/>
    <n v="1571678653.78"/>
    <n v="0"/>
    <n v="1571678653.78"/>
    <n v="0"/>
    <n v="0"/>
    <n v="0"/>
    <n v="0"/>
    <n v="1571678653.78"/>
    <n v="0"/>
  </r>
  <r>
    <n v="2022"/>
    <n v="100"/>
    <x v="11"/>
    <s v="ESTABLECIMIENTO PUBLICO AMBIENTAL-EPA"/>
    <s v="21 ESTABLECIMIENTO PUBLICO AMBIENTAL-EPA"/>
    <n v="2020130010203"/>
    <s v="07. PILAR CARTAGENA RESILIENTE"/>
    <s v="7.7 LÍNEA ESTRATÉGICA INSTRUMENTOS DE ORDENAMIENTO TERRITORIAL."/>
    <s v="7.7.3 ORDENACIÓN TERRITORIAL Y  RECUPERACIÓN SOCIAL, AMBIENTAL Y URBANA DE LA CIÉNAGA DE LA VIRGEN."/>
    <s v="2,3,3299,0900,2020130010203"/>
    <s v="094"/>
    <s v="1,2,3,2,05-094 - OTRAS TASAS Y DERECHOS ADMINISTRATIVOS SOBRETASA PEAJE"/>
    <s v="INV"/>
    <s v="NO"/>
    <s v="IMPLEMENTACION SISTEMA DE GESTION HIDRICA DE LA CIENAGA DE LA VIRGEN Y RECUPERACION DEL MANGLAR DE CARTAGENA DE INDIAS"/>
    <s v="2020130010203 IMPLEMENTACION SISTEMA DE GESTION HIDRICA DE LA CIENAGA DE LA VIRGEN Y RECUPERACION DEL MANGLAR DE CARTAGENA DE INDIAS"/>
    <s v="06"/>
    <s v="00"/>
    <n v="1300000000"/>
    <n v="0"/>
    <n v="1300000000"/>
    <n v="0"/>
    <n v="1300000000"/>
    <n v="0"/>
    <n v="0"/>
    <n v="0"/>
    <n v="0"/>
    <n v="1300000000"/>
    <n v="0"/>
  </r>
  <r>
    <n v="2022"/>
    <n v="100"/>
    <x v="3"/>
    <s v="SECRETARIA DEL INTERIOR Y CONVIVENCIA CIUDADANAL"/>
    <s v="02 SECRETARIA DEL INTERIOR Y CONVIVENCIA CIUDADANAL"/>
    <n v="2020130010210"/>
    <s v="10. PILAR: CARTAGENA TRANSPARENTE"/>
    <s v="10.3 LÍNEA ESTRATÉGICA: CONVIVENCIA Y SEGURIDAD PARA LA GOBERNABILIDAD"/>
    <s v="10.3.4 PROGRAMA: FORTALECIMIENTO CAPACIDAD OPERATIVA DE LA SECRETARIA DEL INTERIOR Y CONVIVENCIA CIUDADANA"/>
    <s v="2,3,4501,1000,2020130010210"/>
    <s v="001"/>
    <s v="1,2,1,0,00-001 - ICLD"/>
    <s v="INV"/>
    <s v="NO"/>
    <s v="FORTALECIMIENTO DE LA CAPACIDAD OPERATIVA  DE LA SECRETARIA DEL INTERIOR Y CONVIVENCIA CIUDADANA  CARTAGENA DE INDIAS"/>
    <s v="2020130010210 FORTALECIMIENTO DE LA CAPACIDAD OPERATIVA  DE LA SECRETARIA DEL INTERIOR Y CONVIVENCIA CIUDADANA  CARTAGENA DE INDIAS"/>
    <s v="06"/>
    <s v="00"/>
    <n v="167507042"/>
    <n v="0"/>
    <n v="167507042"/>
    <n v="167507042"/>
    <n v="0"/>
    <n v="162990224.00999999"/>
    <n v="97.3"/>
    <n v="150042498.66999999"/>
    <n v="89.57"/>
    <n v="4516817.99"/>
    <n v="148395832.66999999"/>
  </r>
  <r>
    <n v="2022"/>
    <n v="100"/>
    <x v="4"/>
    <s v="DESPACHO DEL ALCALDE"/>
    <s v="01 DESPACHO DEL ALCALDE"/>
    <n v="2020130010211"/>
    <s v="07. PILAR CARTAGENA RESILIENTE"/>
    <s v="7.2 LÍNEA ESTRATÉGICA ESPACIO PÚBLICO, MOVILIDAD Y TRANSPORTE RESILIENTE"/>
    <s v="7.2.1 SOSTENIBILIDAD DEL ESPACIO PÚBLICO"/>
    <s v="2,3,3299,0900,2020130010211"/>
    <s v="080"/>
    <s v="1,2,3,2,05-080 - OTRAS TASAS Y DERECHOS ADMINISTRATIVOS OCUPACION DE VIAS"/>
    <s v="INV"/>
    <s v="NO"/>
    <s v="CONSERVACION INTEGRAL DEL ESPACIO PUBLICO  CARTAGENA DE INDIAS"/>
    <s v="2020130010211 CONSERVACION INTEGRAL DEL ESPACIO PUBLICO  CARTAGENA DE INDIAS"/>
    <s v="06"/>
    <s v="00"/>
    <n v="69663233"/>
    <n v="0"/>
    <n v="69663233"/>
    <n v="0"/>
    <n v="69663233"/>
    <n v="0"/>
    <n v="0"/>
    <n v="0"/>
    <n v="0"/>
    <n v="69663233"/>
    <n v="0"/>
  </r>
  <r>
    <n v="2022"/>
    <n v="100"/>
    <x v="4"/>
    <s v="DESPACHO DEL ALCALDE"/>
    <s v="01 DESPACHO DEL ALCALDE"/>
    <n v="2020130010211"/>
    <s v="07. PILAR CARTAGENA RESILIENTE"/>
    <s v="7.2 LÍNEA ESTRATÉGICA ESPACIO PÚBLICO, MOVILIDAD Y TRANSPORTE RESILIENTE"/>
    <s v="7.2.1 SOSTENIBILIDAD DEL ESPACIO PÚBLICO"/>
    <s v="2,3,3299,0900,2020130010211"/>
    <s v="001"/>
    <s v="1,2,1,0,00-001 - ICLD"/>
    <s v="INV"/>
    <s v="NO"/>
    <s v="CONSERVACION INTEGRAL DEL ESPACIO PUBLICO  CARTAGENA DE INDIAS"/>
    <s v="2020130010211 CONSERVACION INTEGRAL DEL ESPACIO PUBLICO  CARTAGENA DE INDIAS"/>
    <s v="06"/>
    <s v="00"/>
    <n v="400000000"/>
    <n v="-18000000"/>
    <n v="382000000"/>
    <n v="382000000"/>
    <n v="0"/>
    <n v="353050000"/>
    <n v="92.42"/>
    <n v="353050000"/>
    <n v="92.42"/>
    <n v="28950000"/>
    <n v="328450000"/>
  </r>
  <r>
    <n v="2022"/>
    <n v="100"/>
    <x v="6"/>
    <s v="INSTITUTO DE PATRIMONIO Y CULTURA DE CARTAGENA DE INDIAS"/>
    <s v="17 INSTITUTO DE PATRIMONIO Y CULTURA DE CARTAGENA DE INDIAS"/>
    <n v="2020130010213"/>
    <s v="08. PILAR CARTAGENA INCLUYENTE"/>
    <s v="8.5 LÍNEA ESTRATÉGICA ARTES, CULTURA Y PATRIMONIO PARA UNA CARTAGENA INCLUYENTE"/>
    <s v="8.5.4 PROGRAMA: VALORACION, CIUDADO Y APROPIACION SOCIAL DEL PATRIMONIO MATERIAL "/>
    <s v="2,3,3302,1603,2020130010213"/>
    <s v="057"/>
    <s v="1,2,4,3,02-057 - SGP CULTURA"/>
    <s v="INV"/>
    <s v="NO"/>
    <s v="FORTALECIMIENTO A LA APROPIACION SOCIAL Y DIVULGACION DEL PATRIMONIO MATERIAL EN EL DISTRITO DE  CARTAGENA DE INDIAS"/>
    <s v="2020130010213 FORTALECIMIENTO A LA APROPIACION SOCIAL Y DIVULGACION DEL PATRIMONIO MATERIAL EN EL DISTRITO DE  CARTAGENA DE INDIAS"/>
    <s v="06"/>
    <s v="00"/>
    <n v="104951903"/>
    <n v="0"/>
    <n v="104951903"/>
    <n v="104950912.64"/>
    <n v="990.36"/>
    <n v="104950912.64"/>
    <n v="100"/>
    <n v="104950912.64"/>
    <n v="100"/>
    <n v="990.36"/>
    <n v="96205911.640000001"/>
  </r>
  <r>
    <n v="2022"/>
    <n v="100"/>
    <x v="6"/>
    <s v="INSTITUTO DE PATRIMONIO Y CULTURA DE CARTAGENA DE INDIAS"/>
    <s v="17 INSTITUTO DE PATRIMONIO Y CULTURA DE CARTAGENA DE INDIAS"/>
    <n v="2020130010213"/>
    <s v="08. PILAR CARTAGENA INCLUYENTE"/>
    <s v="8.5 LÍNEA ESTRATÉGICA ARTES, CULTURA Y PATRIMONIO PARA UNA CARTAGENA INCLUYENTE"/>
    <s v="8.5.4 PROGRAMA: VALORACION, CIUDADO Y APROPIACION SOCIAL DEL PATRIMONIO MATERIAL "/>
    <s v="2,3,3302,1603,2020130010213"/>
    <s v="082"/>
    <s v="1,2,3,1,19-082 - ESTAMPILLAS PROCULTURA"/>
    <s v="INV"/>
    <s v="NO"/>
    <s v="FORTALECIMIENTO A LA APROPIACION SOCIAL Y DIVULGACION DEL PATRIMONIO MATERIAL EN EL DISTRITO DE  CARTAGENA DE INDIAS"/>
    <s v="2020130010213 FORTALECIMIENTO A LA APROPIACION SOCIAL Y DIVULGACION DEL PATRIMONIO MATERIAL EN EL DISTRITO DE  CARTAGENA DE INDIAS"/>
    <s v="06"/>
    <s v="00"/>
    <n v="131600000"/>
    <n v="0"/>
    <n v="131600000"/>
    <n v="0"/>
    <n v="131600000"/>
    <n v="0"/>
    <n v="0"/>
    <n v="0"/>
    <n v="0"/>
    <n v="131600000"/>
    <n v="0"/>
  </r>
  <r>
    <n v="2022"/>
    <n v="100"/>
    <x v="6"/>
    <s v="INSTITUTO DE PATRIMONIO Y CULTURA DE CARTAGENA DE INDIAS"/>
    <s v="17 INSTITUTO DE PATRIMONIO Y CULTURA DE CARTAGENA DE INDIAS"/>
    <n v="2020130010213"/>
    <s v="08. PILAR CARTAGENA INCLUYENTE"/>
    <s v="8.5 LÍNEA ESTRATÉGICA ARTES, CULTURA Y PATRIMONIO PARA UNA CARTAGENA INCLUYENTE"/>
    <s v="8.5.4 PROGRAMA: VALORACION, CIUDADO Y APROPIACION SOCIAL DEL PATRIMONIO MATERIAL "/>
    <s v="2,3,3302,1603,2020130010213"/>
    <s v="001"/>
    <s v="1,2,1,0,00-001 - ICLD"/>
    <s v="INV"/>
    <s v="NO"/>
    <s v="FORTALECIMIENTO A LA APROPIACION SOCIAL Y DIVULGACION DEL PATRIMONIO MATERIAL EN EL DISTRITO DE  CARTAGENA DE INDIAS"/>
    <s v="2020130010213 FORTALECIMIENTO A LA APROPIACION SOCIAL Y DIVULGACION DEL PATRIMONIO MATERIAL EN EL DISTRITO DE  CARTAGENA DE INDIAS"/>
    <s v="06"/>
    <s v="00"/>
    <n v="150000000"/>
    <n v="0"/>
    <n v="150000000"/>
    <n v="150000000"/>
    <n v="0"/>
    <n v="150000000"/>
    <n v="100"/>
    <n v="100710000"/>
    <n v="67.14"/>
    <n v="0"/>
    <n v="88065000"/>
  </r>
  <r>
    <n v="2022"/>
    <n v="100"/>
    <x v="11"/>
    <s v="ESTABLECIMIENTO PUBLICO AMBIENTAL-EPA"/>
    <s v="21 ESTABLECIMIENTO PUBLICO AMBIENTAL-EPA"/>
    <n v="2020130010216"/>
    <s v="07. PILAR CARTAGENA RESILIENTE"/>
    <s v="7.1 LÍNEA ESTRATÉGICA: “SALVEMOS JUNTOS NUESTRO PATRIMONIO NATURAL”"/>
    <s v="7.1.1 RECUPERAR Y RESTAURAR NUESTRAS ÁREAS NATURALES (BOSQUES Y BIODIVERSIDAD Y SERVICIOS ECO SISTÉMICOS)"/>
    <s v="2,3,3202,0900,2020130010216"/>
    <s v="001"/>
    <s v="1,2,1,0,00-001 - ICLD"/>
    <s v="INV"/>
    <s v="NO"/>
    <s v="DOTACION Y ADECUACION DEL CENTRO DE ATENCION VALORACION Y REHABILITACION DE FAUNA SILVESTRE (CAVR BOCANA) DEL EPA CARTAGENA DE INDIAS"/>
    <s v="2020130010216 DOTACION Y ADECUACION DEL CENTRO DE ATENCION VALORACION Y REHABILITACION DE FAUNA SILVESTRE (CAVR BOCANA) DEL EPA CARTAGENA DE INDIAS"/>
    <s v="06"/>
    <s v="00"/>
    <n v="260000000"/>
    <n v="0"/>
    <n v="260000000"/>
    <n v="260000000"/>
    <n v="0"/>
    <n v="260000000"/>
    <n v="100"/>
    <n v="260000000"/>
    <n v="100"/>
    <n v="0"/>
    <n v="260000000"/>
  </r>
  <r>
    <n v="2022"/>
    <n v="100"/>
    <x v="6"/>
    <s v="INSTITUTO DE PATRIMONIO Y CULTURA DE CARTAGENA DE INDIAS"/>
    <s v="17 INSTITUTO DE PATRIMONIO Y CULTURA DE CARTAGENA DE INDIAS"/>
    <n v="2020130010218"/>
    <s v="08. PILAR CARTAGENA INCLUYENTE"/>
    <s v="8.5 LÍNEA ESTRATÉGICA ARTES, CULTURA Y PATRIMONIO PARA UNA CARTAGENA INCLUYENTE"/>
    <s v="8.5.6 PROGRAMA: INFRAESTRUCTURA CULTURAL PARA LA INCLUSIÓN"/>
    <s v="2,3,3301,1603,2020130010218"/>
    <s v="833"/>
    <s v="1,3,3,2,00-93-085 R,B,  ICDE IPCC 20% DELINEACION URBANA"/>
    <s v="INV"/>
    <s v="NO"/>
    <s v="MANTENIMIENTO DE LA INFRAESTRUCTURA CULTURAL PARA LA INCLUSION EN EL DISTRITO DE  CARTAGENA DE INDIAS"/>
    <s v="2020130010218 MANTENIMIENTO DE LA INFRAESTRUCTURA CULTURAL PARA LA INCLUSION EN EL DISTRITO DE  CARTAGENA DE INDIAS"/>
    <s v="06"/>
    <s v="00"/>
    <n v="0"/>
    <n v="567491245"/>
    <n v="567491245"/>
    <n v="567491245"/>
    <n v="0"/>
    <n v="567491245"/>
    <n v="100"/>
    <n v="567491245"/>
    <n v="100"/>
    <n v="0"/>
    <n v="567491245"/>
  </r>
  <r>
    <n v="2022"/>
    <n v="100"/>
    <x v="6"/>
    <s v="INSTITUTO DE PATRIMONIO Y CULTURA DE CARTAGENA DE INDIAS"/>
    <s v="17 INSTITUTO DE PATRIMONIO Y CULTURA DE CARTAGENA DE INDIAS"/>
    <n v="2020130010218"/>
    <s v="08. PILAR CARTAGENA INCLUYENTE"/>
    <s v="8.5 LÍNEA ESTRATÉGICA ARTES, CULTURA Y PATRIMONIO PARA UNA CARTAGENA INCLUYENTE"/>
    <s v="8.5.6 PROGRAMA: INFRAESTRUCTURA CULTURAL PARA LA INCLUSIÓN"/>
    <s v="2,3,3301,1603,2020130010218"/>
    <s v="057"/>
    <s v="1,2,4,3,02-057 - SGP CULTURA"/>
    <s v="INV"/>
    <s v="NO"/>
    <s v="MANTENIMIENTO DE LA INFRAESTRUCTURA CULTURAL PARA LA INCLUSION EN EL DISTRITO DE  CARTAGENA DE INDIAS"/>
    <s v="2020130010218 MANTENIMIENTO DE LA INFRAESTRUCTURA CULTURAL PARA LA INCLUSION EN EL DISTRITO DE  CARTAGENA DE INDIAS"/>
    <s v="06"/>
    <s v="00"/>
    <n v="539417050"/>
    <n v="0"/>
    <n v="539417050"/>
    <n v="539417049.32000005"/>
    <n v="0.68"/>
    <n v="539417049.32000005"/>
    <n v="100"/>
    <n v="539417049.32000005"/>
    <n v="100"/>
    <n v="0.68"/>
    <n v="539417049.32000005"/>
  </r>
  <r>
    <n v="2022"/>
    <n v="100"/>
    <x v="6"/>
    <s v="INSTITUTO DE PATRIMONIO Y CULTURA DE CARTAGENA DE INDIAS"/>
    <s v="17 INSTITUTO DE PATRIMONIO Y CULTURA DE CARTAGENA DE INDIAS"/>
    <n v="2020130010218"/>
    <s v="08. PILAR CARTAGENA INCLUYENTE"/>
    <s v="8.5 LÍNEA ESTRATÉGICA ARTES, CULTURA Y PATRIMONIO PARA UNA CARTAGENA INCLUYENTE"/>
    <s v="8.5.6 PROGRAMA: INFRAESTRUCTURA CULTURAL PARA LA INCLUSIÓN"/>
    <s v="2,3,3301,1603,2020130010218"/>
    <s v="082"/>
    <s v="1,2,3,1,19-082 - ESTAMPILLAS PROCULTURA"/>
    <s v="INV"/>
    <s v="NO"/>
    <s v="MANTENIMIENTO DE LA INFRAESTRUCTURA CULTURAL PARA LA INCLUSION EN EL DISTRITO DE  CARTAGENA DE INDIAS"/>
    <s v="2020130010218 MANTENIMIENTO DE LA INFRAESTRUCTURA CULTURAL PARA LA INCLUSION EN EL DISTRITO DE  CARTAGENA DE INDIAS"/>
    <s v="06"/>
    <s v="00"/>
    <n v="220480160"/>
    <n v="0"/>
    <n v="220480160"/>
    <n v="0"/>
    <n v="220480160"/>
    <n v="0"/>
    <n v="0"/>
    <n v="0"/>
    <n v="0"/>
    <n v="220480160"/>
    <n v="0"/>
  </r>
  <r>
    <n v="2022"/>
    <n v="100"/>
    <x v="6"/>
    <s v="INSTITUTO DE PATRIMONIO Y CULTURA DE CARTAGENA DE INDIAS"/>
    <s v="17 INSTITUTO DE PATRIMONIO Y CULTURA DE CARTAGENA DE INDIAS"/>
    <n v="2020130010218"/>
    <s v="08. PILAR CARTAGENA INCLUYENTE"/>
    <s v="8.5 LÍNEA ESTRATÉGICA ARTES, CULTURA Y PATRIMONIO PARA UNA CARTAGENA INCLUYENTE"/>
    <s v="8.5.6 PROGRAMA: INFRAESTRUCTURA CULTURAL PARA LA INCLUSIÓN"/>
    <s v="2,3,3301,1603,2020130010218"/>
    <s v="123"/>
    <s v="1,3,2,2,08-123 - RF SGP CULTURA"/>
    <s v="INV"/>
    <s v="NO"/>
    <s v="MANTENIMIENTO DE LA INFRAESTRUCTURA CULTURAL PARA LA INCLUSION EN EL DISTRITO DE  CARTAGENA DE INDIAS"/>
    <s v="2020130010218 MANTENIMIENTO DE LA INFRAESTRUCTURA CULTURAL PARA LA INCLUSION EN EL DISTRITO DE  CARTAGENA DE INDIAS"/>
    <s v="06"/>
    <s v="00"/>
    <n v="26179596"/>
    <n v="0"/>
    <n v="26179596"/>
    <n v="26179596"/>
    <n v="0"/>
    <n v="26179596"/>
    <n v="100"/>
    <n v="26179596"/>
    <n v="100"/>
    <n v="0"/>
    <n v="13000000"/>
  </r>
  <r>
    <n v="2022"/>
    <n v="100"/>
    <x v="6"/>
    <s v="INSTITUTO DE PATRIMONIO Y CULTURA DE CARTAGENA DE INDIAS"/>
    <s v="17 INSTITUTO DE PATRIMONIO Y CULTURA DE CARTAGENA DE INDIAS"/>
    <n v="2020130010218"/>
    <s v="08. PILAR CARTAGENA INCLUYENTE"/>
    <s v="8.5 LÍNEA ESTRATÉGICA ARTES, CULTURA Y PATRIMONIO PARA UNA CARTAGENA INCLUYENTE"/>
    <s v="8.5.6 PROGRAMA: INFRAESTRUCTURA CULTURAL PARA LA INCLUSIÓN"/>
    <s v="2,3,3301,1603,2020130010218"/>
    <s v="134"/>
    <s v="1,2,3,1,12-134 - IMPUESTO DE ESPECTACULOS PUBLICOS NACIONAL IPCC"/>
    <s v="INV"/>
    <s v="NO"/>
    <s v="MANTENIMIENTO DE LA INFRAESTRUCTURA CULTURAL PARA LA INCLUSION EN EL DISTRITO DE  CARTAGENA DE INDIAS"/>
    <s v="2020130010218 MANTENIMIENTO DE LA INFRAESTRUCTURA CULTURAL PARA LA INCLUSION EN EL DISTRITO DE  CARTAGENA DE INDIAS"/>
    <s v="06"/>
    <s v="00"/>
    <n v="213800000"/>
    <n v="0"/>
    <n v="213800000"/>
    <n v="213800000"/>
    <n v="0"/>
    <n v="213800000"/>
    <n v="100"/>
    <n v="213800000"/>
    <n v="100"/>
    <n v="0"/>
    <n v="0"/>
  </r>
  <r>
    <n v="2022"/>
    <n v="100"/>
    <x v="6"/>
    <s v="INSTITUTO DE PATRIMONIO Y CULTURA DE CARTAGENA DE INDIAS"/>
    <s v="17 INSTITUTO DE PATRIMONIO Y CULTURA DE CARTAGENA DE INDIAS"/>
    <n v="2020130010218"/>
    <s v="08. PILAR CARTAGENA INCLUYENTE"/>
    <s v="8.5 LÍNEA ESTRATÉGICA ARTES, CULTURA Y PATRIMONIO PARA UNA CARTAGENA INCLUYENTE"/>
    <s v="8.5.6 PROGRAMA: INFRAESTRUCTURA CULTURAL PARA LA INCLUSIÓN"/>
    <s v="2,3,3301,1603,2020130010218"/>
    <s v="032"/>
    <s v="1,2,3,2,09-032- VENTA DE BIENES Y SERVICIOS TEATRO ADOLFO MEJIA"/>
    <s v="INV"/>
    <s v="NO"/>
    <s v="MANTENIMIENTO DE LA INFRAESTRUCTURA CULTURAL PARA LA INCLUSION EN EL DISTRITO DE  CARTAGENA DE INDIAS"/>
    <s v="2020130010218 MANTENIMIENTO DE LA INFRAESTRUCTURA CULTURAL PARA LA INCLUSION EN EL DISTRITO DE  CARTAGENA DE INDIAS"/>
    <s v="06"/>
    <s v="00"/>
    <n v="250000000"/>
    <n v="0"/>
    <n v="250000000"/>
    <n v="0"/>
    <n v="250000000"/>
    <n v="0"/>
    <n v="0"/>
    <n v="0"/>
    <n v="0"/>
    <n v="250000000"/>
    <n v="0"/>
  </r>
  <r>
    <n v="2022"/>
    <n v="100"/>
    <x v="6"/>
    <s v="INSTITUTO DE PATRIMONIO Y CULTURA DE CARTAGENA DE INDIAS"/>
    <s v="17 INSTITUTO DE PATRIMONIO Y CULTURA DE CARTAGENA DE INDIAS"/>
    <n v="2020130010218"/>
    <s v="08. PILAR CARTAGENA INCLUYENTE"/>
    <s v="8.5 LÍNEA ESTRATÉGICA ARTES, CULTURA Y PATRIMONIO PARA UNA CARTAGENA INCLUYENTE"/>
    <s v="8.5.6 PROGRAMA: INFRAESTRUCTURA CULTURAL PARA LA INCLUSIÓN"/>
    <s v="2,3,3301,1603,2020130010218"/>
    <s v="848"/>
    <s v="1,3,3,3,12-95-134 R,B, IMPUESTO DE ESPECTACULOS PUBLICOS"/>
    <s v="INV"/>
    <s v="NO"/>
    <s v="MANTENIMIENTO DE LA INFRAESTRUCTURA CULTURAL PARA LA INCLUSION EN EL DISTRITO DE CARTAGENA DE INDIAS"/>
    <s v="2020130010218 MANTENIMIENTO DE LA INFRAESTRUCTURA CULTURAL PARA LA INCLUSION EN EL DISTRITO DE CARTAGENA DE INDIAS"/>
    <s v="06"/>
    <s v="00"/>
    <n v="0"/>
    <n v="54641497.520000003"/>
    <n v="54641497.520000003"/>
    <n v="54041407"/>
    <n v="600090.52"/>
    <n v="54041407"/>
    <n v="98.9"/>
    <n v="54041407"/>
    <n v="98.9"/>
    <n v="600090.52"/>
    <n v="0"/>
  </r>
  <r>
    <n v="2022"/>
    <n v="100"/>
    <x v="6"/>
    <s v="INSTITUTO DE PATRIMONIO Y CULTURA DE CARTAGENA DE INDIAS"/>
    <s v="17 INSTITUTO DE PATRIMONIO Y CULTURA DE CARTAGENA DE INDIAS"/>
    <n v="2020130010218"/>
    <s v="08. PILAR CARTAGENA INCLUYENTE"/>
    <s v="8.5 LÍNEA ESTRATÉGICA ARTES, CULTURA Y PATRIMONIO PARA UNA CARTAGENA INCLUYENTE"/>
    <s v="8.5.6 PROGRAMA: INFRAESTRUCTURA CULTURAL PARA LA INCLUSIÓN"/>
    <s v="2,3,3301,1603,2020130010218"/>
    <s v="001"/>
    <s v="1,2,1,0,00-001 - ICLD"/>
    <s v="INV"/>
    <s v="NO"/>
    <s v="MANTENIMIENTO DE LA INFRAESTRUCTURA CULTURAL PARA LA INCLUSION EN EL DISTRITO DE  CARTAGENA DE INDIAS"/>
    <s v="2020130010218 MANTENIMIENTO DE LA INFRAESTRUCTURA CULTURAL PARA LA INCLUSION EN EL DISTRITO DE  CARTAGENA DE INDIAS"/>
    <s v="06"/>
    <s v="00"/>
    <n v="800000000"/>
    <n v="0"/>
    <n v="800000000"/>
    <n v="800000000"/>
    <n v="0"/>
    <n v="800000000"/>
    <n v="100"/>
    <n v="800000000"/>
    <n v="100"/>
    <n v="0"/>
    <n v="800000000"/>
  </r>
  <r>
    <n v="2022"/>
    <n v="100"/>
    <x v="12"/>
    <s v="DEPARTAMENTO ADMINISTRATIVO DE VALORIZACION"/>
    <s v="13 DEPARTAMENTO ADMINISTRATIVO DE VALORIZACION"/>
    <n v="2020130010239"/>
    <s v="07. PILAR CARTAGENA RESILIENTE"/>
    <s v="7.3 LÍNEA ESTRATÉGICA DESARROLLO URBANO"/>
    <s v="7.3.2 SISTEMA HÍDRICO Y PLAN MAESTRO DE ALCANTARILLADO PLUVIALES EN LA CIUDAD PARA SALVAR EL HÁBITAT"/>
    <s v="2,3,3205,0900,2020130010239"/>
    <s v="858"/>
    <s v="1,3,3,4,03-93-043 R,B, OTRAS CONTRIBUCIONES - CONTRIBUCION VALORIZACION"/>
    <s v="INV"/>
    <s v="NO"/>
    <s v="CONSTRUCCION SISTEMA HIDRICO Y PLAN MAESTRO DE DRENAJES PLUVIALES EN LA CIUDAD DE CARTAGENA PARA SALVAR EL HABITAT CARTAGENA DE INDIAS"/>
    <s v="2020130010239 CONSTRUCCION SISTEMA HIDRICO Y PLAN MAESTRO DE DRENAJES PLUVIALES EN LA CIUDAD DE CARTAGENA PARA SALVAR EL HABITAT CARTAGENA DE INDIAS"/>
    <s v="06"/>
    <s v="00"/>
    <n v="0"/>
    <n v="0.47"/>
    <n v="0.47"/>
    <n v="0"/>
    <n v="0.47"/>
    <n v="0"/>
    <n v="0"/>
    <n v="0"/>
    <n v="0"/>
    <n v="0.47"/>
    <n v="0"/>
  </r>
  <r>
    <n v="2022"/>
    <n v="100"/>
    <x v="12"/>
    <s v="DEPARTAMENTO ADMINISTRATIVO DE VALORIZACION"/>
    <s v="13 DEPARTAMENTO ADMINISTRATIVO DE VALORIZACION"/>
    <n v="2020130010239"/>
    <s v="07. PILAR CARTAGENA RESILIENTE"/>
    <s v="7.3 LÍNEA ESTRATÉGICA DESARROLLO URBANO"/>
    <s v="7.3.2 SISTEMA HÍDRICO Y PLAN MAESTRO DE ALCANTARILLADO PLUVIALES EN LA CIUDAD PARA SALVAR EL HÁBITAT"/>
    <s v="2,3,3205,0900,2020130010239"/>
    <s v="881"/>
    <s v="1,3,3,4,21-93-003 R,B, VENTA DE BIENES Y SERVICIOS CERTIFICADOS PAZ Y SALVO VALORIZACION"/>
    <s v="INV"/>
    <s v="NO"/>
    <s v="CONSTRUCCION SISTEMA HIDRICO Y PLAN MAESTRO DE DRENAJES PLUVIALES EN LA CIUDAD DE CARTAGENA PARA SALVAR EL HABITAT CARTAGENA DE INDIAS"/>
    <s v="2020130010239 CONSTRUCCION SISTEMA HIDRICO Y PLAN MAESTRO DE DRENAJES PLUVIALES EN LA CIUDAD DE CARTAGENA PARA SALVAR EL HABITAT CARTAGENA DE INDIAS"/>
    <s v="06"/>
    <s v="00"/>
    <n v="0"/>
    <n v="0.12"/>
    <n v="0.12"/>
    <n v="0"/>
    <n v="0.12"/>
    <n v="0"/>
    <n v="0"/>
    <n v="0"/>
    <n v="0"/>
    <n v="0.12"/>
    <n v="0"/>
  </r>
  <r>
    <n v="2022"/>
    <n v="100"/>
    <x v="12"/>
    <s v="DEPARTAMENTO ADMINISTRATIVO DE VALORIZACION"/>
    <s v="13 DEPARTAMENTO ADMINISTRATIVO DE VALORIZACION"/>
    <n v="2020130010239"/>
    <s v="07. PILAR CARTAGENA RESILIENTE"/>
    <s v="7.3 LÍNEA ESTRATÉGICA DESARROLLO URBANO"/>
    <s v="7.3.2 SISTEMA HÍDRICO Y PLAN MAESTRO DE ALCANTARILLADO PLUVIALES EN LA CIUDAD PARA SALVAR EL HÁBITAT"/>
    <s v="2,3,3205,0900,2020130010239"/>
    <s v="885"/>
    <s v="1,3,3,4,21-95-003 R,B, VENTA DE BIENES Y SERVICIOS CERTIFICADOS PAZ Y SALVO VALORIZACION"/>
    <s v="INV"/>
    <s v="NO"/>
    <s v="CONSTRUCCION SISTEMA HIDRICO Y PLAN MAESTRO DE DRENAJES PLUVIALES EN LA CIUDAD DE CARTAGENA PARA SALVAR EL HABITAT CARTAGENA DE INDIAS"/>
    <s v="2020130010239 CONSTRUCCION SISTEMA HIDRICO Y PLAN MAESTRO DE DRENAJES PLUVIALES EN LA CIUDAD DE CARTAGENA PARA SALVAR EL HABITAT CARTAGENA DE INDIAS"/>
    <s v="06"/>
    <s v="00"/>
    <n v="0"/>
    <n v="0"/>
    <n v="0"/>
    <n v="0"/>
    <n v="0"/>
    <n v="0"/>
    <n v="0"/>
    <n v="0"/>
    <n v="0"/>
    <n v="0"/>
    <n v="0"/>
  </r>
  <r>
    <n v="2022"/>
    <n v="100"/>
    <x v="12"/>
    <s v="DEPARTAMENTO ADMINISTRATIVO DE VALORIZACION"/>
    <s v="13 DEPARTAMENTO ADMINISTRATIVO DE VALORIZACION"/>
    <n v="2020130010239"/>
    <s v="07. PILAR CARTAGENA RESILIENTE"/>
    <s v="7.3 LÍNEA ESTRATÉGICA DESARROLLO URBANO"/>
    <s v="7.3.2 SISTEMA HÍDRICO Y PLAN MAESTRO DE ALCANTARILLADO PLUVIALES EN LA CIUDAD PARA SALVAR EL HÁBITAT"/>
    <s v="2,3,3205,0900,2020130010239"/>
    <s v="001"/>
    <s v="1,2,1,0,00-001 - ICLD"/>
    <s v="INV"/>
    <s v="NO"/>
    <s v="CONSTRUCCION SISTEMA HIDRICO Y PLAN MAESTRO DE DRENAJES PLUVIALES EN LA CIUDAD DE CARTAGENA PARA SALVAR EL HABITAT  CARTAGENA DE INDIAS"/>
    <s v="2020130010239 CONSTRUCCION SISTEMA HIDRICO Y PLAN MAESTRO DE DRENAJES PLUVIALES EN LA CIUDAD DE CARTAGENA PARA SALVAR EL HABITAT  CARTAGENA DE INDIAS"/>
    <s v="06"/>
    <s v="00"/>
    <n v="2088612467"/>
    <n v="-85483428"/>
    <n v="2003129039"/>
    <n v="1850219171"/>
    <n v="152909868"/>
    <n v="691043335"/>
    <n v="34.5"/>
    <n v="548043335"/>
    <n v="27.36"/>
    <n v="1312085704"/>
    <n v="532170000"/>
  </r>
  <r>
    <n v="2022"/>
    <n v="100"/>
    <x v="12"/>
    <s v="DEPARTAMENTO ADMINISTRATIVO DE VALORIZACION"/>
    <s v="13 DEPARTAMENTO ADMINISTRATIVO DE VALORIZACION"/>
    <n v="2020130010239"/>
    <s v="07. PILAR CARTAGENA RESILIENTE"/>
    <s v="7.3 LÍNEA ESTRATÉGICA DESARROLLO URBANO"/>
    <s v="7.3.2 SISTEMA HÍDRICO Y PLAN MAESTRO DE ALCANTARILLADO PLUVIALES EN LA CIUDAD PARA SALVAR EL HÁBITAT"/>
    <s v="2,3,3205,0900,2020130010239"/>
    <s v="023"/>
    <s v="1,3,2,3,05-023 - OTROS RENDIMIENTOS FINANCIEROS VALORIZACION"/>
    <s v="INV"/>
    <s v="NO"/>
    <s v="CONSTRUCCION SISTEMA HIDRICO Y PLAN MAESTRO DE DRENAJES PLUVIALES EN LA CIUDAD DE CARTAGENA PARA SALVAR EL HABITAT  CARTAGENA DE INDIAS"/>
    <s v="2020130010239 CONSTRUCCION SISTEMA HIDRICO Y PLAN MAESTRO DE DRENAJES PLUVIALES EN LA CIUDAD DE CARTAGENA PARA SALVAR EL HABITAT  CARTAGENA DE INDIAS"/>
    <s v="06"/>
    <s v="00"/>
    <n v="11058604"/>
    <n v="-11058604"/>
    <n v="0"/>
    <n v="0"/>
    <n v="0"/>
    <n v="0"/>
    <n v="0"/>
    <n v="0"/>
    <n v="0"/>
    <n v="0"/>
    <n v="0"/>
  </r>
  <r>
    <n v="2022"/>
    <n v="100"/>
    <x v="12"/>
    <s v="DEPARTAMENTO ADMINISTRATIVO DE VALORIZACION"/>
    <s v="13 DEPARTAMENTO ADMINISTRATIVO DE VALORIZACION"/>
    <n v="2020130010239"/>
    <s v="07. PILAR CARTAGENA RESILIENTE"/>
    <s v="7.3 LÍNEA ESTRATÉGICA DESARROLLO URBANO"/>
    <s v="7.3.2 SISTEMA HÍDRICO Y PLAN MAESTRO DE ALCANTARILLADO PLUVIALES EN LA CIUDAD PARA SALVAR EL HÁBITAT"/>
    <s v="2,3,3205,0900,2020130010239"/>
    <s v="043"/>
    <s v="1,2,3,2,02-043 - OTRAS CONTRIBUCIONES - CONTRIBUCION VALORIZACION"/>
    <s v="INV"/>
    <s v="NO"/>
    <s v="CONSTRUCCION SISTEMA HIDRICO Y PLAN MAESTRO DE DRENAJES PLUVIALES EN LA CIUDAD DE CARTAGENA PARA SALVAR EL HABITAT  CARTAGENA DE INDIAS"/>
    <s v="2020130010239 CONSTRUCCION SISTEMA HIDRICO Y PLAN MAESTRO DE DRENAJES PLUVIALES EN LA CIUDAD DE CARTAGENA PARA SALVAR EL HABITAT  CARTAGENA DE INDIAS"/>
    <s v="06"/>
    <s v="00"/>
    <n v="57670853"/>
    <n v="-57670853"/>
    <n v="0"/>
    <n v="0"/>
    <n v="0"/>
    <n v="0"/>
    <n v="0"/>
    <n v="0"/>
    <n v="0"/>
    <n v="0"/>
    <n v="0"/>
  </r>
  <r>
    <n v="2022"/>
    <n v="100"/>
    <x v="7"/>
    <s v="SECRETARIA DE EDUCACION"/>
    <s v="07 SECRETARIA DE EDUCACION"/>
    <n v="2020130010240"/>
    <s v="08. PILAR CARTAGENA INCLUYENTE"/>
    <s v="8.2 LÍNEA ESTRATEGICA DE EDUCACION: CULTURA DE LA FORMACION &quot;CON LA EDUCACION PARA TODOS Y TODAS SALVAMOS JUNTOS A CARTAGENA&quot;"/>
    <s v="8.2.5 PARTICIPACIÓN, DEMOCRACIA Y AUTONOMÍA"/>
    <s v="2,3,2201,0700,2020130010240"/>
    <s v="001"/>
    <s v="1,2,1,0,00-001 - ICLD"/>
    <s v="INV"/>
    <s v="NO"/>
    <s v="FORMACION DE LOS DERECHOS HUMANOS DE LAS MUJERES DIRIGIDO A NI?AS NI?OS Y JOVENES DE LAS INSTITUCIONES EDUCATIVAS OFICIALES DEL DISTRITO: PARTICIPACION DEMOCRACIA Y AUTONOMIA  CARTAGENA DE INDIAS"/>
    <s v="2020130010240 FORMACION DE LOS DERECHOS HUMANOS DE LAS MUJERES DIRIGIDO A NI?AS NI?OS Y JOVENES DE LAS INSTITUCIONES EDUCATIVAS OFICIALES DEL DISTRITO: PARTICIPACION DEMOCRACIA Y AUTONOMIA  CARTAGENA DE INDIAS"/>
    <s v="06"/>
    <s v="00"/>
    <n v="240000000"/>
    <n v="0"/>
    <n v="240000000"/>
    <n v="235261110"/>
    <n v="4738890"/>
    <n v="230661110"/>
    <n v="96.11"/>
    <n v="108511110"/>
    <n v="45.21"/>
    <n v="9338890"/>
    <n v="108511110"/>
  </r>
  <r>
    <n v="2022"/>
    <n v="100"/>
    <x v="12"/>
    <s v="DEPARTAMENTO ADMINISTRATIVO DE VALORIZACION"/>
    <s v="13 DEPARTAMENTO ADMINISTRATIVO DE VALORIZACION"/>
    <n v="2020130010241"/>
    <s v="07. PILAR CARTAGENA RESILIENTE"/>
    <s v="7.3 LÍNEA ESTRATÉGICA DESARROLLO URBANO"/>
    <s v="7.3.3 CARTAGENA CIUDAD DE BORDES Y ORILLAS RESILIENTE "/>
    <s v="2,3,3207,0900,2020130010241"/>
    <s v="858"/>
    <s v="1,3,3,4,03-93-043 R,B, OTRAS CONTRIBUCIONES - CONTRIBUCION VALORIZACION"/>
    <s v="INV"/>
    <s v="NO"/>
    <s v="CONSTRUCCION PROTECCION COSTERA DE CARTAGENA CIUDAD DE BORDES Y ORILLAS RESILIENTE  CARTAGENA DE INDIAS"/>
    <s v="2020130010241 CONSTRUCCION PROTECCION COSTERA DE CARTAGENA CIUDAD DE BORDES Y ORILLAS RESILIENTE  CARTAGENA DE INDIAS"/>
    <s v="06"/>
    <s v="00"/>
    <n v="0"/>
    <n v="756242326"/>
    <n v="756242326"/>
    <n v="756242326"/>
    <n v="0"/>
    <n v="0"/>
    <n v="0"/>
    <n v="0"/>
    <n v="0"/>
    <n v="756242326"/>
    <n v="0"/>
  </r>
  <r>
    <n v="2022"/>
    <n v="100"/>
    <x v="12"/>
    <s v="DEPARTAMENTO ADMINISTRATIVO DE VALORIZACION"/>
    <s v="13 DEPARTAMENTO ADMINISTRATIVO DE VALORIZACION"/>
    <n v="2020130010241"/>
    <s v="07. PILAR CARTAGENA RESILIENTE"/>
    <s v="7.3 LÍNEA ESTRATÉGICA DESARROLLO URBANO"/>
    <s v="7.3.3 CARTAGENA CIUDAD DE BORDES Y ORILLAS RESILIENTE "/>
    <s v="2,3,3207,0900,2020130010241"/>
    <s v="881"/>
    <s v="1,3,3,4,21-93-003 R,B, VENTA DE BIENES Y SERVICIOS CERTIFICADOS PAZ Y SALVO VALORIZACION"/>
    <s v="INV"/>
    <s v="NO"/>
    <s v="CONSTRUCCION PROTECCION COSTERA DE CARTAGENA CIUDAD DE BORDES Y ORILLAS RESILIENTE  CARTAGENA DE INDIAS"/>
    <s v="2020130010241 CONSTRUCCION PROTECCION COSTERA DE CARTAGENA CIUDAD DE BORDES Y ORILLAS RESILIENTE  CARTAGENA DE INDIAS"/>
    <s v="06"/>
    <s v="00"/>
    <n v="0"/>
    <n v="732347830"/>
    <n v="732347830"/>
    <n v="732347830"/>
    <n v="0"/>
    <n v="337228593"/>
    <n v="46.05"/>
    <n v="0"/>
    <n v="0"/>
    <n v="395119237"/>
    <n v="0"/>
  </r>
  <r>
    <n v="2022"/>
    <n v="100"/>
    <x v="12"/>
    <s v="DEPARTAMENTO ADMINISTRATIVO DE VALORIZACION"/>
    <s v="13 DEPARTAMENTO ADMINISTRATIVO DE VALORIZACION"/>
    <n v="2020130010241"/>
    <s v="07. PILAR CARTAGENA RESILIENTE"/>
    <s v="7.3 LÍNEA ESTRATÉGICA DESARROLLO URBANO"/>
    <s v="7.3.3 CARTAGENA CIUDAD DE BORDES Y ORILLAS RESILIENTE "/>
    <s v="2,3,3207,0900,2020130010241"/>
    <s v="885"/>
    <s v="1,3,3,4,21-95-003 R,B, VENTA DE BIENES Y SERVICIOS CERTIFICADOS PAZ Y SALVO VALORIZACION"/>
    <s v="INV"/>
    <s v="NO"/>
    <s v="CONSTRUCCION PROTECCION COSTERA DE CARTAGENA CIUDAD DE BORDES Y ORILLAS RESILIENTE  CARTAGENA DE INDIAS"/>
    <s v="2020130010241 CONSTRUCCION PROTECCION COSTERA DE CARTAGENA CIUDAD DE BORDES Y ORILLAS RESILIENTE  CARTAGENA DE INDIAS"/>
    <s v="06"/>
    <s v="00"/>
    <n v="0"/>
    <n v="3520000"/>
    <n v="3520000"/>
    <n v="3520000"/>
    <n v="0"/>
    <n v="3520000"/>
    <n v="100"/>
    <n v="0"/>
    <n v="0"/>
    <n v="0"/>
    <n v="0"/>
  </r>
  <r>
    <n v="2022"/>
    <n v="100"/>
    <x v="12"/>
    <s v="DEPARTAMENTO ADMINISTRATIVO DE VALORIZACION"/>
    <s v="13 DEPARTAMENTO ADMINISTRATIVO DE VALORIZACION"/>
    <n v="2020130010241"/>
    <s v="07. PILAR CARTAGENA RESILIENTE"/>
    <s v="7.3 LÍNEA ESTRATÉGICA DESARROLLO URBANO"/>
    <s v="7.3.3 CARTAGENA CIUDAD DE BORDES Y ORILLAS RESILIENTE "/>
    <s v="2,3,3207,0900,2020130010241"/>
    <s v="023"/>
    <s v="1,3,2,3,05-023 - OTROS RENDIMIENTOS FINANCIEROS VALORIZACION"/>
    <s v="INV"/>
    <s v="NO"/>
    <s v="CONSTRUCCION PROTECCION COSTERA DE CARTAGENA CIUDAD DE BORDES Y ORILLAS RESILIENTE  CARTAGENA DE INDIAS"/>
    <s v="2020130010241 CONSTRUCCION PROTECCION COSTERA DE CARTAGENA CIUDAD DE BORDES Y ORILLAS RESILIENTE  CARTAGENA DE INDIAS"/>
    <s v="06"/>
    <s v="00"/>
    <n v="0"/>
    <n v="11058604"/>
    <n v="11058604"/>
    <n v="11058604"/>
    <n v="0"/>
    <n v="11058604"/>
    <n v="100"/>
    <n v="0"/>
    <n v="0"/>
    <n v="0"/>
    <n v="0"/>
  </r>
  <r>
    <n v="2022"/>
    <n v="100"/>
    <x v="12"/>
    <s v="DEPARTAMENTO ADMINISTRATIVO DE VALORIZACION"/>
    <s v="13 DEPARTAMENTO ADMINISTRATIVO DE VALORIZACION"/>
    <n v="2020130010241"/>
    <s v="07. PILAR CARTAGENA RESILIENTE"/>
    <s v="7.3 LÍNEA ESTRATÉGICA DESARROLLO URBANO"/>
    <s v="7.3.3 CARTAGENA CIUDAD DE BORDES Y ORILLAS RESILIENTE "/>
    <s v="2,3,3207,0900,2020130010241"/>
    <s v="043"/>
    <s v="1,2,3,2,02-043 - OTRAS CONTRIBUCIONES - CONTRIBUCION VALORIZACION"/>
    <s v="INV"/>
    <s v="NO"/>
    <s v="CONSTRUCCION PROTECCION COSTERA DE CARTAGENA CIUDAD DE BORDES Y ORILLAS RESILIENTE  CARTAGENA DE INDIAS"/>
    <s v="2020130010241 CONSTRUCCION PROTECCION COSTERA DE CARTAGENA CIUDAD DE BORDES Y ORILLAS RESILIENTE  CARTAGENA DE INDIAS"/>
    <s v="06"/>
    <s v="00"/>
    <n v="0"/>
    <n v="57670853"/>
    <n v="57670853"/>
    <n v="57670853"/>
    <n v="0"/>
    <n v="57670853"/>
    <n v="100"/>
    <n v="0"/>
    <n v="0"/>
    <n v="0"/>
    <n v="0"/>
  </r>
  <r>
    <n v="2022"/>
    <n v="100"/>
    <x v="12"/>
    <s v="DEPARTAMENTO ADMINISTRATIVO DE VALORIZACION"/>
    <s v="13 DEPARTAMENTO ADMINISTRATIVO DE VALORIZACION"/>
    <n v="2020130010241"/>
    <s v="07. PILAR CARTAGENA RESILIENTE"/>
    <s v="7.3 LÍNEA ESTRATÉGICA DESARROLLO URBANO"/>
    <s v="7.3.3 CARTAGENA CIUDAD DE BORDES Y ORILLAS RESILIENTE "/>
    <s v="2,3,3207,0900,2020130010241"/>
    <s v="001"/>
    <s v="1,2,1,0,00-001 - ICLD"/>
    <s v="INV"/>
    <s v="NO"/>
    <s v="CONSTRUCCION PROTECCION COSTERA DE CARTAGENA CIUDAD DE BORDES Y ORILLAS RESILIENTE  CARTAGENA DE INDIAS"/>
    <s v="2020130010241 CONSTRUCCION PROTECCION COSTERA DE CARTAGENA CIUDAD DE BORDES Y ORILLAS RESILIENTE  CARTAGENA DE INDIAS"/>
    <s v="06"/>
    <s v="00"/>
    <n v="43311592"/>
    <n v="85483428"/>
    <n v="128795020"/>
    <n v="128795020"/>
    <n v="0"/>
    <n v="128795020"/>
    <n v="100"/>
    <n v="38107000"/>
    <n v="29.59"/>
    <n v="0"/>
    <n v="38107000"/>
  </r>
  <r>
    <n v="2022"/>
    <n v="100"/>
    <x v="3"/>
    <s v="SECRETARIA DEL INTERIOR Y CONVIVENCIA CIUDADANAL"/>
    <s v="02 SECRETARIA DEL INTERIOR Y CONVIVENCIA CIUDADANAL"/>
    <n v="2020130010254"/>
    <s v="10. PILAR: CARTAGENA TRANSPARENTE"/>
    <s v="10.3 LÍNEA ESTRATÉGICA: CONVIVENCIA Y SEGURIDAD PARA LA GOBERNABILIDAD"/>
    <s v="10.3.1 PLAN INTEGRAL DE SEGURIDAD Y CONVIVENCIA CIUDADANA"/>
    <s v="2,3,4501,1000,2020130010254"/>
    <s v="856"/>
    <s v="1,3,3,4,01-95-040  RB CONTRIBUCION SOBRE CONTRATOS DE OBRA PUBLICA"/>
    <s v="INV"/>
    <s v="NO"/>
    <s v="FORTALECIMIENTO EN PARQUE AUTOMOTOR Y TECNOLOGIA PARA LA POLICIA METROPOLITANA DE   CARTAGENA DE INDIAS"/>
    <s v="2020130010254 FORTALECIMIENTO EN PARQUE AUTOMOTOR Y TECNOLOGIA PARA LA POLICIA METROPOLITANA DE   CARTAGENA DE INDIAS"/>
    <s v="06"/>
    <s v="00"/>
    <n v="0"/>
    <n v="210506121.09999999"/>
    <n v="210506121.09999999"/>
    <n v="200978295.69999999"/>
    <n v="9527825.4000000004"/>
    <n v="176331629.03"/>
    <n v="83.77"/>
    <n v="145881629.03"/>
    <n v="69.3"/>
    <n v="34174492.07"/>
    <n v="52153333.329999998"/>
  </r>
  <r>
    <n v="2022"/>
    <n v="100"/>
    <x v="3"/>
    <s v="SECRETARIA DEL INTERIOR Y CONVIVENCIA CIUDADANAL"/>
    <s v="02 SECRETARIA DEL INTERIOR Y CONVIVENCIA CIUDADANAL"/>
    <n v="2020130010254"/>
    <s v="10. PILAR: CARTAGENA TRANSPARENTE"/>
    <s v="10.3 LÍNEA ESTRATÉGICA: CONVIVENCIA Y SEGURIDAD PARA LA GOBERNABILIDAD"/>
    <s v="10.3.1 PLAN INTEGRAL DE SEGURIDAD Y CONVIVENCIA CIUDADANA"/>
    <s v="2,3,4501,1000,2020130010254"/>
    <s v="040"/>
    <s v="1,2,3,2,01-040 - CONTRIBUCION SOBRE CONTRATOS DE OBRA PUBLICA"/>
    <s v="INV"/>
    <s v="NO"/>
    <s v="FORTALECIMIENTO EN PARQUE AUTOMOTOR Y TECNOLOGIA PARA LA POLICIA METROPOLITANA DE   CARTAGENA DE INDIAS"/>
    <s v="2020130010254 FORTALECIMIENTO EN PARQUE AUTOMOTOR Y TECNOLOGIA PARA LA POLICIA METROPOLITANA DE   CARTAGENA DE INDIAS"/>
    <s v="06"/>
    <s v="00"/>
    <n v="1786572895"/>
    <n v="0"/>
    <n v="1786572895"/>
    <n v="1767144976"/>
    <n v="19427919"/>
    <n v="1455832808.05"/>
    <n v="81.489999999999995"/>
    <n v="1455832808.05"/>
    <n v="81.489999999999995"/>
    <n v="330740086.94999999"/>
    <n v="85800000"/>
  </r>
  <r>
    <n v="2022"/>
    <n v="100"/>
    <x v="7"/>
    <s v="SECRETARIA DE EDUCACION"/>
    <s v="07 SECRETARIA DE EDUCACION"/>
    <n v="2020130010256"/>
    <s v="08. PILAR CARTAGENA INCLUYENTE"/>
    <s v="8.2 LÍNEA ESTRATEGICA DE EDUCACION: CULTURA DE LA FORMACION &quot;CON LA EDUCACION PARA TODOS Y TODAS SALVAMOS JUNTOS A CARTAGENA&quot;"/>
    <s v="8.2.2 PROGRAMA: SABIDURÍA DE LA PRIMERA INFANCIA “GRANDES BANDERAS, GESTO E IDEAS PARA CAMBIAR EL PLANETA”"/>
    <s v="2,3,2201,0700,2020130010256"/>
    <s v="001"/>
    <s v="1,2,1,0,00-001 - ICLD"/>
    <s v="INV"/>
    <s v="NO"/>
    <s v="IMPLEMENTACION DE LA ESTRATEGIA SENDERO DE LA CREATIVIDAD: TRANSITO ARMONICO DE EDUCACION INICIAL A PREESCOLAR EN EL MARCO DEL PROGRAMA SABIDURIA DE LA PRIMERA INFANCIA  EN  CARTAGENA DE INDIAS"/>
    <s v="2020130010256 IMPLEMENTACION DE LA ESTRATEGIA SENDERO DE LA CREATIVIDAD: TRANSITO ARMONICO DE EDUCACION INICIAL A PREESCOLAR EN EL MARCO DEL PROGRAMA SABIDURIA DE LA PRIMERA INFANCIA  EN  CARTAGENA DE INDIAS"/>
    <s v="06"/>
    <s v="00"/>
    <n v="176686273.12"/>
    <n v="-10912650"/>
    <n v="165773623.12"/>
    <n v="163672541"/>
    <n v="2101082.12"/>
    <n v="163672541"/>
    <n v="98.73"/>
    <n v="162130800"/>
    <n v="97.8"/>
    <n v="2101082.12"/>
    <n v="162130800"/>
  </r>
  <r>
    <n v="2022"/>
    <n v="100"/>
    <x v="7"/>
    <s v="SECRETARIA DE EDUCACION"/>
    <s v="07 SECRETARIA DE EDUCACION"/>
    <n v="2020130010257"/>
    <s v="08. PILAR CARTAGENA INCLUYENTE"/>
    <s v="8.2 LÍNEA ESTRATEGICA DE EDUCACION: CULTURA DE LA FORMACION &quot;CON LA EDUCACION PARA TODOS Y TODAS SALVAMOS JUNTOS A CARTAGENA&quot;"/>
    <s v="8.2.3 PROGRAMA: FORMANDO CON AMOR “GENIO SINGULAR”"/>
    <s v="2,3,2201,0700,2020130010257"/>
    <s v="001"/>
    <s v="1,2,1,0,00-001 - ICLD"/>
    <s v="INV"/>
    <s v="NO"/>
    <s v="FORTALECIMIENTO DE LAS PRACTICAS ETNOEDUCATIVAS EN INSTITUCIONES EDUCATIVAS OFICIALES  DEL DISTRITO   CARTAGENA DE INDIAS"/>
    <s v="2020130010257 FORTALECIMIENTO DE LAS PRACTICAS ETNOEDUCATIVAS EN INSTITUCIONES EDUCATIVAS OFICIALES  DEL DISTRITO   CARTAGENA DE INDIAS"/>
    <s v="06"/>
    <s v="00"/>
    <n v="82500000"/>
    <n v="0"/>
    <n v="82500000"/>
    <n v="81800000"/>
    <n v="700000"/>
    <n v="81800000"/>
    <n v="99.15"/>
    <n v="78000000"/>
    <n v="94.55"/>
    <n v="700000"/>
    <n v="78000000"/>
  </r>
  <r>
    <n v="2022"/>
    <n v="100"/>
    <x v="7"/>
    <s v="SECRETARIA DE EDUCACION"/>
    <s v="07 SECRETARIA DE EDUCACION"/>
    <n v="2020130010268"/>
    <s v="08. PILAR CARTAGENA INCLUYENTE"/>
    <s v="8.2 LÍNEA ESTRATEGICA DE EDUCACION: CULTURA DE LA FORMACION &quot;CON LA EDUCACION PARA TODOS Y TODAS SALVAMOS JUNTOS A CARTAGENA&quot;"/>
    <s v="8.2.7 PROGRAMA: EDUCACIÓN PARA TRANSFORMAR “EDUCACIÓN MEDIA TÉCNICA Y SUPERIOR”"/>
    <s v="2,3,2202,0700,2020130010268"/>
    <s v="831"/>
    <s v="1,3,3,2,00-93-056 RECURSOS DEL BALANCE DE DESTINACION ESPECIFICA POR ACTO ADMINISTRATIVO FONDO BICENTENARIO"/>
    <s v="INV"/>
    <s v="NO"/>
    <s v="CONSOLIDACION DE BECAS UNIVERSITARIAS PARA EGRESADOS DE LAS INSTITUCIONES EDUCATIVAS OFICIALES DE  CARTAGENA DE INDIAS"/>
    <s v="2020130010268 CONSOLIDACION DE BECAS UNIVERSITARIAS PARA EGRESADOS DE LAS INSTITUCIONES EDUCATIVAS OFICIALES DE  CARTAGENA DE INDIAS"/>
    <s v="06"/>
    <s v="00"/>
    <n v="0"/>
    <n v="4155811781.6300001"/>
    <n v="4155811781.6300001"/>
    <n v="4155811781"/>
    <n v="0.63"/>
    <n v="4155811781"/>
    <n v="100"/>
    <n v="0"/>
    <n v="0"/>
    <n v="0.63"/>
    <n v="0"/>
  </r>
  <r>
    <n v="2022"/>
    <n v="100"/>
    <x v="7"/>
    <s v="SECRETARIA DE EDUCACION"/>
    <s v="07 SECRETARIA DE EDUCACION"/>
    <n v="2020130010268"/>
    <s v="08. PILAR CARTAGENA INCLUYENTE"/>
    <s v="8.2 LÍNEA ESTRATEGICA DE EDUCACION: CULTURA DE LA FORMACION &quot;CON LA EDUCACION PARA TODOS Y TODAS SALVAMOS JUNTOS A CARTAGENA&quot;"/>
    <s v="8.2.7 PROGRAMA: EDUCACIÓN PARA TRANSFORMAR “EDUCACIÓN MEDIA TÉCNICA Y SUPERIOR”"/>
    <s v="2,3,2202,0700,2020130010268"/>
    <s v="839"/>
    <s v="1,3,3,2,00-95-056 RECURSOS DEL BALANCE DE DESTINACION ESPECIFICA POR ACTO ADMINISTRATIVO FONDO BICENTENARIO"/>
    <s v="INV"/>
    <s v="NO"/>
    <s v="CONSOLIDACION DE BECAS UNIVERSITARIAS PARA EGRESADOS DE LAS INSTITUCIONES EDUCATIVAS OFICIALES DE CARTAGENA DE INDIAS"/>
    <s v="2020130010268 CONSOLIDACION DE BECAS UNIVERSITARIAS PARA EGRESADOS DE LAS INSTITUCIONES EDUCATIVAS OFICIALES DE CARTAGENA DE INDIAS"/>
    <s v="06"/>
    <s v="00"/>
    <n v="0"/>
    <n v="712273642"/>
    <n v="712273642"/>
    <n v="712273642"/>
    <n v="0"/>
    <n v="712273642"/>
    <n v="100"/>
    <n v="0"/>
    <n v="0"/>
    <n v="0"/>
    <n v="0"/>
  </r>
  <r>
    <n v="2022"/>
    <n v="100"/>
    <x v="7"/>
    <s v="SECRETARIA DE EDUCACION"/>
    <s v="07 SECRETARIA DE EDUCACION"/>
    <n v="2020130010268"/>
    <s v="08. PILAR CARTAGENA INCLUYENTE"/>
    <s v="8.2 LÍNEA ESTRATEGICA DE EDUCACION: CULTURA DE LA FORMACION &quot;CON LA EDUCACION PARA TODOS Y TODAS SALVAMOS JUNTOS A CARTAGENA&quot;"/>
    <s v="8.2.7 PROGRAMA: EDUCACIÓN PARA TRANSFORMAR “EDUCACIÓN MEDIA TÉCNICA Y SUPERIOR”"/>
    <s v="2,3,2202,0700,2020130010268"/>
    <s v="056"/>
    <s v="1,2,2,0,00-056 - ICDE FONDO BICENTENARIO 3% ICA"/>
    <s v="INV"/>
    <s v="NO"/>
    <s v="CONSOLIDACION DE BECAS UNIVERSITARIAS PARA EGRESADOS DE LAS INSTITUCIONES EDUCATIVAS  OFICIALES  DE  CARTAGENA DE INDIAS"/>
    <s v="2020130010268 CONSOLIDACION DE BECAS UNIVERSITARIAS PARA EGRESADOS DE LAS INSTITUCIONES EDUCATIVAS  OFICIALES  DE  CARTAGENA DE INDIAS"/>
    <s v="06"/>
    <s v="00"/>
    <n v="9369087428"/>
    <n v="2961691538"/>
    <n v="12330778966"/>
    <n v="12330778965.629999"/>
    <n v="0.37"/>
    <n v="12330778965.629999"/>
    <n v="100"/>
    <n v="4700146854"/>
    <n v="38.119999999999997"/>
    <n v="0.37"/>
    <n v="4700146854"/>
  </r>
  <r>
    <n v="2022"/>
    <n v="100"/>
    <x v="7"/>
    <s v="SECRETARIA DE EDUCACION"/>
    <s v="07 SECRETARIA DE EDUCACION"/>
    <n v="2020130010268"/>
    <s v="08. PILAR CARTAGENA INCLUYENTE"/>
    <s v="8.2 LÍNEA ESTRATEGICA DE EDUCACION: CULTURA DE LA FORMACION &quot;CON LA EDUCACION PARA TODOS Y TODAS SALVAMOS JUNTOS A CARTAGENA&quot;"/>
    <s v="8.2.7 PROGRAMA: EDUCACIÓN PARA TRANSFORMAR “EDUCACIÓN MEDIA TÉCNICA Y SUPERIOR”"/>
    <s v="2,3,2202,0700,2020130010268"/>
    <s v="001"/>
    <s v="1,2,1,0,00-001 - ICLD"/>
    <s v="INV"/>
    <s v="NO"/>
    <s v="CONSOLIDACION DE BECAS UNIVERSITARIAS PARA EGRESADOS DE LAS INSTITUCIONES EDUCATIVAS  OFICIALES  DE  CARTAGENA DE INDIAS"/>
    <s v="2020130010268 CONSOLIDACION DE BECAS UNIVERSITARIAS PARA EGRESADOS DE LAS INSTITUCIONES EDUCATIVAS  OFICIALES  DE  CARTAGENA DE INDIAS"/>
    <s v="06"/>
    <s v="00"/>
    <n v="44000000"/>
    <n v="-44000000"/>
    <n v="0"/>
    <n v="0"/>
    <n v="0"/>
    <n v="0"/>
    <n v="0"/>
    <n v="0"/>
    <n v="0"/>
    <n v="0"/>
    <n v="0"/>
  </r>
  <r>
    <n v="2022"/>
    <n v="100"/>
    <x v="7"/>
    <s v="SECRETARIA DE EDUCACION"/>
    <s v="07 SECRETARIA DE EDUCACION"/>
    <n v="2020130010270"/>
    <s v="08. PILAR CARTAGENA INCLUYENTE"/>
    <s v="8.2 LÍNEA ESTRATEGICA DE EDUCACION: CULTURA DE LA FORMACION &quot;CON LA EDUCACION PARA TODOS Y TODAS SALVAMOS JUNTOS A CARTAGENA&quot;"/>
    <s v="8.2.2 PROGRAMA: SABIDURÍA DE LA PRIMERA INFANCIA “GRANDES BANDERAS, GESTO E IDEAS PARA CAMBIAR EL PLANETA”"/>
    <s v="2,3,2201,0700,2020130010270"/>
    <s v="001"/>
    <s v="1,2,1,0,00-001 - ICLD"/>
    <s v="INV"/>
    <s v="NO"/>
    <s v="IMPLEMENTACION DE LA ESTRATEGIA DESCUBRIENDO EL MUNDO: UNA ESCUELA QUE ACOGE LA PRIMERA INFANCIA EN EL MARCO DEL PROGRAMA SABIDURIA DE LA PRIMERA INFANCIA EN  CARTAGENA DE INDIAS"/>
    <s v="2020130010270 IMPLEMENTACION DE LA ESTRATEGIA DESCUBRIENDO EL MUNDO: UNA ESCUELA QUE ACOGE LA PRIMERA INFANCIA EN EL MARCO DEL PROGRAMA SABIDURIA DE LA PRIMERA INFANCIA EN  CARTAGENA DE INDIAS"/>
    <s v="06"/>
    <s v="00"/>
    <n v="315511202"/>
    <n v="0"/>
    <n v="315511202"/>
    <n v="315511202"/>
    <n v="0"/>
    <n v="312817644.83999997"/>
    <n v="99.15"/>
    <n v="171511775"/>
    <n v="54.36"/>
    <n v="2693557.16"/>
    <n v="171511775"/>
  </r>
  <r>
    <n v="2022"/>
    <n v="100"/>
    <x v="3"/>
    <s v="SECRETARIA DEL INTERIOR Y CONVIVENCIA CIUDADANAL"/>
    <s v="02 SECRETARIA DEL INTERIOR Y CONVIVENCIA CIUDADANAL"/>
    <n v="2020130010272"/>
    <s v="10. PILAR: CARTAGENA TRANSPARENTE"/>
    <s v="10.3 LÍNEA ESTRATÉGICA: CONVIVENCIA Y SEGURIDAD PARA LA GOBERNABILIDAD"/>
    <s v="10.3.1 PLAN INTEGRAL DE SEGURIDAD Y CONVIVENCIA CIUDADANA"/>
    <s v="2,3,4501,1000,2020130010272"/>
    <s v="856"/>
    <s v="1,3,3,4,01-95-040  RB CONTRIBUCION SOBRE CONTRATOS DE OBRA PUBLICA"/>
    <s v="INV"/>
    <s v="NO"/>
    <s v="FORTALECIMIENTO DE LAS CAPACIDADES OPERATIVAS DE LA ARMADA NACIONAL PARA LA OPORTUNA ASISTENCIA MILITAR E INCREMENTO DE LA PROTECCION Y SEGURIDAD CIUDADANA EN EL DISTRITO DE   CARTAGENA DE INDIAS"/>
    <s v="2020130010272 FORTALECIMIENTO DE LAS CAPACIDADES OPERATIVAS DE LA ARMADA NACIONAL PARA LA OPORTUNA ASISTENCIA MILITAR E INCREMENTO DE LA PROTECCION Y SEGURIDAD CIUDADANA EN EL DISTRITO DE   CARTAGENA DE INDIAS"/>
    <s v="06"/>
    <s v="00"/>
    <n v="0"/>
    <n v="2122307508.77"/>
    <n v="2122307508.77"/>
    <n v="986033717.19000006"/>
    <n v="1136273791.5799999"/>
    <n v="886401996"/>
    <n v="41.77"/>
    <n v="644801996"/>
    <n v="30.38"/>
    <n v="1235905512.77"/>
    <n v="0"/>
  </r>
  <r>
    <n v="2022"/>
    <n v="100"/>
    <x v="3"/>
    <s v="SECRETARIA DEL INTERIOR Y CONVIVENCIA CIUDADANAL"/>
    <s v="02 SECRETARIA DEL INTERIOR Y CONVIVENCIA CIUDADANAL"/>
    <n v="2020130010272"/>
    <s v="10. PILAR: CARTAGENA TRANSPARENTE"/>
    <s v="10.3 LÍNEA ESTRATÉGICA: CONVIVENCIA Y SEGURIDAD PARA LA GOBERNABILIDAD"/>
    <s v="10.3.1 PLAN INTEGRAL DE SEGURIDAD Y CONVIVENCIA CIUDADANA"/>
    <s v="2,3,4501,1000,2020130010272"/>
    <s v="174"/>
    <s v="1,3,2,1,02-174 - RF CONTRIBUCION DE OBRAS PUBLICAS"/>
    <s v="INV"/>
    <s v="NO"/>
    <s v="FORTALECIMIENTO DE LAS CAPACIDADES OPERATIVAS DE LA ARMADA NACIONAL PARA LA OPORTUNA ASISTENCIA MILITAR E INCREMENTO DE LA PROTECCION Y SEGURIDAD CIUDADANA EN EL DISTRITO DE   CARTAGENA DE INDIAS"/>
    <s v="2020130010272 FORTALECIMIENTO DE LAS CAPACIDADES OPERATIVAS DE LA ARMADA NACIONAL PARA LA OPORTUNA ASISTENCIA MILITAR E INCREMENTO DE LA PROTECCION Y SEGURIDAD CIUDADANA EN EL DISTRITO DE   CARTAGENA DE INDIAS"/>
    <s v="06"/>
    <s v="00"/>
    <n v="1"/>
    <n v="0"/>
    <n v="1"/>
    <n v="0"/>
    <n v="1"/>
    <n v="0"/>
    <n v="0"/>
    <n v="0"/>
    <n v="0"/>
    <n v="1"/>
    <n v="0"/>
  </r>
  <r>
    <n v="2022"/>
    <n v="100"/>
    <x v="3"/>
    <s v="SECRETARIA DEL INTERIOR Y CONVIVENCIA CIUDADANAL"/>
    <s v="02 SECRETARIA DEL INTERIOR Y CONVIVENCIA CIUDADANAL"/>
    <n v="2020130010272"/>
    <s v="10. PILAR: CARTAGENA TRANSPARENTE"/>
    <s v="10.3 LÍNEA ESTRATÉGICA: CONVIVENCIA Y SEGURIDAD PARA LA GOBERNABILIDAD"/>
    <s v="10.3.1 PLAN INTEGRAL DE SEGURIDAD Y CONVIVENCIA CIUDADANA"/>
    <s v="2,3,4501,1000,2020130010272"/>
    <s v="040"/>
    <s v="1,2,3,2,01-040 - CONTRIBUCION SOBRE CONTRATOS DE OBRA PUBLICA"/>
    <s v="INV"/>
    <s v="NO"/>
    <s v="FORTALECIMIENTO DE LAS CAPACIDADES OPERATIVAS DE LA ARMADA NACIONAL PARA LA OPORTUNA ASISTENCIA MILITAR E INCREMENTO DE LA PROTECCION Y SEGURIDAD CIUDADANA EN EL DISTRITO DE   CARTAGENA DE INDIAS"/>
    <s v="2020130010272 FORTALECIMIENTO DE LAS CAPACIDADES OPERATIVAS DE LA ARMADA NACIONAL PARA LA OPORTUNA ASISTENCIA MILITAR E INCREMENTO DE LA PROTECCION Y SEGURIDAD CIUDADANA EN EL DISTRITO DE   CARTAGENA DE INDIAS"/>
    <s v="06"/>
    <s v="00"/>
    <n v="1463476709"/>
    <n v="0"/>
    <n v="1463476709"/>
    <n v="1162809547.24"/>
    <n v="300667161.75999999"/>
    <n v="1073258767.6"/>
    <n v="73.34"/>
    <n v="955441161"/>
    <n v="65.290000000000006"/>
    <n v="390217941.39999998"/>
    <n v="282999998"/>
  </r>
  <r>
    <n v="2022"/>
    <n v="100"/>
    <x v="13"/>
    <s v="SECRETARIA GENERAL"/>
    <s v="05 SECRETARIA GENERAL"/>
    <n v="2020130010277"/>
    <s v="10. PILAR: CARTAGENA TRANSPARENTE"/>
    <s v="10.1 LÍNEA ESTRATÉGICA GESTIÓN Y DESEMPEÑO INSTITUCIONAL PARA LA GOBERNANZA"/>
    <s v="10.1.1 PROGRAMA: GESTIÓN PÚBLICA INTEGRADA Y TRANSPARENTE"/>
    <s v="2,3,4599,1000,2020130010277"/>
    <s v="001"/>
    <s v="1,2,1,0,00-001 - ICLD"/>
    <s v="INV"/>
    <s v="NO"/>
    <s v="INTEGRACION DEL SISTEMA DE GESTION DE LA CALIDAD Y EL SERVICIO AL CIUDADANO PARA LA IMPLEMENTACION DEL MODELO INTEGRADO DE PLANEACION Y GESTION EN LA SECRETARIA GENERAL -TG+ CARTAGENA DE INDIAS"/>
    <s v="2020130010277 INTEGRACION DEL SISTEMA DE GESTION DE LA CALIDAD Y EL SERVICIO AL CIUDADANO PARA LA IMPLEMENTACION DEL MODELO INTEGRADO DE PLANEACION Y GESTION EN LA SECRETARIA GENERAL -TG+ CARTAGENA DE INDIAS"/>
    <s v="06"/>
    <s v="00"/>
    <n v="400000000"/>
    <n v="-158382653.59999999"/>
    <n v="241617346.40000001"/>
    <n v="241617346.40000001"/>
    <n v="0"/>
    <n v="198516666"/>
    <n v="82.16"/>
    <n v="198516666"/>
    <n v="82.16"/>
    <n v="43100680.399999999"/>
    <n v="193150000"/>
  </r>
  <r>
    <n v="2022"/>
    <n v="100"/>
    <x v="13"/>
    <s v="SECRETARIA GENERAL"/>
    <s v="05 SECRETARIA GENERAL"/>
    <n v="2020130010292"/>
    <s v="07. PILAR CARTAGENA RESILIENTE"/>
    <s v="7.6 LÍNEA ESTRATÉGICA SERVICIOS PÚBLICOS BÁSICOS DEL DISTRITO DE CARTAGENA DE INDIAS: “TODOS CON TODO”"/>
    <s v="7.6.1 DE AHORRO Y USO EFICIENTE DE LOS SERVICIOS PÚBLICOS, &quot;AGUA Y SANEAMIENTO BÁSICO PARA TODOS&quot;"/>
    <s v="2,3,3202,0900,2020130010292"/>
    <s v="001"/>
    <s v="1,2,1,0,00-001 - ICLD"/>
    <s v="INV"/>
    <s v="NO"/>
    <s v="ACTUALIZACION  PLAN DE SANEAMIENTO Y MANEJO DE VERTIMIENTOS PSMV ETV+  CARTAGENA DE INDIAS"/>
    <s v="2020130010292 ACTUALIZACION  PLAN DE SANEAMIENTO Y MANEJO DE VERTIMIENTOS PSMV ETV+  CARTAGENA DE INDIAS"/>
    <s v="06"/>
    <s v="00"/>
    <n v="1"/>
    <n v="0"/>
    <n v="1"/>
    <n v="0"/>
    <n v="1"/>
    <n v="0"/>
    <n v="0"/>
    <n v="0"/>
    <n v="0"/>
    <n v="1"/>
    <n v="0"/>
  </r>
  <r>
    <n v="2022"/>
    <n v="100"/>
    <x v="14"/>
    <s v="SECRETARIA DE HACIENDA PUBLICA"/>
    <s v="03 SECRETARIA DE HACIENDA PUBLICA"/>
    <n v="2020130010296"/>
    <s v="09. PILAR CARTAGENA CONTINGENTE"/>
    <s v="9.1 LÍNEA ESTRATÉGICA: DESARROLLO ECONÓMICO Y EMPLEABILIDAD"/>
    <s v="9.1.5 PROGRAMA: CARTAGENA FACILITA EL EMPRENDIMIENTO"/>
    <s v="2,3,3602,1300,2020130010296"/>
    <s v="813"/>
    <s v="1,3,3,11,03-93-138 R,B, DIVIDENDOS SOCIEDAD PORTUARIA"/>
    <s v="INV"/>
    <s v="NO"/>
    <s v="IMPLEMENTACION DEL CENTRO DE FOMENTO AL EMPRENDIMIENTO Y A LA EMPLEABILIDAD PARA UNA CARTAGENA DE INDIAS INCLUSIVA Y MAS COMPETITIVA EN  CARTAGENA DE INDIAS"/>
    <s v="2020130010296 IMPLEMENTACION DEL CENTRO DE FOMENTO AL EMPRENDIMIENTO Y A LA EMPLEABILIDAD PARA UNA CARTAGENA DE INDIAS INCLUSIVA Y MAS COMPETITIVA EN  CARTAGENA DE INDIAS"/>
    <s v="06"/>
    <s v="00"/>
    <n v="0"/>
    <n v="500000000"/>
    <n v="500000000"/>
    <n v="500000000"/>
    <n v="0"/>
    <n v="6024000"/>
    <n v="1.2"/>
    <n v="5964000"/>
    <n v="1.19"/>
    <n v="493976000"/>
    <n v="5964000"/>
  </r>
  <r>
    <n v="2022"/>
    <n v="100"/>
    <x v="14"/>
    <s v="SECRETARIA DE HACIENDA PUBLICA"/>
    <s v="03 SECRETARIA DE HACIENDA PUBLICA"/>
    <n v="2020130010296"/>
    <s v="09. PILAR CARTAGENA CONTINGENTE"/>
    <s v="9.1 LÍNEA ESTRATÉGICA: DESARROLLO ECONÓMICO Y EMPLEABILIDAD"/>
    <s v="9.1.5 PROGRAMA: CARTAGENA FACILITA EL EMPRENDIMIENTO"/>
    <s v="2,3,3602,1300,2020130010296"/>
    <s v="001"/>
    <s v="1,2,1,0,00-001 - ICLD"/>
    <s v="INV"/>
    <s v="NO"/>
    <s v="IMPLEMENTACION DEL CENTRO DE FOMENTO AL EMPRENDIMIENTO Y A LA EMPLEABILIDAD PARA UNA CARTAGENA DE INDIAS INCLUSIVA Y MAS COMPETITIVA EN  CARTAGENA DE INDIAS"/>
    <s v="2020130010296 IMPLEMENTACION DEL CENTRO DE FOMENTO AL EMPRENDIMIENTO Y A LA EMPLEABILIDAD PARA UNA CARTAGENA DE INDIAS INCLUSIVA Y MAS COMPETITIVA EN  CARTAGENA DE INDIAS"/>
    <s v="06"/>
    <s v="00"/>
    <n v="4902189566"/>
    <n v="-4700000000"/>
    <n v="202189566"/>
    <n v="202184000"/>
    <n v="5566"/>
    <n v="41184000"/>
    <n v="20.37"/>
    <n v="41184000"/>
    <n v="20.37"/>
    <n v="161005566"/>
    <n v="41184000"/>
  </r>
  <r>
    <n v="2022"/>
    <n v="100"/>
    <x v="14"/>
    <s v="SECRETARIA DE HACIENDA PUBLICA"/>
    <s v="03 SECRETARIA DE HACIENDA PUBLICA"/>
    <n v="2020130010297"/>
    <s v="09. PILAR CARTAGENA CONTINGENTE"/>
    <s v="9.2 LÍNEA ESTRATÉGICA: COMPETITIVIDAD E INNOVACIÓN"/>
    <s v="9.2.1 PROGRAMA: CARTAGENA CIUDAD INNOVADORA"/>
    <s v="2,3,3602,1300,2020130010297"/>
    <s v="813"/>
    <s v="1,3,3,11,03-93-138 R,B, DIVIDENDOS SOCIEDAD PORTUARIA"/>
    <s v="INV"/>
    <s v="NO"/>
    <s v="IMPLEMENTACION DE ESTRATEGIAS DE ARTICULACION ENTRE ACTORES E INICIATIVAS PARA EL IMPULSO DE UNA CULTURA DE LA INNOVACION EN CARTAGENA DE INDIAS"/>
    <s v="2020130010297 IMPLEMENTACION DE ESTRATEGIAS DE ARTICULACION ENTRE ACTORES E INICIATIVAS PARA EL IMPULSO DE UNA CULTURA DE LA INNOVACION EN CARTAGENA DE INDIAS"/>
    <s v="06"/>
    <s v="00"/>
    <n v="0"/>
    <n v="1000000000"/>
    <n v="1000000000"/>
    <n v="6206667"/>
    <n v="993793333"/>
    <n v="0"/>
    <n v="0"/>
    <n v="0"/>
    <n v="0"/>
    <n v="1000000000"/>
    <n v="0"/>
  </r>
  <r>
    <n v="2022"/>
    <n v="100"/>
    <x v="14"/>
    <s v="SECRETARIA DE HACIENDA PUBLICA"/>
    <s v="03 SECRETARIA DE HACIENDA PUBLICA"/>
    <n v="2020130010297"/>
    <s v="09. PILAR CARTAGENA CONTINGENTE"/>
    <s v="9.2 LÍNEA ESTRATÉGICA: COMPETITIVIDAD E INNOVACIÓN"/>
    <s v="9.2.1 PROGRAMA: CARTAGENA CIUDAD INNOVADORA"/>
    <s v="2,3,3602,1300,2020130010297"/>
    <s v="001"/>
    <s v="1,2,1,0,00-001 - ICLD"/>
    <s v="INV"/>
    <s v="NO"/>
    <s v="IMPLEMENTACION DE ESTRATEGIAS DE ARTICULACION ENTRE ACTORES E INICIATIVAS PARA EL IMPULSO DE UNA CULTURA DE LA INNOVACION EN  CARTAGENA DE INDIAS"/>
    <s v="2020130010297 IMPLEMENTACION DE ESTRATEGIAS DE ARTICULACION ENTRE ACTORES E INICIATIVAS PARA EL IMPULSO DE UNA CULTURA DE LA INNOVACION EN  CARTAGENA DE INDIAS"/>
    <s v="06"/>
    <s v="00"/>
    <n v="451094783"/>
    <n v="-200000000"/>
    <n v="251094783"/>
    <n v="246194783"/>
    <n v="4900000"/>
    <n v="244994783"/>
    <n v="97.57"/>
    <n v="244994783"/>
    <n v="97.57"/>
    <n v="6100000"/>
    <n v="106958435"/>
  </r>
  <r>
    <n v="2022"/>
    <n v="100"/>
    <x v="15"/>
    <s v="SECRETARIA DE PLANEACION"/>
    <s v="09 SECRETARIA DE PLANEACION"/>
    <n v="2020130010300"/>
    <s v="07. PILAR CARTAGENA RESILIENTE"/>
    <s v="7.7 LÍNEA ESTRATÉGICA INSTRUMENTOS DE ORDENAMIENTO TERRITORIAL."/>
    <s v="7.7.1 PLAN DE ORDENAMIENTO TERRITORIAL Y ESPECIAL DE MANEJO DE PATRIMONIO."/>
    <s v="2,3,0401,1003,2020130010300"/>
    <s v="001"/>
    <s v="1,2,1,0,00-001 - ICLD"/>
    <s v="INV"/>
    <s v="NO"/>
    <s v="IMPLEMENTACION OBSERVATORIO DE DINAMICAS URBANAS Y SOCIALES DE CARTAGENA DE INDIAS TG+  CARTAGENA DE INDIAS"/>
    <s v="2020130010300 IMPLEMENTACION OBSERVATORIO DE DINAMICAS URBANAS Y SOCIALES DE CARTAGENA DE INDIAS TG+  CARTAGENA DE INDIAS"/>
    <s v="06"/>
    <s v="00"/>
    <n v="556000000"/>
    <n v="-248000000"/>
    <n v="308000000"/>
    <n v="259600000"/>
    <n v="48400000"/>
    <n v="259600000"/>
    <n v="84.29"/>
    <n v="253600000"/>
    <n v="82.34"/>
    <n v="48400000"/>
    <n v="253600000"/>
  </r>
  <r>
    <n v="2022"/>
    <n v="100"/>
    <x v="3"/>
    <s v="SECRETARIA DEL INTERIOR Y CONVIVENCIA CIUDADANAL"/>
    <s v="02 SECRETARIA DEL INTERIOR Y CONVIVENCIA CIUDADANAL"/>
    <n v="2020130010304"/>
    <s v="10. PILAR: CARTAGENA TRANSPARENTE"/>
    <s v="10.3 LÍNEA ESTRATÉGICA: CONVIVENCIA Y SEGURIDAD PARA LA GOBERNABILIDAD"/>
    <s v="10.3.1 PLAN INTEGRAL DE SEGURIDAD Y CONVIVENCIA CIUDADANA"/>
    <s v="2,3,4501,1000,2020130010304"/>
    <s v="856"/>
    <s v="1,3,3,4,01-95-040  RB CONTRIBUCION SOBRE CONTRATOS DE OBRA PUBLICA"/>
    <s v="INV"/>
    <s v="NO"/>
    <s v="MEJORAMIENTO DE LA SEDE DE LA FISCALIA GENERAL DE LA NACION UBICADA EN EL BARRIO CRESPO CALLE 66 4 -86 EDIFICIO HOCOL PISOS 1 Y 2 DEL DISTRITO DE CARTAGENA DE INDIAS"/>
    <s v="2020130010304 MEJORAMIENTO DE LA SEDE DE LA FISCALIA GENERAL DE LA NACION UBICADA EN EL BARRIO CRESPO CALLE 66 4 -86 EDIFICIO HOCOL PISOS 1 Y 2 DEL DISTRITO DE CARTAGENA DE INDIAS"/>
    <s v="06"/>
    <s v="00"/>
    <n v="0"/>
    <n v="1912307508.77"/>
    <n v="1912307508.77"/>
    <n v="1855036590.3299999"/>
    <n v="57270918.439999998"/>
    <n v="0"/>
    <n v="0"/>
    <n v="0"/>
    <n v="0"/>
    <n v="1912307508.77"/>
    <n v="0"/>
  </r>
  <r>
    <n v="2022"/>
    <n v="100"/>
    <x v="3"/>
    <s v="SECRETARIA DEL INTERIOR Y CONVIVENCIA CIUDADANAL"/>
    <s v="02 SECRETARIA DEL INTERIOR Y CONVIVENCIA CIUDADANAL"/>
    <n v="2020130010304"/>
    <s v="10. PILAR: CARTAGENA TRANSPARENTE"/>
    <s v="10.3 LÍNEA ESTRATÉGICA: CONVIVENCIA Y SEGURIDAD PARA LA GOBERNABILIDAD"/>
    <s v="10.3.1 PLAN INTEGRAL DE SEGURIDAD Y CONVIVENCIA CIUDADANA"/>
    <s v="2,3,4501,1000,2020130010304"/>
    <s v="040"/>
    <s v="1,2,3,2,01-040 - CONTRIBUCION SOBRE CONTRATOS DE OBRA PUBLICA"/>
    <s v="INV"/>
    <s v="NO"/>
    <s v="MEJORAMIENTO DE LA SEDE DE LA FISCALIA GENERAL DE LA NACION UBICADA EN EL BARRIO CRESPO CALLE 66 4 -86 EDIFICIO HOCOL PISOS 1 Y 2 DEL DISTRITO DE CARTAGENA DE INDIAS"/>
    <s v="2020130010304 MEJORAMIENTO DE LA SEDE DE LA FISCALIA GENERAL DE LA NACION UBICADA EN EL BARRIO CRESPO CALLE 66 4 -86 EDIFICIO HOCOL PISOS 1 Y 2 DEL DISTRITO DE CARTAGENA DE INDIAS"/>
    <s v="06"/>
    <s v="00"/>
    <n v="1500000000"/>
    <n v="0"/>
    <n v="1500000000"/>
    <n v="0"/>
    <n v="1500000000"/>
    <n v="0"/>
    <n v="0"/>
    <n v="0"/>
    <n v="0"/>
    <n v="1500000000"/>
    <n v="0"/>
  </r>
  <r>
    <n v="2022"/>
    <n v="100"/>
    <x v="10"/>
    <s v="FONDO DE VIVIENDA DE INTERES SOCIAL Y REFORMA URBANA"/>
    <s v="16 FONDO DE VIVIENDA DE INTERES SOCIAL Y REFORMA URBANA"/>
    <n v="2020130010306"/>
    <s v="07. PILAR CARTAGENA RESILIENTE"/>
    <s v="7.5 LÍNEA ESTRATÉGICA VIVIENDA PARA TODOS"/>
    <s v="7.5.5 MI CASA, MI ENTORNO, MI HABITAT    "/>
    <s v="2,3,4002,1400,2020130010306"/>
    <s v="039"/>
    <s v="1,2,2,0,00-039 - ICDE-CORVIVIENDA 15% IPU"/>
    <s v="INV"/>
    <s v="NO"/>
    <s v="ELABORACION DE ESTUDIOS SECTORIALES Y SEGUIMIENTO A LA LINEA ESTRATEGICA DE VIVIENDA A TRAVES DE UN OBSERVATORIO DE VIVIENDA DE INTERES SOCIAL DEL PROGRAMA MI CASA MI ENTORNO MI HABITAT DE LA CIUDAD DE CARTAGENA DE INDIAS"/>
    <s v="2020130010306 ELABORACION DE ESTUDIOS SECTORIALES Y SEGUIMIENTO A LA LINEA ESTRATEGICA DE VIVIENDA A TRAVES DE UN OBSERVATORIO DE VIVIENDA DE INTERES SOCIAL DEL PROGRAMA MI CASA MI ENTORNO MI HABITAT DE LA CIUDAD DE CARTAGENA DE INDIAS"/>
    <s v="06"/>
    <s v="00"/>
    <n v="190861993"/>
    <n v="0"/>
    <n v="190861993"/>
    <n v="152718000"/>
    <n v="38143993"/>
    <n v="152718000"/>
    <n v="80.010000000000005"/>
    <n v="152718000"/>
    <n v="80.010000000000005"/>
    <n v="38143993"/>
    <n v="152718000"/>
  </r>
  <r>
    <n v="2022"/>
    <n v="100"/>
    <x v="10"/>
    <s v="FONDO DE VIVIENDA DE INTERES SOCIAL Y REFORMA URBANA"/>
    <s v="16 FONDO DE VIVIENDA DE INTERES SOCIAL Y REFORMA URBANA"/>
    <n v="2020130010307"/>
    <s v="07. PILAR CARTAGENA RESILIENTE"/>
    <s v="7.5 LÍNEA ESTRATÉGICA VIVIENDA PARA TODOS"/>
    <s v="7.5.5 MI CASA, MI ENTORNO, MI HABITAT    "/>
    <s v="2,3,4002,1400,2020130010307"/>
    <s v="039"/>
    <s v="1,2,2,0,00-039 - ICDE-CORVIVIENDA 15% IPU"/>
    <s v="INV"/>
    <s v="NO"/>
    <s v="ELABORACION DE ESTUDIOS PARA LA FORMULACION YO PARTICIPACION EN PLANES PARCIALES DEL PROGRAMA MI CASA MI ENTORNO MI HABITAT DE LA CIUDAD DE CARTAGENA DE INDIAS"/>
    <s v="2020130010307 ELABORACION DE ESTUDIOS PARA LA FORMULACION YO PARTICIPACION EN PLANES PARCIALES DEL PROGRAMA MI CASA MI ENTORNO MI HABITAT DE LA CIUDAD DE CARTAGENA DE INDIAS"/>
    <s v="06"/>
    <s v="00"/>
    <n v="81775793"/>
    <n v="0"/>
    <n v="81775793"/>
    <n v="72000000"/>
    <n v="9775793"/>
    <n v="72000000"/>
    <n v="88.05"/>
    <n v="72000000"/>
    <n v="88.05"/>
    <n v="9775793"/>
    <n v="72000000"/>
  </r>
  <r>
    <n v="2022"/>
    <n v="100"/>
    <x v="10"/>
    <s v="FONDO DE VIVIENDA DE INTERES SOCIAL Y REFORMA URBANA"/>
    <s v="16 FONDO DE VIVIENDA DE INTERES SOCIAL Y REFORMA URBANA"/>
    <n v="2020130010308"/>
    <s v="07. PILAR CARTAGENA RESILIENTE"/>
    <s v="7.5 LÍNEA ESTRATÉGICA VIVIENDA PARA TODOS"/>
    <s v="7.5.5 MI CASA, MI ENTORNO, MI HABITAT    "/>
    <s v="2,3,4002,1400,2020130010308"/>
    <s v="039"/>
    <s v="1,2,2,0,00-039 - ICDE-CORVIVIENDA 15% IPU"/>
    <s v="INV"/>
    <s v="NO"/>
    <s v="ELABORACION DE ESTUDIOS Y TRAMITES DE LEGALIZACION URBANISTICA DE BARRIOS DEL PROGRAMA MI CASA MI ENTORNO MI HABITAT DE LA CIUDAD DE CARTAGENA DE INDIAS"/>
    <s v="2020130010308 ELABORACION DE ESTUDIOS Y TRAMITES DE LEGALIZACION URBANISTICA DE BARRIOS DEL PROGRAMA MI CASA MI ENTORNO MI HABITAT DE LA CIUDAD DE CARTAGENA DE INDIAS"/>
    <s v="06"/>
    <s v="00"/>
    <n v="208000000"/>
    <n v="0"/>
    <n v="208000000"/>
    <n v="208000000"/>
    <n v="0"/>
    <n v="208000000"/>
    <n v="100"/>
    <n v="208000000"/>
    <n v="100"/>
    <n v="0"/>
    <n v="208000000"/>
  </r>
  <r>
    <n v="2022"/>
    <n v="100"/>
    <x v="10"/>
    <s v="FONDO DE VIVIENDA DE INTERES SOCIAL Y REFORMA URBANA"/>
    <s v="16 FONDO DE VIVIENDA DE INTERES SOCIAL Y REFORMA URBANA"/>
    <n v="2020130010308"/>
    <s v="07. PILAR CARTAGENA RESILIENTE"/>
    <s v="7.5 LÍNEA ESTRATÉGICA VIVIENDA PARA TODOS"/>
    <s v="7.5.5 MI CASA, MI ENTORNO, MI HABITAT    "/>
    <s v="2,3,4002,1400,2020130010308"/>
    <s v="837"/>
    <s v="1,3,3,2,00-95-039 R,B, ICDE-CORVIVIENDA 15% IPU"/>
    <s v="INV"/>
    <s v="NO"/>
    <s v="ELABORACION DE ESTUDIOS Y TRAMITES DE LEGALIZACION URBANISTICA DE BARRIOS DEL PROGRAMA MI CASA MI ENTORNO MI HABITAT DE LA CIUDAD DE CARTAGENA DE INDIAS"/>
    <s v="2020130010308 ELABORACION DE ESTUDIOS Y TRAMITES DE LEGALIZACION URBANISTICA DE BARRIOS DEL PROGRAMA MI CASA MI ENTORNO MI HABITAT DE LA CIUDAD DE CARTAGENA DE INDIAS"/>
    <s v="06"/>
    <s v="00"/>
    <n v="0"/>
    <n v="842000000"/>
    <n v="842000000"/>
    <n v="842000000"/>
    <n v="0"/>
    <n v="842000000"/>
    <n v="100"/>
    <n v="842000000"/>
    <n v="100"/>
    <n v="0"/>
    <n v="842000000"/>
  </r>
  <r>
    <n v="2022"/>
    <n v="100"/>
    <x v="7"/>
    <s v="SECRETARIA DE EDUCACION"/>
    <s v="07 SECRETARIA DE EDUCACION"/>
    <n v="2020130010309"/>
    <s v="08. PILAR CARTAGENA INCLUYENTE"/>
    <s v="8.2 LÍNEA ESTRATEGICA DE EDUCACION: CULTURA DE LA FORMACION &quot;CON LA EDUCACION PARA TODOS Y TODAS SALVAMOS JUNTOS A CARTAGENA&quot;"/>
    <s v="8.2.7 PROGRAMA: EDUCACIÓN PARA TRANSFORMAR “EDUCACIÓN MEDIA TÉCNICA Y SUPERIOR”"/>
    <s v="2,3,2202,0700,2020130010309"/>
    <s v="001"/>
    <s v="1,2,1,0,00-001 - ICLD"/>
    <s v="INV"/>
    <s v="NO"/>
    <s v="APOYO AL MEJORAMIENTO DE LAS COMPETENCIAS LABORALES DE LOS EGRESADOS DE LAS INSTITUCIONES EDUCATIVAS OFICIALES DE   CARTAGENA DE INDIAS"/>
    <s v="2020130010309 APOYO AL MEJORAMIENTO DE LAS COMPETENCIAS LABORALES DE LOS EGRESADOS DE LAS INSTITUCIONES EDUCATIVAS OFICIALES DE   CARTAGENA DE INDIAS"/>
    <s v="06"/>
    <s v="00"/>
    <n v="200000000"/>
    <n v="-200000000"/>
    <n v="0"/>
    <n v="0"/>
    <n v="0"/>
    <n v="0"/>
    <n v="0"/>
    <n v="0"/>
    <n v="0"/>
    <n v="0"/>
    <n v="0"/>
  </r>
  <r>
    <n v="2022"/>
    <n v="100"/>
    <x v="9"/>
    <s v="SECRETARIA DE PARTICIPACION Y DESARROLLO SOCIAL"/>
    <s v="08 SECRETARIA DE PARTICIPACION Y DESARROLLO SOCIAL"/>
    <n v="2020130010319"/>
    <s v="11. EJE TRANSVERSAL: CARTAGENA CON ATENCION Y GARANTIA DE DERECHOS A POBLACION DIFERENCIAL."/>
    <s v="11.5 LÍNEA ESTRATÉGICA EN CARTAGENA SALVAMOS NUESTROS ADULTOS MAYORES"/>
    <s v="11.5.1 PROGRAMA: ATENCION INTEGRAL PARA MANTENER A SALVO LOS ADULTOS MAYORES"/>
    <s v="2,3,4104,1500,2020130010319"/>
    <s v="088"/>
    <s v="1,2,3,1,19-088 - ESTAMPILLAS ADULTO MAYOR"/>
    <s v="INV"/>
    <s v="NO"/>
    <s v="APOYO PARA LA ATENCION INTEGRAL AL ADULTO MAYOR EN ESTADO DE ABANDONO MALTRATO Y SITUACION DE CALLE EN EL DISTRITO DE   CARTAGENA DE INDIAS"/>
    <s v="2020130010319 APOYO PARA LA ATENCION INTEGRAL AL ADULTO MAYOR EN ESTADO DE ABANDONO MALTRATO Y SITUACION DE CALLE EN EL DISTRITO DE   CARTAGENA DE INDIAS"/>
    <s v="06"/>
    <s v="00"/>
    <n v="1747600000"/>
    <n v="0"/>
    <n v="1747600000"/>
    <n v="1747363723"/>
    <n v="236277"/>
    <n v="1522039444"/>
    <n v="87.09"/>
    <n v="1215065973.3699999"/>
    <n v="69.53"/>
    <n v="225560556"/>
    <n v="1186814973.3699999"/>
  </r>
  <r>
    <n v="2022"/>
    <n v="100"/>
    <x v="15"/>
    <s v="SECRETARIA DE PLANEACION"/>
    <s v="09 SECRETARIA DE PLANEACION"/>
    <n v="2020130010320"/>
    <s v="09. PILAR CARTAGENA CONTINGENTE"/>
    <s v="9.4 LÍNEA ESTRATÉGICA: PLANEACIÓN E INTEGRACIÓN CONTINGENTE DEL TERRITORIO"/>
    <s v="9.4.2 PROGRAMA: NORMAS DE PROMOCIÓN DEL DESARROLLO URBANO Y ECONÓMICO"/>
    <s v="2,3,4002,1400,2020130010320"/>
    <s v="813"/>
    <s v="1,3,3,11,03-93-138 R,B, DIVIDENDOS SOCIEDAD PORTUARIA"/>
    <s v="INV"/>
    <s v="NO"/>
    <s v="IMPLEMENTACION REGLAMENTACION URBANISTICA PARA LA HABILITACION DE SUELO PARA DESARROLLO ECONOMICO Y URBANO EN EL DISTRITO TG+  CARTAGENA DE INDIAS"/>
    <s v="2020130010320 IMPLEMENTACION REGLAMENTACION URBANISTICA PARA LA HABILITACION DE SUELO PARA DESARROLLO ECONOMICO Y URBANO EN EL DISTRITO TG+  CARTAGENA DE INDIAS"/>
    <s v="06"/>
    <s v="00"/>
    <n v="0"/>
    <n v="67500000"/>
    <n v="67500000"/>
    <n v="10533333"/>
    <n v="56966667"/>
    <n v="10533333"/>
    <n v="15.6"/>
    <n v="8000000"/>
    <n v="11.85"/>
    <n v="56966667"/>
    <n v="8000000"/>
  </r>
  <r>
    <n v="2022"/>
    <n v="100"/>
    <x v="15"/>
    <s v="SECRETARIA DE PLANEACION"/>
    <s v="09 SECRETARIA DE PLANEACION"/>
    <n v="2020130010320"/>
    <s v="09. PILAR CARTAGENA CONTINGENTE"/>
    <s v="9.4 LÍNEA ESTRATÉGICA: PLANEACIÓN E INTEGRACIÓN CONTINGENTE DEL TERRITORIO"/>
    <s v="9.4.2 PROGRAMA: NORMAS DE PROMOCIÓN DEL DESARROLLO URBANO Y ECONÓMICO"/>
    <s v="2,3,4002,1400,2020130010320"/>
    <s v="001"/>
    <s v="1,2,1,0,00-001 - ICLD"/>
    <s v="INV"/>
    <s v="NO"/>
    <s v="IMPLEMENTACION REGLAMENTACION URBANISTICA PARA LA HABILITACION DE SUELO PARA DESARROLLO ECONOMICO Y URBANO EN EL DISTRITO TG+  CARTAGENA DE INDIAS"/>
    <s v="2020130010320 IMPLEMENTACION REGLAMENTACION URBANISTICA PARA LA HABILITACION DE SUELO PARA DESARROLLO ECONOMICO Y URBANO EN EL DISTRITO TG+  CARTAGENA DE INDIAS"/>
    <s v="06"/>
    <s v="00"/>
    <n v="277200000.06999999"/>
    <n v="0"/>
    <n v="277200000.06999999"/>
    <n v="272606666"/>
    <n v="4593334.07"/>
    <n v="272606666"/>
    <n v="98.34"/>
    <n v="272606666"/>
    <n v="98.34"/>
    <n v="4593334.07"/>
    <n v="269006666"/>
  </r>
  <r>
    <n v="2022"/>
    <n v="100"/>
    <x v="9"/>
    <s v="SECRETARIA DE PARTICIPACION Y DESARROLLO SOCIAL"/>
    <s v="08 SECRETARIA DE PARTICIPACION Y DESARROLLO SOCIAL"/>
    <n v="2020130010321"/>
    <s v="11. EJE TRANSVERSAL: CARTAGENA CON ATENCION Y GARANTIA DE DERECHOS A POBLACION DIFERENCIAL."/>
    <s v="11.7 LÍNEA ESTRATÉGICA TRATO HUMANITARIO AL HABITANTE DE CALLE"/>
    <s v="11.7.2 FORMACIÓN PARA EL TRABAJO - GENERACIÓN DE INGRESOS Y RESPONSABILIDAD SOCIAL EMPRESARIAL"/>
    <s v="2,3,4103,1500,2020130010321"/>
    <s v="001"/>
    <s v="1,2,1,0,00-001 - ICLD"/>
    <s v="INV"/>
    <s v="NO"/>
    <s v="APOYO A LA FORMACION PARA EL TRABAJO GENERACION DE INGRESOS Y RESPONSABILIDAD SOCIAL EMPRESARIAL A PERSONAS HABITANTES DE CALLE EN  CARTAGENA DE INDIAS"/>
    <s v="2020130010321 APOYO A LA FORMACION PARA EL TRABAJO GENERACION DE INGRESOS Y RESPONSABILIDAD SOCIAL EMPRESARIAL A PERSONAS HABITANTES DE CALLE EN  CARTAGENA DE INDIAS"/>
    <s v="06"/>
    <s v="00"/>
    <n v="50000000"/>
    <n v="0"/>
    <n v="50000000"/>
    <n v="49999996"/>
    <n v="4"/>
    <n v="49999996"/>
    <n v="100"/>
    <n v="0"/>
    <n v="0"/>
    <n v="4"/>
    <n v="0"/>
  </r>
  <r>
    <n v="2022"/>
    <n v="100"/>
    <x v="14"/>
    <s v="SECRETARIA DE HACIENDA PUBLICA"/>
    <s v="03 SECRETARIA DE HACIENDA PUBLICA"/>
    <n v="2020130010324"/>
    <s v="09. PILAR CARTAGENA CONTINGENTE"/>
    <s v="9.1 LÍNEA ESTRATÉGICA: DESARROLLO ECONÓMICO Y EMPLEABILIDAD"/>
    <s v="9.1.4 PROGRAMA: ENCADENAMIENTOS PRODUCTIVOS"/>
    <s v="2,3,3502,0200,2020130010324"/>
    <s v="001"/>
    <s v="1,2,1,0,00-001 - ICLD"/>
    <s v="INV"/>
    <s v="NO"/>
    <s v="DESARROLLO DE ESTRATEGIAS PARA EL FORTALECIMIENTO DE LOS ENCADENAMIENTOS PRODUCTIVOS Y REDES DE PROVEEDURIA EN EL DISTRITO DE CARTAGENA DE INDIAS"/>
    <s v="2020130010324 DESARROLLO DE ESTRATEGIAS PARA EL FORTALECIMIENTO DE LOS ENCADENAMIENTOS PRODUCTIVOS Y REDES DE PROVEEDURIA EN EL DISTRITO DE CARTAGENA DE INDIAS"/>
    <s v="06"/>
    <s v="00"/>
    <n v="476577126"/>
    <n v="-200000000"/>
    <n v="276577126"/>
    <n v="46320000"/>
    <n v="230257126"/>
    <n v="34320000"/>
    <n v="12.41"/>
    <n v="34320000"/>
    <n v="12.41"/>
    <n v="242257126"/>
    <n v="34320000"/>
  </r>
  <r>
    <n v="2022"/>
    <n v="100"/>
    <x v="14"/>
    <s v="SECRETARIA DE HACIENDA PUBLICA"/>
    <s v="03 SECRETARIA DE HACIENDA PUBLICA"/>
    <n v="2020130010325"/>
    <s v="09. PILAR CARTAGENA CONTINGENTE"/>
    <s v="9.1 LÍNEA ESTRATÉGICA: DESARROLLO ECONÓMICO Y EMPLEABILIDAD"/>
    <s v="9.1.7 PROGRAMA: CIERRE DE BRECHAS DE EMPLEABILIDAD"/>
    <s v="2,3,3502,0200,2020130010325"/>
    <s v="813"/>
    <s v="1,3,3,11,03-93-138 R,B, DIVIDENDOS SOCIEDAD PORTUARIA"/>
    <s v="INV"/>
    <s v="NO"/>
    <s v="CONSOLIDACION DEL CIERRE DE BRECHAS PARA LA EMPLEABILIDAD Y EMPLEOS INCLUSIVOS A LOS GRUPOS POBLACIONALES VULNERABLES EN EL DISTRITO DE   CARTAGENA DE INDIAS"/>
    <s v="2020130010325 CONSOLIDACION DEL CIERRE DE BRECHAS PARA LA EMPLEABILIDAD Y EMPLEOS INCLUSIVOS A LOS GRUPOS POBLACIONALES VULNERABLES EN EL DISTRITO DE   CARTAGENA DE INDIAS"/>
    <s v="06"/>
    <s v="00"/>
    <n v="0"/>
    <n v="67499284.840000004"/>
    <n v="67499284.840000004"/>
    <n v="50000000"/>
    <n v="17499284.84"/>
    <n v="49525420"/>
    <n v="73.37"/>
    <n v="0"/>
    <n v="0"/>
    <n v="17973864.84"/>
    <n v="0"/>
  </r>
  <r>
    <n v="2022"/>
    <n v="100"/>
    <x v="14"/>
    <s v="SECRETARIA DE HACIENDA PUBLICA"/>
    <s v="03 SECRETARIA DE HACIENDA PUBLICA"/>
    <n v="2020130010325"/>
    <s v="09. PILAR CARTAGENA CONTINGENTE"/>
    <s v="9.1 LÍNEA ESTRATÉGICA: DESARROLLO ECONÓMICO Y EMPLEABILIDAD"/>
    <s v="9.1.7 PROGRAMA: CIERRE DE BRECHAS DE EMPLEABILIDAD"/>
    <s v="2,3,3502,0200,2020130010325"/>
    <s v="816"/>
    <s v="1,3,3,11,03-95-138 R,B, DIVIDENDOS SOCIEDAD PORTUARIA"/>
    <s v="INV"/>
    <s v="NO"/>
    <s v="CONSOLIDACION DEL CIERRE DE BRECHAS PARA LA EMPLEABILIDAD Y EMPLEOS INCLUSIVOS A LOS GRUPOS POBLACIONALES VULNERABLES EN EL DISTRITO DE   CARTAGENA DE INDIAS"/>
    <s v="2020130010325 CONSOLIDACION DEL CIERRE DE BRECHAS PARA LA EMPLEABILIDAD Y EMPLEOS INCLUSIVOS A LOS GRUPOS POBLACIONALES VULNERABLES EN EL DISTRITO DE   CARTAGENA DE INDIAS"/>
    <s v="06"/>
    <s v="00"/>
    <n v="0"/>
    <n v="32500715.16"/>
    <n v="32500715.16"/>
    <n v="0"/>
    <n v="32500715.16"/>
    <n v="0"/>
    <n v="0"/>
    <n v="0"/>
    <n v="0"/>
    <n v="32500715.16"/>
    <n v="0"/>
  </r>
  <r>
    <n v="2022"/>
    <n v="100"/>
    <x v="14"/>
    <s v="SECRETARIA DE HACIENDA PUBLICA"/>
    <s v="03 SECRETARIA DE HACIENDA PUBLICA"/>
    <n v="2020130010325"/>
    <s v="09. PILAR CARTAGENA CONTINGENTE"/>
    <s v="9.1 LÍNEA ESTRATÉGICA: DESARROLLO ECONÓMICO Y EMPLEABILIDAD"/>
    <s v="9.1.7 PROGRAMA: CIERRE DE BRECHAS DE EMPLEABILIDAD"/>
    <s v="2,3,3502,0200,2020130010325"/>
    <s v="001"/>
    <s v="1,2,1,0,00-001 - ICLD"/>
    <s v="INV"/>
    <s v="NO"/>
    <s v="CONSOLIDACION DEL CIERRE DE BRECHAS PARA LA EMPLEABILIDAD Y EMPLEOS INCLUSIVOS A LOS GRUPOS POBLACIONALES VULNERABLES EN EL DISTRITO DE   CARTAGENA DE INDIAS"/>
    <s v="2020130010325 CONSOLIDACION DEL CIERRE DE BRECHAS PARA LA EMPLEABILIDAD Y EMPLEOS INCLUSIVOS A LOS GRUPOS POBLACIONALES VULNERABLES EN EL DISTRITO DE   CARTAGENA DE INDIAS"/>
    <s v="06"/>
    <s v="00"/>
    <n v="902189567"/>
    <n v="-300000000"/>
    <n v="602189567"/>
    <n v="142846400"/>
    <n v="459343167"/>
    <n v="92732400"/>
    <n v="15.4"/>
    <n v="92732400"/>
    <n v="15.4"/>
    <n v="509457167"/>
    <n v="92732400"/>
  </r>
  <r>
    <n v="2022"/>
    <n v="100"/>
    <x v="14"/>
    <s v="SECRETARIA DE HACIENDA PUBLICA"/>
    <s v="03 SECRETARIA DE HACIENDA PUBLICA"/>
    <n v="2020130010326"/>
    <s v="09. PILAR CARTAGENA CONTINGENTE"/>
    <s v="9.2 LÍNEA ESTRATÉGICA: COMPETITIVIDAD E INNOVACIÓN"/>
    <s v="9.2.2 PROGRAMA: CARTAGENA DESTINO DE INVERSIÓN"/>
    <s v="2,3,3502,0200,2020130010326"/>
    <s v="001"/>
    <s v="1,2,1,0,00-001 - ICLD"/>
    <s v="INV"/>
    <s v="NO"/>
    <s v="IMPLEMENTACION DE UNA ESTRATEGIA DE PROMOCION Y POSICIONAMIENTO PARA LA ATRACCION DE LOS DIVERSOS TIPOS DE INVERSION EN CARTAGENA DE INDIAS"/>
    <s v="2020130010326 IMPLEMENTACION DE UNA ESTRATEGIA DE PROMOCION Y POSICIONAMIENTO PARA LA ATRACCION DE LOS DIVERSOS TIPOS DE INVERSION EN CARTAGENA DE INDIAS"/>
    <s v="06"/>
    <s v="00"/>
    <n v="501976358"/>
    <n v="-200000000"/>
    <n v="301976358"/>
    <n v="301900000"/>
    <n v="76358"/>
    <n v="301900000"/>
    <n v="99.97"/>
    <n v="252720000"/>
    <n v="83.69"/>
    <n v="76358"/>
    <n v="252720000"/>
  </r>
  <r>
    <n v="2022"/>
    <n v="100"/>
    <x v="14"/>
    <s v="SECRETARIA DE HACIENDA PUBLICA"/>
    <s v="03 SECRETARIA DE HACIENDA PUBLICA"/>
    <n v="2020130010327"/>
    <s v="09. PILAR CARTAGENA CONTINGENTE"/>
    <s v="9.1 LÍNEA ESTRATÉGICA: DESARROLLO ECONÓMICO Y EMPLEABILIDAD"/>
    <s v="9.1.6 PROGRAMA: ZONAS DE AGLOMERACIÓN PRODUCTIVA"/>
    <s v="2,3,3502,0200,2020130010327"/>
    <s v="816"/>
    <s v="1,3,3,11,03-95-138 R,B, DIVIDENDOS SOCIEDAD PORTUARIA"/>
    <s v="INV"/>
    <s v="NO"/>
    <s v="DESARROLLO DE ESTRATEGIAS PARA EL APROVECHAMIENTO DE LAS ECONOMIAS DE AGLOMERACION EN EL DISTRITO DE CARTAGENA DE INDIAS"/>
    <s v="2020130010327 DESARROLLO DE ESTRATEGIAS PARA EL APROVECHAMIENTO DE LAS ECONOMIAS DE AGLOMERACION EN EL DISTRITO DE CARTAGENA DE INDIAS"/>
    <s v="06"/>
    <s v="00"/>
    <n v="0"/>
    <n v="200000000"/>
    <n v="200000000"/>
    <n v="200000000"/>
    <n v="0"/>
    <n v="0"/>
    <n v="0"/>
    <n v="0"/>
    <n v="0"/>
    <n v="200000000"/>
    <n v="0"/>
  </r>
  <r>
    <n v="2022"/>
    <n v="100"/>
    <x v="14"/>
    <s v="SECRETARIA DE HACIENDA PUBLICA"/>
    <s v="03 SECRETARIA DE HACIENDA PUBLICA"/>
    <n v="2020130010327"/>
    <s v="09. PILAR CARTAGENA CONTINGENTE"/>
    <s v="9.1 LÍNEA ESTRATÉGICA: DESARROLLO ECONÓMICO Y EMPLEABILIDAD"/>
    <s v="9.1.6 PROGRAMA: ZONAS DE AGLOMERACIÓN PRODUCTIVA"/>
    <s v="2,3,3502,0200,2020130010327"/>
    <s v="001"/>
    <s v="1,2,1,0,00-001 - ICLD"/>
    <s v="INV"/>
    <s v="NO"/>
    <s v="DESARROLLO DE ESTRATEGIAS PARA EL APROVECHAMIENTO DE LAS ECONOMIAS DE AGLOMERACION EN EL DISTRITO DE CARTAGENA DE INDIAS"/>
    <s v="2020130010327 DESARROLLO DE ESTRATEGIAS PARA EL APROVECHAMIENTO DE LAS ECONOMIAS DE AGLOMERACION EN EL DISTRITO DE CARTAGENA DE INDIAS"/>
    <s v="06"/>
    <s v="00"/>
    <n v="402189566"/>
    <n v="-200000000"/>
    <n v="202189566"/>
    <n v="41808000"/>
    <n v="160381566"/>
    <n v="41808000"/>
    <n v="20.68"/>
    <n v="41808000"/>
    <n v="20.68"/>
    <n v="160381566"/>
    <n v="41808000"/>
  </r>
  <r>
    <n v="2022"/>
    <n v="100"/>
    <x v="16"/>
    <s v="DEPARTAMENTO ADMINISTRATIVO DE TRANSITO Y TRANSPORTE"/>
    <s v="12 DEPARTAMENTO ADMINISTRATIVO DE TRANSITO Y TRANSPORTE"/>
    <n v="2020130010329"/>
    <s v="07. PILAR CARTAGENA RESILIENTE"/>
    <s v="7.2 LÍNEA ESTRATÉGICA ESPACIO PÚBLICO, MOVILIDAD Y TRANSPORTE RESILIENTE"/>
    <s v="7.2.8 MOVILIDAD SOSTENIBLE EN EL DISTRITO DE CARTAGENA"/>
    <s v="2,3,2409,0600,2020130010329"/>
    <s v="844"/>
    <s v="1,3,3,3,03-93-022 R,B, IMPUESTO SOBRE VEHICULOS AUTOMOTORES"/>
    <s v="INV"/>
    <s v="NO"/>
    <s v="SUSTITUCION DE VEHICULOS DE TRACCION ANIMAL DEDICADOS AL TRANSPORTE DE CARGA LIVIANA EXISTENTES EN EL DISTRITO DE   CARTAGENA DE INDIAS"/>
    <s v="2020130010329 SUSTITUCION DE VEHICULOS DE TRACCION ANIMAL DEDICADOS AL TRANSPORTE DE CARGA LIVIANA EXISTENTES EN EL DISTRITO DE   CARTAGENA DE INDIAS"/>
    <s v="06"/>
    <s v="00"/>
    <n v="0"/>
    <n v="1802416866.3399999"/>
    <n v="1802416866.3399999"/>
    <n v="1802416866.3399999"/>
    <n v="0"/>
    <n v="1802416866.3399999"/>
    <n v="100"/>
    <n v="0"/>
    <n v="0"/>
    <n v="0"/>
    <n v="0"/>
  </r>
  <r>
    <n v="2022"/>
    <n v="100"/>
    <x v="16"/>
    <s v="DEPARTAMENTO ADMINISTRATIVO DE TRANSITO Y TRANSPORTE"/>
    <s v="12 DEPARTAMENTO ADMINISTRATIVO DE TRANSITO Y TRANSPORTE"/>
    <n v="2020130010329"/>
    <s v="07. PILAR CARTAGENA RESILIENTE"/>
    <s v="7.2 LÍNEA ESTRATÉGICA ESPACIO PÚBLICO, MOVILIDAD Y TRANSPORTE RESILIENTE"/>
    <s v="7.2.8 MOVILIDAD SOSTENIBLE EN EL DISTRITO DE CARTAGENA"/>
    <s v="2,3,2409,0600,2020130010329"/>
    <s v="846"/>
    <s v="1,3,3,3,03-95-022 R,B, IMPUESTO SOBRE VEHICULOS AUTOMOTORES"/>
    <s v="INV"/>
    <s v="NO"/>
    <s v="SUSTITUCION DE VEHICULOS DE TRACCION ANIMAL DEDICADOS AL TRANSPORTE DE CARGA LIVIANA EXISTENTES EN EL DISTRITO DE   CARTAGENA DE INDIAS"/>
    <s v="2020130010329 SUSTITUCION DE VEHICULOS DE TRACCION ANIMAL DEDICADOS AL TRANSPORTE DE CARGA LIVIANA EXISTENTES EN EL DISTRITO DE   CARTAGENA DE INDIAS"/>
    <s v="06"/>
    <s v="00"/>
    <n v="0"/>
    <n v="560475785"/>
    <n v="560475785"/>
    <n v="560475785"/>
    <n v="0"/>
    <n v="560475785"/>
    <n v="100"/>
    <n v="0"/>
    <n v="0"/>
    <n v="0"/>
    <n v="0"/>
  </r>
  <r>
    <n v="2022"/>
    <n v="100"/>
    <x v="16"/>
    <s v="DEPARTAMENTO ADMINISTRATIVO DE TRANSITO Y TRANSPORTE"/>
    <s v="12 DEPARTAMENTO ADMINISTRATIVO DE TRANSITO Y TRANSPORTE"/>
    <n v="2020130010329"/>
    <s v="07. PILAR CARTAGENA RESILIENTE"/>
    <s v="7.2 LÍNEA ESTRATÉGICA ESPACIO PÚBLICO, MOVILIDAD Y TRANSPORTE RESILIENTE"/>
    <s v="7.2.8 MOVILIDAD SOSTENIBLE EN EL DISTRITO DE CARTAGENA"/>
    <s v="2,3,2409,0600,2020130010329"/>
    <s v="847"/>
    <s v="1,3,3,3,03-95-079 R,B, IMPUESTO SOBRE VEHICULOS AUTOMOTORES RENDIMIENTOS DATT"/>
    <s v="INV"/>
    <s v="NO"/>
    <s v="SUSTITUCION DE VEHICULOS DE TRACCION ANIMAL DEDICADOS AL TRANSPORTE DE CARGA LIVIANA EXISTENTES EN EL DISTRITO DE   CARTAGENA DE INDIAS"/>
    <s v="2020130010329 SUSTITUCION DE VEHICULOS DE TRACCION ANIMAL DEDICADOS AL TRANSPORTE DE CARGA LIVIANA EXISTENTES EN EL DISTRITO DE   CARTAGENA DE INDIAS"/>
    <s v="06"/>
    <s v="00"/>
    <n v="0"/>
    <n v="14259286"/>
    <n v="14259286"/>
    <n v="14259286"/>
    <n v="0"/>
    <n v="14259286"/>
    <n v="100"/>
    <n v="0"/>
    <n v="0"/>
    <n v="0"/>
    <n v="0"/>
  </r>
  <r>
    <n v="2022"/>
    <n v="100"/>
    <x v="16"/>
    <s v="DEPARTAMENTO ADMINISTRATIVO DE TRANSITO Y TRANSPORTE"/>
    <s v="12 DEPARTAMENTO ADMINISTRATIVO DE TRANSITO Y TRANSPORTE"/>
    <n v="2020130010329"/>
    <s v="07. PILAR CARTAGENA RESILIENTE"/>
    <s v="7.2 LÍNEA ESTRATÉGICA ESPACIO PÚBLICO, MOVILIDAD Y TRANSPORTE RESILIENTE"/>
    <s v="7.2.8 MOVILIDAD SOSTENIBLE EN EL DISTRITO DE CARTAGENA"/>
    <s v="2,3,2409,0600,2020130010329"/>
    <s v="862"/>
    <s v="1,3,3,4,15-95-021 R,B, SERVICIOS DE TRANSITO Y TRANSPORTE"/>
    <s v="INV"/>
    <s v="NO"/>
    <s v="SUSTITUCION DE VEHICULOS DE TRACCION ANIMAL DEDICADOS AL TRANSPORTE DE CARGA LIVIANA EXISTENTES EN EL DISTRITO DE   CARTAGENA DE INDIAS"/>
    <s v="2020130010329 SUSTITUCION DE VEHICULOS DE TRACCION ANIMAL DEDICADOS AL TRANSPORTE DE CARGA LIVIANA EXISTENTES EN EL DISTRITO DE   CARTAGENA DE INDIAS"/>
    <s v="06"/>
    <s v="00"/>
    <n v="0"/>
    <n v="1715653062"/>
    <n v="1715653062"/>
    <n v="1715653062"/>
    <n v="0"/>
    <n v="1715653062"/>
    <n v="100"/>
    <n v="0"/>
    <n v="0"/>
    <n v="0"/>
    <n v="0"/>
  </r>
  <r>
    <n v="2022"/>
    <n v="100"/>
    <x v="16"/>
    <s v="DEPARTAMENTO ADMINISTRATIVO DE TRANSITO Y TRANSPORTE"/>
    <s v="12 DEPARTAMENTO ADMINISTRATIVO DE TRANSITO Y TRANSPORTE"/>
    <n v="2020130010329"/>
    <s v="07. PILAR CARTAGENA RESILIENTE"/>
    <s v="7.2 LÍNEA ESTRATÉGICA ESPACIO PÚBLICO, MOVILIDAD Y TRANSPORTE RESILIENTE"/>
    <s v="7.2.8 MOVILIDAD SOSTENIBLE EN EL DISTRITO DE CARTAGENA"/>
    <s v="2,3,2409,0600,2020130010329"/>
    <s v="168"/>
    <s v="1,2,3,2,07-168 - OTRAS MULTAS, SANCIONES E INTERESES DE MORA (MULTAS TRANSITO Y TRANSPORTE)"/>
    <s v="INV"/>
    <s v="NO"/>
    <s v="SUSTITUCION DE VEHICULOS DE TRACCION ANIMAL DEDICADOS AL TRANSPORTE DE CARGA LIVIANA EXISTENTES EN EL DISTRITO DE   CARTAGENA DE INDIAS"/>
    <s v="2020130010329 SUSTITUCION DE VEHICULOS DE TRACCION ANIMAL DEDICADOS AL TRANSPORTE DE CARGA LIVIANA EXISTENTES EN EL DISTRITO DE   CARTAGENA DE INDIAS"/>
    <s v="06"/>
    <s v="00"/>
    <n v="577290058.50999999"/>
    <n v="0"/>
    <n v="577290058.50999999"/>
    <n v="577290058.50999999"/>
    <n v="0"/>
    <n v="577290058.50999999"/>
    <n v="100"/>
    <n v="0"/>
    <n v="0"/>
    <n v="0"/>
    <n v="0"/>
  </r>
  <r>
    <n v="2022"/>
    <n v="100"/>
    <x v="16"/>
    <s v="DEPARTAMENTO ADMINISTRATIVO DE TRANSITO Y TRANSPORTE"/>
    <s v="12 DEPARTAMENTO ADMINISTRATIVO DE TRANSITO Y TRANSPORTE"/>
    <n v="2020130010329"/>
    <s v="07. PILAR CARTAGENA RESILIENTE"/>
    <s v="7.2 LÍNEA ESTRATÉGICA ESPACIO PÚBLICO, MOVILIDAD Y TRANSPORTE RESILIENTE"/>
    <s v="7.2.8 MOVILIDAD SOSTENIBLE EN EL DISTRITO DE CARTAGENA"/>
    <s v="2,3,2409,0600,2020130010329"/>
    <s v="845"/>
    <s v="1,3,3,3,03-93-079 R,B, IMPUESTO SOBRE VEHICULOS AUTOMOTORES RENDIMIENTOS DATT"/>
    <s v="INV"/>
    <s v="NO"/>
    <s v="SUSTITUCION DE VEHICULOS DE TRACCION ANIMAL DEDICADOS AL TRANSPORTE DE CARGA LIVIANA EXISTENTES EN EL DISTRITO DE   CARTAGENA DE INDIAS"/>
    <s v="2020130010329 SUSTITUCION DE VEHICULOS DE TRACCION ANIMAL DEDICADOS AL TRANSPORTE DE CARGA LIVIANA EXISTENTES EN EL DISTRITO DE   CARTAGENA DE INDIAS"/>
    <s v="06"/>
    <s v="00"/>
    <n v="0"/>
    <n v="2760056.36"/>
    <n v="2760056.36"/>
    <n v="1904942.15"/>
    <n v="855114.21"/>
    <n v="1904942.15"/>
    <n v="69.02"/>
    <n v="0"/>
    <n v="0"/>
    <n v="855114.21"/>
    <n v="0"/>
  </r>
  <r>
    <n v="2022"/>
    <n v="100"/>
    <x v="14"/>
    <s v="SECRETARIA DE HACIENDA PUBLICA"/>
    <s v="03 SECRETARIA DE HACIENDA PUBLICA"/>
    <n v="2020130010331"/>
    <s v="09. PILAR CARTAGENA CONTINGENTE"/>
    <s v="9.1 LÍNEA ESTRATÉGICA: DESARROLLO ECONÓMICO Y EMPLEABILIDAD"/>
    <s v="9.1.8 PROGRAMA: CIERRE DE BRECHAS DE CAPITAL HUMANO"/>
    <s v="2,3,3502,0200,2020130010331"/>
    <s v="813"/>
    <s v="1,3,3,11,03-93-138 R,B, DIVIDENDOS SOCIEDAD PORTUARIA"/>
    <s v="INV"/>
    <s v="NO"/>
    <s v="HABILITACION DE LAS ACCIONES PARA IDENTIFICAR Y CERRAR LAS BRECHAS DE CAPITAL HUMANO DE FORMA PERTINENTE SUFICIENTE Y DE CALIDAD EN EL DISTRITO DE   CARTAGENA DE INDIAS"/>
    <s v="2020130010331 HABILITACION DE LAS ACCIONES PARA IDENTIFICAR Y CERRAR LAS BRECHAS DE CAPITAL HUMANO DE FORMA PERTINENTE SUFICIENTE Y DE CALIDAD EN EL DISTRITO DE   CARTAGENA DE INDIAS"/>
    <s v="06"/>
    <s v="00"/>
    <n v="0"/>
    <n v="200000000"/>
    <n v="200000000"/>
    <n v="156860000"/>
    <n v="43140000"/>
    <n v="0"/>
    <n v="0"/>
    <n v="0"/>
    <n v="0"/>
    <n v="200000000"/>
    <n v="0"/>
  </r>
  <r>
    <n v="2022"/>
    <n v="100"/>
    <x v="14"/>
    <s v="SECRETARIA DE HACIENDA PUBLICA"/>
    <s v="03 SECRETARIA DE HACIENDA PUBLICA"/>
    <n v="2020130010331"/>
    <s v="09. PILAR CARTAGENA CONTINGENTE"/>
    <s v="9.1 LÍNEA ESTRATÉGICA: DESARROLLO ECONÓMICO Y EMPLEABILIDAD"/>
    <s v="9.1.8 PROGRAMA: CIERRE DE BRECHAS DE CAPITAL HUMANO"/>
    <s v="2,3,3502,0200,2020130010331"/>
    <s v="001"/>
    <s v="1,2,1,0,00-001 - ICLD"/>
    <s v="INV"/>
    <s v="NO"/>
    <s v="HABILITACION DE LAS ACCIONES PARA IDENTIFICAR Y CERRAR LAS BRECHAS DE CAPITAL HUMANO DE FORMA PERTINENTE SUFICIENTE Y DE CALIDAD EN EL DISTRITO DE   CARTAGENA DE INDIAS"/>
    <s v="2020130010331 HABILITACION DE LAS ACCIONES PARA IDENTIFICAR Y CERRAR LAS BRECHAS DE CAPITAL HUMANO DE FORMA PERTINENTE SUFICIENTE Y DE CALIDAD EN EL DISTRITO DE   CARTAGENA DE INDIAS"/>
    <s v="06"/>
    <s v="00"/>
    <n v="902189567"/>
    <n v="-700000000"/>
    <n v="202189567"/>
    <n v="151725867"/>
    <n v="50463700"/>
    <n v="112925866"/>
    <n v="55.85"/>
    <n v="112925866"/>
    <n v="55.85"/>
    <n v="89263701"/>
    <n v="56225866"/>
  </r>
  <r>
    <n v="2022"/>
    <n v="100"/>
    <x v="15"/>
    <s v="SECRETARIA DE PLANEACION"/>
    <s v="09 SECRETARIA DE PLANEACION"/>
    <n v="2020130010332"/>
    <s v="10. PILAR: CARTAGENA TRANSPARENTE"/>
    <s v="10.7 LÍNEA ESTRATÉGICA: PARTICIPACIÓN Y DESCENTRALIZACIÓN"/>
    <s v="10.7.2 PROGRAMA: MODERNIZACIÓN DEL SISTEMA DISTRITAL DE PLANEACIÓN Y DESCENTRALIZACIÓN  "/>
    <s v="2,3,4502,1000,2020130010332"/>
    <s v="813"/>
    <s v="1,3,3,11,03-93-138 R,B, DIVIDENDOS SOCIEDAD PORTUARIA"/>
    <s v="INV"/>
    <s v="NO"/>
    <s v="FORTALECIMIENTO DEL CONSEJO TERRITORIAL DE PLANEACION DEL DISTRITO DE CARTAGANEA DE INDIAS - TG+   CARTAGENA DE INDIAS"/>
    <s v="2020130010332 FORTALECIMIENTO DEL CONSEJO TERRITORIAL DE PLANEACION DEL DISTRITO DE CARTAGANEA DE INDIAS - TG+   CARTAGENA DE INDIAS"/>
    <s v="06"/>
    <s v="00"/>
    <n v="0"/>
    <n v="200000000"/>
    <n v="200000000"/>
    <n v="31779333"/>
    <n v="168220667"/>
    <n v="21318000"/>
    <n v="10.66"/>
    <n v="0"/>
    <n v="0"/>
    <n v="178682000"/>
    <n v="0"/>
  </r>
  <r>
    <n v="2022"/>
    <n v="100"/>
    <x v="15"/>
    <s v="SECRETARIA DE PLANEACION"/>
    <s v="09 SECRETARIA DE PLANEACION"/>
    <n v="2020130010332"/>
    <s v="10. PILAR: CARTAGENA TRANSPARENTE"/>
    <s v="10.7 LÍNEA ESTRATÉGICA: PARTICIPACIÓN Y DESCENTRALIZACIÓN"/>
    <s v="10.7.2 PROGRAMA: MODERNIZACIÓN DEL SISTEMA DISTRITAL DE PLANEACIÓN Y DESCENTRALIZACIÓN  "/>
    <s v="2,3,4502,1000,2020130010332"/>
    <s v="001"/>
    <s v="1,2,1,0,00-001 - ICLD"/>
    <s v="INV"/>
    <s v="NO"/>
    <s v="FORTALECIMIENTO DEL CONSEJO TERRITORIAL DE PLANEACION DEL DISTRITO DE CARTAGANEA DE INDIAS - TG+   CARTAGENA DE INDIAS"/>
    <s v="2020130010332 FORTALECIMIENTO DEL CONSEJO TERRITORIAL DE PLANEACION DEL DISTRITO DE CARTAGANEA DE INDIAS - TG+   CARTAGENA DE INDIAS"/>
    <s v="06"/>
    <s v="00"/>
    <n v="104000000"/>
    <n v="0"/>
    <n v="104000000"/>
    <n v="92000000"/>
    <n v="12000000"/>
    <n v="82146000"/>
    <n v="78.989999999999995"/>
    <n v="32000000"/>
    <n v="30.77"/>
    <n v="21854000"/>
    <n v="32000000"/>
  </r>
  <r>
    <n v="2022"/>
    <n v="100"/>
    <x v="15"/>
    <s v="SECRETARIA DE PLANEACION"/>
    <s v="09 SECRETARIA DE PLANEACION"/>
    <n v="2021130010001"/>
    <s v="10. PILAR: CARTAGENA TRANSPARENTE"/>
    <s v="10.7 LÍNEA ESTRATÉGICA: PARTICIPACIÓN Y DESCENTRALIZACIÓN"/>
    <s v="10.7.2 PROGRAMA: MODERNIZACIÓN DEL SISTEMA DISTRITAL DE PLANEACIÓN Y DESCENTRALIZACIÓN  "/>
    <s v="2,3,4599,1000,2021130010001"/>
    <s v="922"/>
    <s v="1,3,3,8,03-95-070 R,B, SGP-PROPOSITO GENERAL-PROPOSITO GENERAL LIBRE INVERSION"/>
    <s v="INV"/>
    <s v="NO"/>
    <s v="ASISTENCIA TECNICA PARA MEJORAMIENTO DEL BANCO DE PROGRAMAS Y PROYECTOS CENTRAL Y DE LOS BANCOS DE PROGRAMAS Y PROYECTOS LOCALES DEL DISTRITO DE CARTAGENA DE INDIAS  TG +  CARTAGENA DE INDIAS"/>
    <s v="2021130010001 ASISTENCIA TECNICA PARA MEJORAMIENTO DEL BANCO DE PROGRAMAS Y PROYECTOS CENTRAL Y DE LOS BANCOS DE PROGRAMAS Y PROYECTOS LOCALES DEL DISTRITO DE CARTAGENA DE INDIAS  TG +  CARTAGENA DE INDIAS"/>
    <s v="06"/>
    <s v="00"/>
    <n v="0"/>
    <n v="0.33"/>
    <n v="0.33"/>
    <n v="0"/>
    <n v="0.33"/>
    <n v="0"/>
    <n v="0"/>
    <n v="0"/>
    <n v="0"/>
    <n v="0.33"/>
    <n v="0"/>
  </r>
  <r>
    <n v="2022"/>
    <n v="100"/>
    <x v="15"/>
    <s v="SECRETARIA DE PLANEACION"/>
    <s v="09 SECRETARIA DE PLANEACION"/>
    <n v="2021130010001"/>
    <s v="10. PILAR: CARTAGENA TRANSPARENTE"/>
    <s v="10.7 LÍNEA ESTRATÉGICA: PARTICIPACIÓN Y DESCENTRALIZACIÓN"/>
    <s v="10.7.2 PROGRAMA: MODERNIZACIÓN DEL SISTEMA DISTRITAL DE PLANEACIÓN Y DESCENTRALIZACIÓN  "/>
    <s v="2,3,4599,1000,2021130010001"/>
    <s v="070"/>
    <s v="1,2,4,3,03-070 - SGP LIBRE INVERSION"/>
    <s v="INV"/>
    <s v="NO"/>
    <s v="ASISTENCIA TECNICA PARA MEJORAMIENTO DEL BANCO DE PROGRAMAS Y PROYECTOS CENTRAL Y DE LOS BANCOS DE PROGRAMAS Y PROYECTOS LOCALES DEL DISTRITO DE CARTAGENA DE INDIAS  TG +  CARTAGENA DE INDIAS"/>
    <s v="2021130010001 ASISTENCIA TECNICA PARA MEJORAMIENTO DEL BANCO DE PROGRAMAS Y PROYECTOS CENTRAL Y DE LOS BANCOS DE PROGRAMAS Y PROYECTOS LOCALES DEL DISTRITO DE CARTAGENA DE INDIAS  TG +  CARTAGENA DE INDIAS"/>
    <s v="06"/>
    <s v="00"/>
    <n v="420000000"/>
    <n v="-687165"/>
    <n v="419312835"/>
    <n v="419312835"/>
    <n v="0"/>
    <n v="419267883"/>
    <n v="99.99"/>
    <n v="379267883"/>
    <n v="90.45"/>
    <n v="44952"/>
    <n v="374867883"/>
  </r>
  <r>
    <n v="2022"/>
    <n v="100"/>
    <x v="15"/>
    <s v="SECRETARIA DE PLANEACION"/>
    <s v="09 SECRETARIA DE PLANEACION"/>
    <n v="2021130010001"/>
    <s v="10. PILAR: CARTAGENA TRANSPARENTE"/>
    <s v="10.7 LÍNEA ESTRATÉGICA: PARTICIPACIÓN Y DESCENTRALIZACIÓN"/>
    <s v="10.7.2 PROGRAMA: MODERNIZACIÓN DEL SISTEMA DISTRITAL DE PLANEACIÓN Y DESCENTRALIZACIÓN  "/>
    <s v="2,3,4599,1000,2021130010001"/>
    <s v="001"/>
    <s v="1,2,1,0,00-001 - ICLD"/>
    <s v="INV"/>
    <s v="NO"/>
    <s v="ASISTENCIA TECNICA PARA MEJORAMIENTO DEL BANCO DE PROGRAMAS Y PROYECTOS CENTRAL Y DE LOS BANCOS DE PROGRAMAS Y PROYECTOS LOCALES DEL DISTRITO DE CARTAGENA DE INDIAS  TG +  CARTAGENA DE INDIAS"/>
    <s v="2021130010001 ASISTENCIA TECNICA PARA MEJORAMIENTO DEL BANCO DE PROGRAMAS Y PROYECTOS CENTRAL Y DE LOS BANCOS DE PROGRAMAS Y PROYECTOS LOCALES DEL DISTRITO DE CARTAGENA DE INDIAS  TG +  CARTAGENA DE INDIAS"/>
    <s v="06"/>
    <s v="00"/>
    <n v="245300000"/>
    <n v="0"/>
    <n v="245300000"/>
    <n v="193136667"/>
    <n v="52163333"/>
    <n v="193136667"/>
    <n v="78.73"/>
    <n v="179936667"/>
    <n v="73.349999999999994"/>
    <n v="52163333"/>
    <n v="179936667"/>
  </r>
  <r>
    <n v="2022"/>
    <n v="100"/>
    <x v="15"/>
    <s v="SECRETARIA DE PLANEACION"/>
    <s v="09 SECRETARIA DE PLANEACION"/>
    <n v="2021130010003"/>
    <s v="08. PILAR CARTAGENA INCLUYENTE"/>
    <s v="8.6 LÍNEA ESTRATÉGICA PLANEACIÓN SOCIAL DEL TERRITORIO"/>
    <s v="8.6.2 PROGRAMA: CATASTRO MULTIPROPÓSITO"/>
    <s v="2,3,0406,1003,2021130010003"/>
    <s v="001"/>
    <s v="1,2,1,0,00-001 - ICLD"/>
    <s v="INV"/>
    <s v="NO"/>
    <s v="ASISTENCIA TECNICA Y DESARROLLO DE ACCIONES PARA LA IMPLEMENTACION DEL CATASTRO MULTIPROPOSITO EN EL DISTRITO DE CARTAGENA DE INDIAS - TG+  CARTAGENA DE INDIAS"/>
    <s v="2021130010003 ASISTENCIA TECNICA Y DESARROLLO DE ACCIONES PARA LA IMPLEMENTACION DEL CATASTRO MULTIPROPOSITO EN EL DISTRITO DE CARTAGENA DE INDIAS - TG+  CARTAGENA DE INDIAS"/>
    <s v="06"/>
    <s v="00"/>
    <n v="169400000"/>
    <n v="0"/>
    <n v="169400000"/>
    <n v="169400000"/>
    <n v="0"/>
    <n v="169400000"/>
    <n v="100"/>
    <n v="169400000"/>
    <n v="100"/>
    <n v="0"/>
    <n v="169400000"/>
  </r>
  <r>
    <n v="2022"/>
    <n v="100"/>
    <x v="6"/>
    <s v="INSTITUTO DE PATRIMONIO Y CULTURA DE CARTAGENA DE INDIAS"/>
    <s v="17 INSTITUTO DE PATRIMONIO Y CULTURA DE CARTAGENA DE INDIAS"/>
    <n v="2021130010005"/>
    <s v="08. PILAR CARTAGENA INCLUYENTE"/>
    <s v="8.5 LÍNEA ESTRATÉGICA ARTES, CULTURA Y PATRIMONIO PARA UNA CARTAGENA INCLUYENTE"/>
    <s v="8.5.5 PROGRAMA: DERECHOS CULTURALES Y BUEN GOBIERNO PARA EL FORTALECIMIENTO INSTITUCIONAL Y CIUDADANO"/>
    <s v="2,3,3301,1603,2021130010005"/>
    <s v="057"/>
    <s v="1,2,4,3,02-057 - SGP CULTURA"/>
    <s v="INV"/>
    <s v="NO"/>
    <s v="FORTALECIMIENTO Y MODERNIZACION INSTITUCIONAL DEL INSTITUTO DE PATRIMONIO Y CULTURA (IPCC) EN EL DISTRITO DE CARTAGENA DE INDIAS"/>
    <s v="2021130010005 FORTALECIMIENTO Y MODERNIZACION INSTITUCIONAL DEL INSTITUTO DE PATRIMONIO Y CULTURA (IPCC) EN EL DISTRITO DE CARTAGENA DE INDIAS"/>
    <s v="06"/>
    <s v="00"/>
    <n v="117233509"/>
    <n v="0"/>
    <n v="117233509"/>
    <n v="117233508.31999999"/>
    <n v="0.68"/>
    <n v="117233508.31999999"/>
    <n v="100"/>
    <n v="117233508.31999999"/>
    <n v="100"/>
    <n v="0.68"/>
    <n v="117233508.31999999"/>
  </r>
  <r>
    <n v="2022"/>
    <n v="100"/>
    <x v="6"/>
    <s v="INSTITUTO DE PATRIMONIO Y CULTURA DE CARTAGENA DE INDIAS"/>
    <s v="17 INSTITUTO DE PATRIMONIO Y CULTURA DE CARTAGENA DE INDIAS"/>
    <n v="2021130010005"/>
    <s v="08. PILAR CARTAGENA INCLUYENTE"/>
    <s v="8.5 LÍNEA ESTRATÉGICA ARTES, CULTURA Y PATRIMONIO PARA UNA CARTAGENA INCLUYENTE"/>
    <s v="8.5.5 PROGRAMA: DERECHOS CULTURALES Y BUEN GOBIERNO PARA EL FORTALECIMIENTO INSTITUCIONAL Y CIUDADANO"/>
    <s v="2,3,3301,1603,2021130010005"/>
    <s v="001"/>
    <s v="1,2,1,0,00-001 - ICLD"/>
    <s v="INV"/>
    <s v="NO"/>
    <s v="FORTALECIMIENTO Y MODERNIZACION INSTITUCIONAL DEL INSTITUTO DE PATRIMONIO Y CULTURA (IPCC) EN EL DISTRITO DE CARTAGENA DE INDIAS"/>
    <s v="2021130010005 FORTALECIMIENTO Y MODERNIZACION INSTITUCIONAL DEL INSTITUTO DE PATRIMONIO Y CULTURA (IPCC) EN EL DISTRITO DE CARTAGENA DE INDIAS"/>
    <s v="06"/>
    <s v="00"/>
    <n v="50000000"/>
    <n v="0"/>
    <n v="50000000"/>
    <n v="50000000"/>
    <n v="0"/>
    <n v="50000000"/>
    <n v="100"/>
    <n v="50000000"/>
    <n v="100"/>
    <n v="0"/>
    <n v="50000000"/>
  </r>
  <r>
    <n v="2022"/>
    <n v="100"/>
    <x v="6"/>
    <s v="INSTITUTO DE PATRIMONIO Y CULTURA DE CARTAGENA DE INDIAS"/>
    <s v="17 INSTITUTO DE PATRIMONIO Y CULTURA DE CARTAGENA DE INDIAS"/>
    <n v="2021130010006"/>
    <s v="08. PILAR CARTAGENA INCLUYENTE"/>
    <s v="8.5 LÍNEA ESTRATÉGICA ARTES, CULTURA Y PATRIMONIO PARA UNA CARTAGENA INCLUYENTE"/>
    <s v="8.5.3 PROGRAMA: PATRIMONIO INMATERIAL: PRACTICAS SIGNIFICATIVAS PARA LA MEMORIA"/>
    <s v="2,3,3302,1603,2021130010006"/>
    <s v="057"/>
    <s v="1,2,4,3,02-057 - SGP CULTURA"/>
    <s v="INV"/>
    <s v="NO"/>
    <s v="FORTALECIMIENTO DE PLANES ESPECIALES DE SALVAGUARDIA PARA INCLUSION DE LAS MANIFESTACIONES CULTURALES EN EL DISTRITO DE CARTAGENA DE INDIAS "/>
    <s v="2021130010006 FORTALECIMIENTO DE PLANES ESPECIALES DE SALVAGUARDIA PARA INCLUSION DE LAS MANIFESTACIONES CULTURALES EN EL DISTRITO DE CARTAGENA DE INDIAS "/>
    <s v="06"/>
    <s v="00"/>
    <n v="150728798"/>
    <n v="0"/>
    <n v="150728798"/>
    <n v="150668798"/>
    <n v="60000"/>
    <n v="150668798"/>
    <n v="99.96"/>
    <n v="125547332"/>
    <n v="83.29"/>
    <n v="60000"/>
    <n v="113046598"/>
  </r>
  <r>
    <n v="2022"/>
    <n v="100"/>
    <x v="6"/>
    <s v="INSTITUTO DE PATRIMONIO Y CULTURA DE CARTAGENA DE INDIAS"/>
    <s v="17 INSTITUTO DE PATRIMONIO Y CULTURA DE CARTAGENA DE INDIAS"/>
    <n v="2021130010006"/>
    <s v="08. PILAR CARTAGENA INCLUYENTE"/>
    <s v="8.5 LÍNEA ESTRATÉGICA ARTES, CULTURA Y PATRIMONIO PARA UNA CARTAGENA INCLUYENTE"/>
    <s v="8.5.3 PROGRAMA: PATRIMONIO INMATERIAL: PRACTICAS SIGNIFICATIVAS PARA LA MEMORIA"/>
    <s v="2,3,3302,1603,2021130010006"/>
    <s v="001"/>
    <s v="1,2,1,0,00-001 - ICLD"/>
    <s v="INV"/>
    <s v="NO"/>
    <s v="FORTALECIMIENTO DE PLANES ESPECIALES DE SALVAGUARDIA PARA INCLUSION DE LAS MANIFESTACIONES CULTURALES EN EL DISTRITO DE CARTAGENA DE INDIAS "/>
    <s v="2021130010006 FORTALECIMIENTO DE PLANES ESPECIALES DE SALVAGUARDIA PARA INCLUSION DE LAS MANIFESTACIONES CULTURALES EN EL DISTRITO DE CARTAGENA DE INDIAS "/>
    <s v="06"/>
    <s v="00"/>
    <n v="90000000"/>
    <n v="0"/>
    <n v="90000000"/>
    <n v="90000000"/>
    <n v="0"/>
    <n v="90000000"/>
    <n v="100"/>
    <n v="90000000"/>
    <n v="100"/>
    <n v="0"/>
    <n v="90000000"/>
  </r>
  <r>
    <n v="2022"/>
    <n v="100"/>
    <x v="5"/>
    <s v="INSTITUTO DE DEPORTE Y RECREACION"/>
    <s v="15 INSTITUTO DE DEPORTE Y RECREACION"/>
    <n v="2021130010011"/>
    <s v="08. PILAR CARTAGENA INCLUYENTE"/>
    <s v="8.4 LÍNEA ESTRATÉGICA DEPORTE Y RECREACIÓN PARA LA TRANSFORMACION SOCIAL "/>
    <s v="8.4.3 DEPORTE SOCIAL COMUNITARIO CON INCLUSION &quot;CARTAGENA INCLUYENTE&quot;"/>
    <s v="2,3,4301,1604,2021130010011"/>
    <s v="841"/>
    <s v="1,3,3,2,00-95-097 R,B, ICDE IDER 3% ICA"/>
    <s v="INV"/>
    <s v="NO"/>
    <s v="INTEGRACION COMUNITARIA A TRAVES DEL DEPORTE COMO HERRAMIENTA PARA LA INCLUSION SOCIAL DESDE LOS DIFERENTES ENFOQUES POBLACIONALES CARTAGENA DE INDIAS"/>
    <s v="2021130010011 INTEGRACION COMUNITARIA A TRAVES DEL DEPORTE COMO HERRAMIENTA PARA LA INCLUSION SOCIAL DESDE LOS DIFERENTES ENFOQUES POBLACIONALES CARTAGENA DE INDIAS"/>
    <s v="06"/>
    <s v="00"/>
    <n v="0"/>
    <n v="216085246"/>
    <n v="216085246"/>
    <n v="0"/>
    <n v="216085246"/>
    <n v="0"/>
    <n v="0"/>
    <n v="0"/>
    <n v="0"/>
    <n v="216085246"/>
    <n v="0"/>
  </r>
  <r>
    <n v="2022"/>
    <n v="100"/>
    <x v="5"/>
    <s v="INSTITUTO DE DEPORTE Y RECREACION"/>
    <s v="15 INSTITUTO DE DEPORTE Y RECREACION"/>
    <n v="2021130010011"/>
    <s v="08. PILAR CARTAGENA INCLUYENTE"/>
    <s v="8.4 LÍNEA ESTRATÉGICA DEPORTE Y RECREACIÓN PARA LA TRANSFORMACION SOCIAL "/>
    <s v="8.4.3 DEPORTE SOCIAL COMUNITARIO CON INCLUSION &quot;CARTAGENA INCLUYENTE&quot;"/>
    <s v="2,3,4301,1604,2021130010011"/>
    <s v="918"/>
    <s v="1,3,3,8,01-95-059 - R,B, SGP DEPORTE"/>
    <s v="INV"/>
    <s v="NO"/>
    <s v="INTEGRACION COMUNITARIA A TRAVES DEL DEPORTE COMO HERRAMIENTA PARA LA INCLUSION SOCIAL DESDE LOS DIFERENTES ENFOQUES POBLACIONALES CARTAGENA DE INDIAS"/>
    <s v="2021130010011 INTEGRACION COMUNITARIA A TRAVES DEL DEPORTE COMO HERRAMIENTA PARA LA INCLUSION SOCIAL DESDE LOS DIFERENTES ENFOQUES POBLACIONALES CARTAGENA DE INDIAS"/>
    <s v="06"/>
    <s v="00"/>
    <n v="0"/>
    <n v="175479787.55000001"/>
    <n v="175479787.55000001"/>
    <n v="115368097"/>
    <n v="60111690.549999997"/>
    <n v="115368097"/>
    <n v="65.739999999999995"/>
    <n v="115368097"/>
    <n v="65.739999999999995"/>
    <n v="60111690.549999997"/>
    <n v="0"/>
  </r>
  <r>
    <n v="2022"/>
    <n v="100"/>
    <x v="5"/>
    <s v="INSTITUTO DE DEPORTE Y RECREACION"/>
    <s v="15 INSTITUTO DE DEPORTE Y RECREACION"/>
    <n v="2021130010011"/>
    <s v="08. PILAR CARTAGENA INCLUYENTE"/>
    <s v="8.4 LÍNEA ESTRATÉGICA DEPORTE Y RECREACIÓN PARA LA TRANSFORMACION SOCIAL "/>
    <s v="8.4.3 DEPORTE SOCIAL COMUNITARIO CON INCLUSION &quot;CARTAGENA INCLUYENTE&quot;"/>
    <s v="2,3,4301,1604,2021130010011"/>
    <s v="059"/>
    <s v="1,2,4,3,01-059 - SGP DEPORTE"/>
    <s v="INV"/>
    <s v="NO"/>
    <s v="INTEGRACION COMUNITARIA A TRAVES DEL DEPORTE COMO HERRAMIENTA PARA LA INCLUSION SOCIAL DESDE LOS DIFERENTES ENFOQUES POBLACIONALES  CARTAGENA DE INDIAS"/>
    <s v="2021130010011 INTEGRACION COMUNITARIA A TRAVES DEL DEPORTE COMO HERRAMIENTA PARA LA INCLUSION SOCIAL DESDE LOS DIFERENTES ENFOQUES POBLACIONALES  CARTAGENA DE INDIAS"/>
    <s v="06"/>
    <s v="00"/>
    <n v="766592134"/>
    <n v="45794709"/>
    <n v="812386843"/>
    <n v="766591284.09000003"/>
    <n v="45795558.909999996"/>
    <n v="766591284.09000003"/>
    <n v="94.36"/>
    <n v="766591284.09000003"/>
    <n v="94.36"/>
    <n v="45795558.909999996"/>
    <n v="417548284.08999997"/>
  </r>
  <r>
    <n v="2022"/>
    <n v="100"/>
    <x v="5"/>
    <s v="INSTITUTO DE DEPORTE Y RECREACION"/>
    <s v="15 INSTITUTO DE DEPORTE Y RECREACION"/>
    <n v="2021130010011"/>
    <s v="08. PILAR CARTAGENA INCLUYENTE"/>
    <s v="8.4 LÍNEA ESTRATÉGICA DEPORTE Y RECREACIÓN PARA LA TRANSFORMACION SOCIAL "/>
    <s v="8.4.3 DEPORTE SOCIAL COMUNITARIO CON INCLUSION &quot;CARTAGENA INCLUYENTE&quot;"/>
    <s v="2,3,4301,1604,2021130010011"/>
    <s v="092"/>
    <s v="1,2,3,3,01-092 - PARTICIPACIONES DISTINTAS DEL SGP (IMPUESTO AL CONSUMO DE CIGARRILLOS Y TABACO)"/>
    <s v="INV"/>
    <s v="NO"/>
    <s v="INTEGRACION COMUNITARIA A TRAVES DEL DEPORTE COMO HERRAMIENTA PARA LA INCLUSION SOCIAL DESDE LOS DIFERENTES ENFOQUES POBLACIONALES  CARTAGENA DE INDIAS"/>
    <s v="2021130010011 INTEGRACION COMUNITARIA A TRAVES DEL DEPORTE COMO HERRAMIENTA PARA LA INCLUSION SOCIAL DESDE LOS DIFERENTES ENFOQUES POBLACIONALES  CARTAGENA DE INDIAS"/>
    <s v="06"/>
    <s v="00"/>
    <n v="75600179"/>
    <n v="0"/>
    <n v="75600179"/>
    <n v="0"/>
    <n v="75600179"/>
    <n v="0"/>
    <n v="0"/>
    <n v="0"/>
    <n v="0"/>
    <n v="75600179"/>
    <n v="0"/>
  </r>
  <r>
    <n v="2022"/>
    <n v="100"/>
    <x v="5"/>
    <s v="INSTITUTO DE DEPORTE Y RECREACION"/>
    <s v="15 INSTITUTO DE DEPORTE Y RECREACION"/>
    <n v="2021130010011"/>
    <s v="08. PILAR CARTAGENA INCLUYENTE"/>
    <s v="8.4 LÍNEA ESTRATÉGICA DEPORTE Y RECREACIÓN PARA LA TRANSFORMACION SOCIAL "/>
    <s v="8.4.3 DEPORTE SOCIAL COMUNITARIO CON INCLUSION &quot;CARTAGENA INCLUYENTE&quot;"/>
    <s v="2,3,4301,1604,2021130010011"/>
    <s v="097"/>
    <s v="1,2,2,0,00-097 - ICDE IDER 3% ICA"/>
    <s v="INV"/>
    <s v="NO"/>
    <s v="INTEGRACION COMUNITARIA A TRAVES DEL DEPORTE COMO HERRAMIENTA PARA LA INCLUSION SOCIAL DESDE LOS DIFERENTES ENFOQUES POBLACIONALES  CARTAGENA DE INDIAS"/>
    <s v="2021130010011 INTEGRACION COMUNITARIA A TRAVES DEL DEPORTE COMO HERRAMIENTA PARA LA INCLUSION SOCIAL DESDE LOS DIFERENTES ENFOQUES POBLACIONALES  CARTAGENA DE INDIAS"/>
    <s v="06"/>
    <s v="00"/>
    <n v="1030599617"/>
    <n v="0"/>
    <n v="1030599617"/>
    <n v="1030599617"/>
    <n v="0"/>
    <n v="1030599617"/>
    <n v="100"/>
    <n v="1030599617"/>
    <n v="100"/>
    <n v="0"/>
    <n v="526287340"/>
  </r>
  <r>
    <n v="2022"/>
    <n v="100"/>
    <x v="5"/>
    <s v="INSTITUTO DE DEPORTE Y RECREACION"/>
    <s v="15 INSTITUTO DE DEPORTE Y RECREACION"/>
    <n v="2021130010011"/>
    <s v="08. PILAR CARTAGENA INCLUYENTE"/>
    <s v="8.4 LÍNEA ESTRATÉGICA DEPORTE Y RECREACIÓN PARA LA TRANSFORMACION SOCIAL "/>
    <s v="8.4.3 DEPORTE SOCIAL COMUNITARIO CON INCLUSION &quot;CARTAGENA INCLUYENTE&quot;"/>
    <s v="2,3,4301,1604,2021130010011"/>
    <s v="122"/>
    <s v="1,3,2,2,08-122 - RF SGP DEPORTE"/>
    <s v="INV"/>
    <s v="NO"/>
    <s v="INTEGRACION COMUNITARIA A TRAVES DEL DEPORTE COMO HERRAMIENTA PARA LA INCLUSION SOCIAL DESDE LOS DIFERENTES ENFOQUES POBLACIONALES  CARTAGENA DE INDIAS"/>
    <s v="2021130010011 INTEGRACION COMUNITARIA A TRAVES DEL DEPORTE COMO HERRAMIENTA PARA LA INCLUSION SOCIAL DESDE LOS DIFERENTES ENFOQUES POBLACIONALES  CARTAGENA DE INDIAS"/>
    <s v="06"/>
    <s v="00"/>
    <n v="34906129"/>
    <n v="0"/>
    <n v="34906129"/>
    <n v="0"/>
    <n v="34906129"/>
    <n v="0"/>
    <n v="0"/>
    <n v="0"/>
    <n v="0"/>
    <n v="34906129"/>
    <n v="0"/>
  </r>
  <r>
    <n v="2022"/>
    <n v="100"/>
    <x v="5"/>
    <s v="INSTITUTO DE DEPORTE Y RECREACION"/>
    <s v="15 INSTITUTO DE DEPORTE Y RECREACION"/>
    <n v="2021130010011"/>
    <s v="08. PILAR CARTAGENA INCLUYENTE"/>
    <s v="8.4 LÍNEA ESTRATÉGICA DEPORTE Y RECREACIÓN PARA LA TRANSFORMACION SOCIAL "/>
    <s v="8.4.3 DEPORTE SOCIAL COMUNITARIO CON INCLUSION &quot;CARTAGENA INCLUYENTE&quot;"/>
    <s v="2,3,4301,1604,2021130010011"/>
    <s v="135"/>
    <s v="1,2,3,2,09-135 - VENTA DE BIENES Y SERVICIOS IDER"/>
    <s v="INV"/>
    <s v="NO"/>
    <s v="INTEGRACION COMUNITARIA A TRAVES DEL DEPORTE COMO HERRAMIENTA PARA LA INCLUSION SOCIAL DESDE LOS DIFERENTES ENFOQUES POBLACIONALES  CARTAGENA DE INDIAS"/>
    <s v="2021130010011 INTEGRACION COMUNITARIA A TRAVES DEL DEPORTE COMO HERRAMIENTA PARA LA INCLUSION SOCIAL DESDE LOS DIFERENTES ENFOQUES POBLACIONALES  CARTAGENA DE INDIAS"/>
    <s v="06"/>
    <s v="00"/>
    <n v="58583924"/>
    <n v="0"/>
    <n v="58583924"/>
    <n v="27999938"/>
    <n v="30583986"/>
    <n v="27999938"/>
    <n v="47.79"/>
    <n v="0"/>
    <n v="0"/>
    <n v="30583986"/>
    <n v="0"/>
  </r>
  <r>
    <n v="2022"/>
    <n v="100"/>
    <x v="5"/>
    <s v="INSTITUTO DE DEPORTE Y RECREACION"/>
    <s v="15 INSTITUTO DE DEPORTE Y RECREACION"/>
    <n v="2021130010011"/>
    <s v="08. PILAR CARTAGENA INCLUYENTE"/>
    <s v="8.4 LÍNEA ESTRATÉGICA DEPORTE Y RECREACIÓN PARA LA TRANSFORMACION SOCIAL "/>
    <s v="8.4.3 DEPORTE SOCIAL COMUNITARIO CON INCLUSION &quot;CARTAGENA INCLUYENTE&quot;"/>
    <s v="2,3,4301,1604,2021130010011"/>
    <s v="025"/>
    <s v="1,2,3,2,05-025 - OTRAS TASAS Y DERECHOS ADMINISTRATIVOS TASA PRODEPORTE"/>
    <s v="INV"/>
    <s v="NO"/>
    <s v="INTEGRACION COMUNITARIA A TRAVES DEL DEPORTE COMO HERRAMIENTA PARA LA INCLUSION SOCIAL DESDE LOS DIFERENTES ENFOQUES POBLACIONALES  CARTAGENA DE INDIAS"/>
    <s v="2021130010011 INTEGRACION COMUNITARIA A TRAVES DEL DEPORTE COMO HERRAMIENTA PARA LA INCLUSION SOCIAL DESDE LOS DIFERENTES ENFOQUES POBLACIONALES  CARTAGENA DE INDIAS"/>
    <s v="06"/>
    <s v="00"/>
    <n v="66666671"/>
    <n v="0"/>
    <n v="66666671"/>
    <n v="15000000"/>
    <n v="51666671"/>
    <n v="15000000"/>
    <n v="22.5"/>
    <n v="15000000"/>
    <n v="22.5"/>
    <n v="51666671"/>
    <n v="15000000"/>
  </r>
  <r>
    <n v="2022"/>
    <n v="100"/>
    <x v="1"/>
    <s v="LOCALIDAD HISTORICA Y DEL CARIBE NORTE"/>
    <s v="11 LOCALIDAD HISTORICA Y DEL CARIBE NORTE"/>
    <n v="2021130010012"/>
    <s v="10. PILAR: CARTAGENA TRANSPARENTE"/>
    <s v="10.7 LÍNEA ESTRATÉGICA: PARTICIPACIÓN Y DESCENTRALIZACIÓN"/>
    <s v="10.7.2 PROGRAMA: MODERNIZACIÓN DEL SISTEMA DISTRITAL DE PLANEACIÓN Y DESCENTRALIZACIÓN  "/>
    <s v="2,3,1905,0300,2021130010012"/>
    <s v="001"/>
    <s v="1,2,1,0,00-001 - ICLD"/>
    <s v="INV"/>
    <s v="NO"/>
    <s v="IMPLEMENTACION PROYECTO MUJERES FORMADAS PARA LA PROMOCION Y EL APRENDIZAJE DE LA DETECCION TEMPRANA DEL CANCER DE CERVIX Y DE MAMA ZONA INSULAR DE LA LOCALIDAD HISTORICA Y DEL CARIBE NORTE DEL DISTRITO DE CARTAGENA DE INDIAS"/>
    <s v="2021130010012 IMPLEMENTACION PROYECTO MUJERES FORMADAS PARA LA PROMOCION Y EL APRENDIZAJE DE LA DETECCION TEMPRANA DEL CANCER DE CERVIX Y DE MAMA ZONA INSULAR DE LA LOCALIDAD HISTORICA Y DEL CARIBE NORTE DEL DISTRITO DE CARTAGENA DE INDIAS"/>
    <s v="06"/>
    <s v="00"/>
    <n v="0"/>
    <n v="400000000"/>
    <n v="400000000"/>
    <n v="400000000"/>
    <n v="0"/>
    <n v="400000000"/>
    <n v="100"/>
    <n v="400000000"/>
    <n v="100"/>
    <n v="0"/>
    <n v="400000000"/>
  </r>
  <r>
    <n v="2022"/>
    <n v="100"/>
    <x v="1"/>
    <s v="LOCALIDAD HISTORICA Y DEL CARIBE NORTE"/>
    <s v="11 LOCALIDAD HISTORICA Y DEL CARIBE NORTE"/>
    <n v="2021130010013"/>
    <s v="10. PILAR: CARTAGENA TRANSPARENTE"/>
    <s v="10.7 LÍNEA ESTRATÉGICA: PARTICIPACIÓN Y DESCENTRALIZACIÓN"/>
    <s v="10.7.2 PROGRAMA: MODERNIZACIÓN DEL SISTEMA DISTRITAL DE PLANEACIÓN Y DESCENTRALIZACIÓN  "/>
    <s v="2,3,3602,1300,2021130010013"/>
    <s v="001"/>
    <s v="1,2,1,0,00-001 - ICLD"/>
    <s v="INV"/>
    <s v="NO"/>
    <s v="IMPLEMENTACION PROYECTO CREAR Y FORTALECER UNIDADES PRODUCTIVAS CON CAPITAL SEMILLA PARA LA POBLACION DE LA LOCALIDAD HISTORICA Y DEL CARIBE NORTE"/>
    <s v="2021130010013 IMPLEMENTACION PROYECTO CREAR Y FORTALECER UNIDADES PRODUCTIVAS CON CAPITAL SEMILLA PARA LA POBLACION DE LA LOCALIDAD HISTORICA Y DEL CARIBE NORTE"/>
    <s v="06"/>
    <s v="00"/>
    <n v="0"/>
    <n v="430974335.47000003"/>
    <n v="430974335.47000003"/>
    <n v="430974335.47000003"/>
    <n v="0"/>
    <n v="429740000"/>
    <n v="99.71"/>
    <n v="429740000"/>
    <n v="99.71"/>
    <n v="1234335.47"/>
    <n v="429740000"/>
  </r>
  <r>
    <n v="2022"/>
    <n v="100"/>
    <x v="1"/>
    <s v="LOCALIDAD HISTORICA Y DEL CARIBE NORTE"/>
    <s v="11 LOCALIDAD HISTORICA Y DEL CARIBE NORTE"/>
    <n v="2021130010014"/>
    <s v="10. PILAR: CARTAGENA TRANSPARENTE"/>
    <s v="10.7 LÍNEA ESTRATÉGICA: PARTICIPACIÓN Y DESCENTRALIZACIÓN"/>
    <s v="10.7.2 PROGRAMA: MODERNIZACIÓN DEL SISTEMA DISTRITAL DE PLANEACIÓN Y DESCENTRALIZACIÓN  "/>
    <s v="2,3,4501,1000,2021130010014"/>
    <s v="001"/>
    <s v="1,2,1,0,00-001 - ICLD"/>
    <s v="INV"/>
    <s v="NO"/>
    <s v="IMPLEMENTACION PROYECTO MUJERES FORMADAS PARA LA PROMOCION DE SUS DERECHOS SEXUALES Y REPRODUCTIVOS Y LA IGUALDAD DE GENERO ZONA INSULAR O URBANA DE LA LOCALIDAD HISTORICA Y DEL CARIBE NORTE DEL DISTRITO DE CARTAGENA DE INDIAS"/>
    <s v="2021130010014 IMPLEMENTACION PROYECTO MUJERES FORMADAS PARA LA PROMOCION DE SUS DERECHOS SEXUALES Y REPRODUCTIVOS Y LA IGUALDAD DE GENERO ZONA INSULAR O URBANA DE LA LOCALIDAD HISTORICA Y DEL CARIBE NORTE DEL DISTRITO DE CARTAGENA DE INDIAS"/>
    <s v="06"/>
    <s v="00"/>
    <n v="0"/>
    <n v="500000000"/>
    <n v="500000000"/>
    <n v="500000000"/>
    <n v="0"/>
    <n v="500000000"/>
    <n v="100"/>
    <n v="500000000"/>
    <n v="100"/>
    <n v="0"/>
    <n v="500000000"/>
  </r>
  <r>
    <n v="2022"/>
    <n v="100"/>
    <x v="1"/>
    <s v="LOCALIDAD HISTORICA Y DEL CARIBE NORTE"/>
    <s v="11 LOCALIDAD HISTORICA Y DEL CARIBE NORTE"/>
    <n v="2021130010015"/>
    <s v="10. PILAR: CARTAGENA TRANSPARENTE"/>
    <s v="10.7 LÍNEA ESTRATÉGICA: PARTICIPACIÓN Y DESCENTRALIZACIÓN"/>
    <s v="10.7.2 PROGRAMA: MODERNIZACIÓN DEL SISTEMA DISTRITAL DE PLANEACIÓN Y DESCENTRALIZACIÓN  "/>
    <s v="2,3,3604,1603,2021130010015"/>
    <s v="001"/>
    <s v="1,2,1,0,00-001 - ICLD"/>
    <s v="INV"/>
    <s v="NO"/>
    <s v="IMPLEMENTACION DEL PROYECTO DE CAPACITACION A LOS HABITANTES (MUJERES) DE LA LOCALIDAD HISTORICA Y DEL CARIBE NORTE EN EL EMPRENDIMIENTO Y ENCADENAMIENTO PRODUCTIVO INCORPORADO EL ENFOQUE DIFERENCIAL EN EL DISTRITO DE CARTAGENA DE INDIAS,"/>
    <s v="2021130010015 IMPLEMENTACION DEL PROYECTO DE CAPACITACION A LOS HABITANTES (MUJERES) DE LA LOCALIDAD HISTORICA Y DEL CARIBE NORTE EN EL EMPRENDIMIENTO Y ENCADENAMIENTO PRODUCTIVO INCORPORADO EL ENFOQUE DIFERENCIAL EN EL DISTRITO DE CARTAGENA DE INDIAS,"/>
    <s v="06"/>
    <s v="00"/>
    <n v="0"/>
    <n v="500000000"/>
    <n v="500000000"/>
    <n v="500000000"/>
    <n v="0"/>
    <n v="496990000"/>
    <n v="99.4"/>
    <n v="496990000"/>
    <n v="99.4"/>
    <n v="3010000"/>
    <n v="496990000"/>
  </r>
  <r>
    <n v="2022"/>
    <n v="100"/>
    <x v="1"/>
    <s v="LOCALIDAD HISTORICA Y DEL CARIBE NORTE"/>
    <s v="11 LOCALIDAD HISTORICA Y DEL CARIBE NORTE"/>
    <n v="2021130010017"/>
    <s v="10. PILAR: CARTAGENA TRANSPARENTE"/>
    <s v="10.7 LÍNEA ESTRATÉGICA: PARTICIPACIÓN Y DESCENTRALIZACIÓN"/>
    <s v="10.7.2 PROGRAMA: MODERNIZACIÓN DEL SISTEMA DISTRITAL DE PLANEACIÓN Y DESCENTRALIZACIÓN  "/>
    <s v="2,3,3602,1300,2021130010017"/>
    <s v="001"/>
    <s v="1,2,1,0,00-001 - ICLD"/>
    <s v="INV"/>
    <s v="NO"/>
    <s v="IMPLEMENTACION DEL PROYECTO EMPRENDIMIENTO Y GESTION DE LA EMPLEABILIDAD EN LOCALIDAD HISTORICA Y DEL CARIBE NORTE EN EL DISTRITO DE CARTAGENA DE INDIAS, "/>
    <s v="2021130010017 IMPLEMENTACION DEL PROYECTO EMPRENDIMIENTO Y GESTION DE LA EMPLEABILIDAD EN LOCALIDAD HISTORICA Y DEL CARIBE NORTE EN EL DISTRITO DE CARTAGENA DE INDIAS, "/>
    <s v="06"/>
    <s v="00"/>
    <n v="0"/>
    <n v="1300000000"/>
    <n v="1300000000"/>
    <n v="1300000000"/>
    <n v="0"/>
    <n v="1300000000"/>
    <n v="100"/>
    <n v="1300000000"/>
    <n v="100"/>
    <n v="0"/>
    <n v="1300000000"/>
  </r>
  <r>
    <n v="2022"/>
    <n v="100"/>
    <x v="1"/>
    <s v="LOCALIDAD HISTORICA Y DEL CARIBE NORTE"/>
    <s v="11 LOCALIDAD HISTORICA Y DEL CARIBE NORTE"/>
    <n v="2021130010018"/>
    <s v="10. PILAR: CARTAGENA TRANSPARENTE"/>
    <s v="10.7 LÍNEA ESTRATÉGICA: PARTICIPACIÓN Y DESCENTRALIZACIÓN"/>
    <s v="10.7.2 PROGRAMA: MODERNIZACIÓN DEL SISTEMA DISTRITAL DE PLANEACIÓN Y DESCENTRALIZACIÓN  "/>
    <s v="2,3,4104,1300,2021130010018"/>
    <s v="001"/>
    <s v="1,2,1,0,00-001 - ICLD"/>
    <s v="INV"/>
    <s v="NO"/>
    <s v="IMPLEMENTACION DEL PROYECTO PARA CAPACITAR Y FORMAR A CUIDADORES DE PERSONAS EN CONDICION DE DISCAPACIDAD EN LA LOCALIDAD HISTORICA Y DEL CARIBE NORTE DEL DISTRITO DE CARTAGENA DE INDIAS, "/>
    <s v="2021130010018 IMPLEMENTACION DEL PROYECTO PARA CAPACITAR Y FORMAR A CUIDADORES DE PERSONAS EN CONDICION DE DISCAPACIDAD EN LA LOCALIDAD HISTORICA Y DEL CARIBE NORTE DEL DISTRITO DE CARTAGENA DE INDIAS, "/>
    <s v="06"/>
    <s v="00"/>
    <n v="0"/>
    <n v="700000000"/>
    <n v="700000000"/>
    <n v="700000000"/>
    <n v="0"/>
    <n v="700000000"/>
    <n v="100"/>
    <n v="700000000"/>
    <n v="100"/>
    <n v="0"/>
    <n v="700000000"/>
  </r>
  <r>
    <n v="2022"/>
    <n v="100"/>
    <x v="1"/>
    <s v="LOCALIDAD HISTORICA Y DEL CARIBE NORTE"/>
    <s v="11 LOCALIDAD HISTORICA Y DEL CARIBE NORTE"/>
    <n v="2021130010019"/>
    <s v="10. PILAR: CARTAGENA TRANSPARENTE"/>
    <s v="10.7 LÍNEA ESTRATÉGICA: PARTICIPACIÓN Y DESCENTRALIZACIÓN"/>
    <s v="10.7.2 PROGRAMA: MODERNIZACIÓN DEL SISTEMA DISTRITAL DE PLANEACIÓN Y DESCENTRALIZACIÓN  "/>
    <s v="2,3,3301,1603,2021130010019"/>
    <s v="001"/>
    <s v="1,2,1,0,00-001 - ICLD"/>
    <s v="INV"/>
    <s v="NO"/>
    <s v="IMPLEMENTACION PROYECTO APOYANDO EL IMPULSO DE GRUPOS CULTURALES DE LA LOCALIDAD, HISTORICA Y DEL CARIBENORTE  "/>
    <s v="2021130010019 IMPLEMENTACION PROYECTO APOYANDO EL IMPULSO DE GRUPOS CULTURALES DE LA LOCALIDAD, HISTORICA Y DEL CARIBENORTE  "/>
    <s v="06"/>
    <s v="00"/>
    <n v="0"/>
    <n v="500000000"/>
    <n v="500000000"/>
    <n v="500000000"/>
    <n v="0"/>
    <n v="500000000"/>
    <n v="100"/>
    <n v="500000000"/>
    <n v="100"/>
    <n v="0"/>
    <n v="500000000"/>
  </r>
  <r>
    <n v="2022"/>
    <n v="100"/>
    <x v="1"/>
    <s v="LOCALIDAD HISTORICA Y DEL CARIBE NORTE"/>
    <s v="11 LOCALIDAD HISTORICA Y DEL CARIBE NORTE"/>
    <n v="2021130010020"/>
    <s v="10. PILAR: CARTAGENA TRANSPARENTE"/>
    <s v="10.7 LÍNEA ESTRATÉGICA: PARTICIPACIÓN Y DESCENTRALIZACIÓN"/>
    <s v="10.7.2 PROGRAMA: MODERNIZACIÓN DEL SISTEMA DISTRITAL DE PLANEACIÓN Y DESCENTRALIZACIÓN  "/>
    <s v="2,3,3602,1300,2021130010020"/>
    <s v="001"/>
    <s v="1,2,1,0,00-001 - ICLD"/>
    <s v="INV"/>
    <s v="NO"/>
    <s v="APLICACION PROMOCION DEL EMPRENDIMIENTO JUVENIL EN ZONA INSULAR DE LA LOCALIDAD HISTORICA Y DEL CARIBE NORTE DEL DISTRITO DE CARTAGENA DE INDIAS"/>
    <s v="2021130010020 APLICACION PROMOCION DEL EMPRENDIMIENTO JUVENIL EN ZONA INSULAR DE LA LOCALIDAD HISTORICA Y DEL CARIBE NORTE DEL DISTRITO DE CARTAGENA DE INDIAS"/>
    <s v="06"/>
    <s v="00"/>
    <n v="0"/>
    <n v="300000000"/>
    <n v="300000000"/>
    <n v="300000000"/>
    <n v="0"/>
    <n v="300000000"/>
    <n v="100"/>
    <n v="300000000"/>
    <n v="100"/>
    <n v="0"/>
    <n v="300000000"/>
  </r>
  <r>
    <n v="2022"/>
    <n v="100"/>
    <x v="1"/>
    <s v="LOCALIDAD HISTORICA Y DEL CARIBE NORTE"/>
    <s v="11 LOCALIDAD HISTORICA Y DEL CARIBE NORTE"/>
    <n v="2021130010021"/>
    <s v="10. PILAR: CARTAGENA TRANSPARENTE"/>
    <s v="10.7 LÍNEA ESTRATÉGICA: PARTICIPACIÓN Y DESCENTRALIZACIÓN"/>
    <s v="10.7.2 PROGRAMA: MODERNIZACIÓN DEL SISTEMA DISTRITAL DE PLANEACIÓN Y DESCENTRALIZACIÓN  "/>
    <s v="2,3,4501,1000,2021130010021"/>
    <s v="001"/>
    <s v="1,2,1,0,00-001 - ICLD"/>
    <s v="INV"/>
    <s v="NO"/>
    <s v="APLICACION PROMOCION A EL FORTALECIMIENTO Y FORMACION A FRENTES DE SEGURIDAD DE LA LOCALIDAD HISTORICA Y DEL CARIBE NORTE"/>
    <s v="2021130010021 APLICACION PROMOCION A EL FORTALECIMIENTO Y FORMACION A FRENTES DE SEGURIDAD DE LA LOCALIDAD HISTORICA Y DEL CARIBE NORTE"/>
    <s v="06"/>
    <s v="00"/>
    <n v="0"/>
    <n v="1200000000"/>
    <n v="1200000000"/>
    <n v="1200000000"/>
    <n v="0"/>
    <n v="1200000000"/>
    <n v="100"/>
    <n v="600000000"/>
    <n v="50"/>
    <n v="0"/>
    <n v="600000000"/>
  </r>
  <r>
    <n v="2022"/>
    <n v="100"/>
    <x v="1"/>
    <s v="LOCALIDAD HISTORICA Y DEL CARIBE NORTE"/>
    <s v="11 LOCALIDAD HISTORICA Y DEL CARIBE NORTE"/>
    <n v="2021130010022"/>
    <s v="10. PILAR: CARTAGENA TRANSPARENTE"/>
    <s v="10.7 LÍNEA ESTRATÉGICA: PARTICIPACIÓN Y DESCENTRALIZACIÓN"/>
    <s v="10.7.2 PROGRAMA: MODERNIZACIÓN DEL SISTEMA DISTRITAL DE PLANEACIÓN Y DESCENTRALIZACIÓN  "/>
    <s v="2,3,4501,1000,2021130010022"/>
    <s v="001"/>
    <s v="1,2,1,0,00-001 - ICLD"/>
    <s v="INV"/>
    <s v="NO"/>
    <s v="IMPLEMENTACION PROYECTO DE FORMACION EN CONVIVENCIA Y PAZ PARA LOS MIEMBROS DE JAC Y LOS FUNCIONARIOS DE LA ALCALDIA LOCAL LHCN"/>
    <s v="2021130010022 IMPLEMENTACION PROYECTO DE FORMACION EN CONVIVENCIA Y PAZ PARA LOS MIEMBROS DE JAC Y LOS FUNCIONARIOS DE LA ALCALDIA LOCAL LHCN"/>
    <s v="06"/>
    <s v="00"/>
    <n v="0"/>
    <n v="400000000"/>
    <n v="400000000"/>
    <n v="400000000"/>
    <n v="0"/>
    <n v="400000000"/>
    <n v="100"/>
    <n v="400000000"/>
    <n v="100"/>
    <n v="0"/>
    <n v="400000000"/>
  </r>
  <r>
    <n v="2022"/>
    <n v="100"/>
    <x v="1"/>
    <s v="LOCALIDAD HISTORICA Y DEL CARIBE NORTE"/>
    <s v="11 LOCALIDAD HISTORICA Y DEL CARIBE NORTE"/>
    <n v="2021130010023"/>
    <s v="10. PILAR: CARTAGENA TRANSPARENTE"/>
    <s v="10.7 LÍNEA ESTRATÉGICA: PARTICIPACIÓN Y DESCENTRALIZACIÓN"/>
    <s v="10.7.2 PROGRAMA: MODERNIZACIÓN DEL SISTEMA DISTRITAL DE PLANEACIÓN Y DESCENTRALIZACIÓN  "/>
    <s v="2,3,1702,1300,2021130010023"/>
    <s v="001"/>
    <s v="1,2,1,0,00-001 - ICLD"/>
    <s v="INV"/>
    <s v="NO"/>
    <s v="APLICACION PROMOCION DEL EMPRENDIMIEN A PROYECTOS PRODUCTIVOS, QUE INCLUYAN CAPITAL SEMILLA EN POBLACION NEGRA, AFROCOLOMBIANA, RAIZAL EN ZONA INSULAR O URBANA DE LA LOCALIDAD HISTORICA Y DEL CARIBE NORTE DISTRITO DE CARTAGENA DE INDIAS"/>
    <s v="2021130010023 APLICACION PROMOCION DEL EMPRENDIMIEN A PROYECTOS PRODUCTIVOS, QUE INCLUYAN CAPITAL SEMILLA EN POBLACION NEGRA, AFROCOLOMBIANA, RAIZAL EN ZONA INSULAR O URBANA DE LA LOCALIDAD HISTORICA Y DEL CARIBE NORTE DISTRITO DE CARTAGENA DE INDIAS"/>
    <s v="06"/>
    <s v="00"/>
    <n v="0"/>
    <n v="400000000.10000002"/>
    <n v="400000000.10000002"/>
    <n v="400000000"/>
    <n v="0.1"/>
    <n v="400000000"/>
    <n v="100"/>
    <n v="400000000"/>
    <n v="100"/>
    <n v="0.1"/>
    <n v="400000000"/>
  </r>
  <r>
    <n v="2022"/>
    <n v="100"/>
    <x v="1"/>
    <s v="LOCALIDAD HISTORICA Y DEL CARIBE NORTE"/>
    <s v="11 LOCALIDAD HISTORICA Y DEL CARIBE NORTE"/>
    <n v="2021130010025"/>
    <s v="10. PILAR: CARTAGENA TRANSPARENTE"/>
    <s v="10.7 LÍNEA ESTRATÉGICA: PARTICIPACIÓN Y DESCENTRALIZACIÓN"/>
    <s v="10.7.2 PROGRAMA: MODERNIZACIÓN DEL SISTEMA DISTRITAL DE PLANEACIÓN Y DESCENTRALIZACIÓN  "/>
    <s v="2,3,4301,1604,2021130010025"/>
    <s v="001"/>
    <s v="1,2,1,0,00-001 - ICLD"/>
    <s v="INV"/>
    <s v="NO"/>
    <s v="ELABORACION DE ESTUDIOS Y DISE?OS PARA VIAS EN LOS BARRIOS DE LA LOCALIDAD HISTORICA Y DEL CARIBE NORTE DEL DISTRITO DE CARTAGENA"/>
    <s v="2021130010025 ELABORACION DE ESTUDIOS Y DISE?OS PARA VIAS EN LOS BARRIOS DE LA LOCALIDAD HISTORICA Y DEL CARIBE NORTE DEL DISTRITO DE CARTAGENA"/>
    <s v="06"/>
    <s v="00"/>
    <n v="0"/>
    <n v="900000000"/>
    <n v="900000000"/>
    <n v="900000000"/>
    <n v="0"/>
    <n v="899640000"/>
    <n v="99.96"/>
    <n v="899640000"/>
    <n v="99.96"/>
    <n v="360000"/>
    <n v="899640000"/>
  </r>
  <r>
    <n v="2022"/>
    <n v="100"/>
    <x v="17"/>
    <s v="SECRETARIA DE INFRAESTRUCTURA"/>
    <s v="06 SECRETARIA DE INFRAESTRUCTURA"/>
    <n v="2021130010035"/>
    <s v="07. PILAR CARTAGENA RESILIENTE"/>
    <s v="7.7 LÍNEA ESTRATÉGICA INSTRUMENTOS DE ORDENAMIENTO TERRITORIAL."/>
    <s v="7.7.3 ORDENACIÓN TERRITORIAL Y  RECUPERACIÓN SOCIAL, AMBIENTAL Y URBANA DE LA CIÉNAGA DE LA VIRGEN."/>
    <s v="2,3,4002,1400,2021130010035"/>
    <s v="138"/>
    <s v="1,3,1,1,03-138 - DIVIDENDOS SOCIEDAD PORTUARIA"/>
    <s v="INV"/>
    <s v="NO"/>
    <s v="ELABORACION DE ESTUDIOS Y DISE?OS AJUSTADOS DE LA VIA PERIMETRAL EN EL MARCO DEL PROGRAMA ORDENACION TERRITORIAL Y RECUPERACION SOCIAL AMBIENTAL Y URBANA DE LA CIENAGA DE LA VIRGEN EN EL DISTRITO DE  CARTAGENA DE INDIAS"/>
    <s v="2021130010035 ELABORACION DE ESTUDIOS Y DISE?OS AJUSTADOS DE LA VIA PERIMETRAL EN EL MARCO DEL PROGRAMA ORDENACION TERRITORIAL Y RECUPERACION SOCIAL AMBIENTAL Y URBANA DE LA CIENAGA DE LA VIRGEN EN EL DISTRITO DE  CARTAGENA DE INDIAS"/>
    <s v="06"/>
    <s v="00"/>
    <n v="400000000"/>
    <n v="-400000000"/>
    <n v="0"/>
    <n v="0"/>
    <n v="0"/>
    <n v="0"/>
    <n v="0"/>
    <n v="0"/>
    <n v="0"/>
    <n v="0"/>
    <n v="0"/>
  </r>
  <r>
    <n v="2022"/>
    <n v="100"/>
    <x v="17"/>
    <s v="SECRETARIA DE INFRAESTRUCTURA"/>
    <s v="06 SECRETARIA DE INFRAESTRUCTURA"/>
    <n v="2021130010035"/>
    <s v="07. PILAR CARTAGENA RESILIENTE"/>
    <s v="7.7 LÍNEA ESTRATÉGICA INSTRUMENTOS DE ORDENAMIENTO TERRITORIAL."/>
    <s v="7.7.3 ORDENACIÓN TERRITORIAL Y  RECUPERACIÓN SOCIAL, AMBIENTAL Y URBANA DE LA CIÉNAGA DE LA VIRGEN."/>
    <s v="2,3,4002,1400,2021130010035"/>
    <s v="001"/>
    <s v="1,2,1,0,00-001 - ICLD"/>
    <s v="INV"/>
    <s v="NO"/>
    <s v="ELABORACION DE ESTUDIOS Y DISE?OS AJUSTADOS DE LA VIA PERIMETRAL EN EL MARCO DEL PROGRAMA ORDENACION TERRITORIAL Y RECUPERACION SOCIAL AMBIENTAL Y URBANA DE LA CIENAGA DE LA VIRGEN EN EL DISTRITO DE  CARTAGENA DE INDIAS"/>
    <s v="2021130010035 ELABORACION DE ESTUDIOS Y DISE?OS AJUSTADOS DE LA VIA PERIMETRAL EN EL MARCO DEL PROGRAMA ORDENACION TERRITORIAL Y RECUPERACION SOCIAL AMBIENTAL Y URBANA DE LA CIENAGA DE LA VIRGEN EN EL DISTRITO DE  CARTAGENA DE INDIAS"/>
    <s v="06"/>
    <s v="00"/>
    <n v="400000000"/>
    <n v="-240500000"/>
    <n v="159500000"/>
    <n v="159500000"/>
    <n v="0"/>
    <n v="152505000"/>
    <n v="95.61"/>
    <n v="149700000"/>
    <n v="93.86"/>
    <n v="6995000"/>
    <n v="147250000"/>
  </r>
  <r>
    <n v="2022"/>
    <n v="100"/>
    <x v="7"/>
    <s v="SECRETARIA DE EDUCACION"/>
    <s v="07 SECRETARIA DE EDUCACION"/>
    <n v="2021130010036"/>
    <s v="08. PILAR CARTAGENA INCLUYENTE"/>
    <s v="8.2 LÍNEA ESTRATEGICA DE EDUCACION: CULTURA DE LA FORMACION &quot;CON LA EDUCACION PARA TODOS Y TODAS SALVAMOS JUNTOS A CARTAGENA&quot;"/>
    <s v="8.2.2 PROGRAMA: SABIDURÍA DE LA PRIMERA INFANCIA “GRANDES BANDERAS, GESTO E IDEAS PARA CAMBIAR EL PLANETA”"/>
    <s v="2,3,2201,0700,2021130010036"/>
    <s v="001"/>
    <s v="1,2,1,0,00-001 - ICLD"/>
    <s v="INV"/>
    <s v="NO"/>
    <s v="IMPLEMENTACION DE LA ESTRATEGIA DESCUBRIENDO EL MUNDO: UN GOBIERNO QUE CREE EN LAS NI?AS Y LOS NI?OS EN EL MARCO DEL PROGRAMA SABIDURIA DE LA PRIMERA INFANCIA -TG+ EN  CARTAGENA DE INDIAS"/>
    <s v="2021130010036 IMPLEMENTACION DE LA ESTRATEGIA DESCUBRIENDO EL MUNDO: UN GOBIERNO QUE CREE EN LAS NI?AS Y LOS NI?OS EN EL MARCO DEL PROGRAMA SABIDURIA DE LA PRIMERA INFANCIA -TG+ EN  CARTAGENA DE INDIAS"/>
    <s v="06"/>
    <s v="00"/>
    <n v="138824928.88"/>
    <n v="10912650"/>
    <n v="149737578.88"/>
    <n v="122117750"/>
    <n v="27619828.879999999"/>
    <n v="122117750"/>
    <n v="81.55"/>
    <n v="122117750"/>
    <n v="81.55"/>
    <n v="27619828.879999999"/>
    <n v="122117750"/>
  </r>
  <r>
    <n v="2022"/>
    <n v="100"/>
    <x v="7"/>
    <s v="SECRETARIA DE EDUCACION"/>
    <s v="07 SECRETARIA DE EDUCACION"/>
    <n v="2021130010039"/>
    <s v="08. PILAR CARTAGENA INCLUYENTE"/>
    <s v="8.2 LÍNEA ESTRATEGICA DE EDUCACION: CULTURA DE LA FORMACION &quot;CON LA EDUCACION PARA TODOS Y TODAS SALVAMOS JUNTOS A CARTAGENA&quot;"/>
    <s v="8.2.8 PROGRAMA: MOVILIZACIÓN  “POR UNA GESTIÓN EDUCATIVA TRANSPARENTE, PARTICIPATIVA Y EFICIENTE”"/>
    <s v="2,3,2201,0700,2021130010039"/>
    <s v="001"/>
    <s v="1,2,1,0,00-001 - ICLD"/>
    <s v="INV"/>
    <s v="NO"/>
    <s v="FORMULACION POLITICA PUBLICA DISTRITAL SECTOR EDUCATIVO EG+  CARTAGENA DE INDIAS"/>
    <s v="2021130010039 FORMULACION POLITICA PUBLICA DISTRITAL SECTOR EDUCATIVO EG+  CARTAGENA DE INDIAS"/>
    <s v="06"/>
    <s v="00"/>
    <n v="500000000"/>
    <n v="92505767"/>
    <n v="592505767"/>
    <n v="571449100"/>
    <n v="21056667"/>
    <n v="545659101"/>
    <n v="92.09"/>
    <n v="525850636.26999998"/>
    <n v="88.75"/>
    <n v="46846666"/>
    <n v="521097302.26999998"/>
  </r>
  <r>
    <n v="2022"/>
    <n v="100"/>
    <x v="0"/>
    <s v="LOCALIDAD TURISTICA Y DE LA VIRGEN"/>
    <s v="04 LOCALIDAD TURISTICA Y DE LA VIRGEN"/>
    <n v="2021130010042"/>
    <s v="10. PILAR: CARTAGENA TRANSPARENTE"/>
    <s v="10.7 LÍNEA ESTRATÉGICA: PARTICIPACIÓN Y DESCENTRALIZACIÓN"/>
    <s v="10.7.2 PROGRAMA: MODERNIZACIÓN DEL SISTEMA DISTRITAL DE PLANEACIÓN Y DESCENTRALIZACIÓN  "/>
    <s v="2,3,3301,1603,2021130010042"/>
    <s v="001"/>
    <s v="1,2,1,0,00-001 - ICLD"/>
    <s v="INV"/>
    <s v="NO"/>
    <s v="FORTALECIMIENTO APOYAR A LOS TRABAJADORES Y LAS TRABAJADORAS DE LA CULTURA EN SUS PROCESOS DE FORMACION INVESTIGACION CREACION PRODUCCION Y CIRCULACION A TRAVES DE PROCESOS PEDAGOGICOS Y DE CONVOCATORIAS TRANSPARENTES CARTAGENA DE INDIAS"/>
    <s v="2021130010042 FORTALECIMIENTO APOYAR A LOS TRABAJADORES Y LAS TRABAJADORAS DE LA CULTURA EN SUS PROCESOS DE FORMACION INVESTIGACION CREACION PRODUCCION Y CIRCULACION A TRAVES DE PROCESOS PEDAGOGICOS Y DE CONVOCATORIAS TRANSPARENTES CARTAGENA DE INDIAS"/>
    <s v="06"/>
    <s v="00"/>
    <n v="200000000"/>
    <n v="-200000000"/>
    <n v="0"/>
    <n v="0"/>
    <n v="0"/>
    <n v="0"/>
    <n v="0"/>
    <n v="0"/>
    <n v="0"/>
    <n v="0"/>
    <n v="0"/>
  </r>
  <r>
    <n v="2022"/>
    <n v="100"/>
    <x v="2"/>
    <s v="LOCALIDAD INDUSTRIAL Y DE LA BAHIA"/>
    <s v="23 LOCALIDAD INDUSTRIAL Y DE LA BAHIA"/>
    <n v="2021130010044"/>
    <s v="10. PILAR: CARTAGENA TRANSPARENTE"/>
    <s v="10.7 LÍNEA ESTRATÉGICA: PARTICIPACIÓN Y DESCENTRALIZACIÓN"/>
    <s v="10.7.2 PROGRAMA: MODERNIZACIÓN DEL SISTEMA DISTRITAL DE PLANEACIÓN Y DESCENTRALIZACIÓN  "/>
    <s v="2,3,3208,0900,2021130010044"/>
    <s v="001"/>
    <s v="1,2,1,0,00-001 - ICLD"/>
    <s v="INV"/>
    <s v="NO"/>
    <s v="CAPACITACION PARA LOGRAR SENSIBILIZAR Y MEJORAR LA CULTURA AMBIENTAL EN LA LOCALIDAD INDUSTRIAL Y DE LA BAHIA QUE PRESERVE EL EQUILIBRIO NATURAL DE LOS ECOSISTEMAS CARTAGENA DE INDIAS"/>
    <s v="2021130010044 CAPACITACION PARA LOGRAR SENSIBILIZAR Y MEJORAR LA CULTURA AMBIENTAL EN LA LOCALIDAD INDUSTRIAL Y DE LA BAHIA QUE PRESERVE EL EQUILIBRIO NATURAL DE LOS ECOSISTEMAS CARTAGENA DE INDIAS"/>
    <s v="06"/>
    <s v="00"/>
    <n v="0"/>
    <n v="200000000"/>
    <n v="200000000"/>
    <n v="0"/>
    <n v="200000000"/>
    <n v="0"/>
    <n v="0"/>
    <n v="0"/>
    <n v="0"/>
    <n v="200000000"/>
    <n v="0"/>
  </r>
  <r>
    <n v="2022"/>
    <n v="100"/>
    <x v="2"/>
    <s v="LOCALIDAD INDUSTRIAL Y DE LA BAHIA"/>
    <s v="23 LOCALIDAD INDUSTRIAL Y DE LA BAHIA"/>
    <n v="2021130010045"/>
    <s v="10. PILAR: CARTAGENA TRANSPARENTE"/>
    <s v="10.7 LÍNEA ESTRATÉGICA: PARTICIPACIÓN Y DESCENTRALIZACIÓN"/>
    <s v="10.7.2 PROGRAMA: MODERNIZACIÓN DEL SISTEMA DISTRITAL DE PLANEACIÓN Y DESCENTRALIZACIÓN  "/>
    <s v="2,3,4501,1000,2021130010045"/>
    <s v="001"/>
    <s v="1,2,1,0,00-001 - ICLD"/>
    <s v="INV"/>
    <s v="NO"/>
    <s v="IMPLEMENTACION DE PROTECCION Y ATENCION A LOS ANIMALES EN CONDICION DE CALLE EVITANDO SU REPRODUCCION Y PREVINIENDO EL ABANDONO DE ANIMALES A TRAVES DE CAMPA?AS MASIVAS EN LA LOCALIDAD INDUSTRIAL Y DE LA BAHIA CARTAGENA DE INDIAS"/>
    <s v="2021130010045 IMPLEMENTACION DE PROTECCION Y ATENCION A LOS ANIMALES EN CONDICION DE CALLE EVITANDO SU REPRODUCCION Y PREVINIENDO EL ABANDONO DE ANIMALES A TRAVES DE CAMPA?AS MASIVAS EN LA LOCALIDAD INDUSTRIAL Y DE LA BAHIA CARTAGENA DE INDIAS"/>
    <s v="06"/>
    <s v="00"/>
    <n v="0"/>
    <n v="300000000"/>
    <n v="300000000"/>
    <n v="300000000"/>
    <n v="0"/>
    <n v="292367850"/>
    <n v="97.46"/>
    <n v="292367850"/>
    <n v="97.46"/>
    <n v="7632150"/>
    <n v="292367850"/>
  </r>
  <r>
    <n v="2022"/>
    <n v="100"/>
    <x v="2"/>
    <s v="LOCALIDAD INDUSTRIAL Y DE LA BAHIA"/>
    <s v="23 LOCALIDAD INDUSTRIAL Y DE LA BAHIA"/>
    <n v="2021130010047"/>
    <s v="10. PILAR: CARTAGENA TRANSPARENTE"/>
    <s v="10.7 LÍNEA ESTRATÉGICA: PARTICIPACIÓN Y DESCENTRALIZACIÓN"/>
    <s v="10.7.2 PROGRAMA: MODERNIZACIÓN DEL SISTEMA DISTRITAL DE PLANEACIÓN Y DESCENTRALIZACIÓN  "/>
    <s v="2,3,3205,0900,2021130010047"/>
    <s v="001"/>
    <s v="1,2,1,0,00-001 - ICLD"/>
    <s v="INV"/>
    <s v="NO"/>
    <s v="DIFUSION DE LAS MEDIDAS NECESARIAS PARA LA ADAPTACION A LOS IMPACTOS GENERADOS POR EL CAMBIO CLIMATICO Y POR LOS ACTUALES NIVELES DE CONTAMINACION, CARTAGENA DE INDIAS"/>
    <s v="2021130010047 DIFUSION DE LAS MEDIDAS NECESARIAS PARA LA ADAPTACION A LOS IMPACTOS GENERADOS POR EL CAMBIO CLIMATICO Y POR LOS ACTUALES NIVELES DE CONTAMINACION, CARTAGENA DE INDIAS"/>
    <s v="06"/>
    <s v="00"/>
    <n v="0"/>
    <n v="200000000"/>
    <n v="200000000"/>
    <n v="200000000"/>
    <n v="0"/>
    <n v="200000000"/>
    <n v="100"/>
    <n v="0"/>
    <n v="0"/>
    <n v="0"/>
    <n v="0"/>
  </r>
  <r>
    <n v="2022"/>
    <n v="100"/>
    <x v="2"/>
    <s v="LOCALIDAD INDUSTRIAL Y DE LA BAHIA"/>
    <s v="23 LOCALIDAD INDUSTRIAL Y DE LA BAHIA"/>
    <n v="2021130010048"/>
    <s v="10. PILAR: CARTAGENA TRANSPARENTE"/>
    <s v="10.7 LÍNEA ESTRATÉGICA: PARTICIPACIÓN Y DESCENTRALIZACIÓN"/>
    <s v="10.7.2 PROGRAMA: MODERNIZACIÓN DEL SISTEMA DISTRITAL DE PLANEACIÓN Y DESCENTRALIZACIÓN  "/>
    <s v="2,3,3602,1300,2021130010048"/>
    <s v="001"/>
    <s v="1,2,1,0,00-001 - ICLD"/>
    <s v="INV"/>
    <s v="NO"/>
    <s v="APOYO PARA ORIENTAR Y FORMAR EN EMPRENDIMIENTO Y OFICIOS ACORDE CON LA DINAMICA LABORAL Y PRODUCTIVA DE LA LOCALIDAD QUE COADYUVEN A MEJORAR LAS CONDICIONES DE EMPLEABILIDAD DE LOS JOVENES CARTAGENA DE INDIAS"/>
    <s v="2021130010048 APOYO PARA ORIENTAR Y FORMAR EN EMPRENDIMIENTO Y OFICIOS ACORDE CON LA DINAMICA LABORAL Y PRODUCTIVA DE LA LOCALIDAD QUE COADYUVEN A MEJORAR LAS CONDICIONES DE EMPLEABILIDAD DE LOS JOVENES CARTAGENA DE INDIAS"/>
    <s v="06"/>
    <s v="00"/>
    <n v="0"/>
    <n v="400000000"/>
    <n v="400000000"/>
    <n v="400000000"/>
    <n v="0"/>
    <n v="388031946"/>
    <n v="97.01"/>
    <n v="388031946"/>
    <n v="97.01"/>
    <n v="11968054"/>
    <n v="388031946"/>
  </r>
  <r>
    <n v="2022"/>
    <n v="100"/>
    <x v="2"/>
    <s v="LOCALIDAD INDUSTRIAL Y DE LA BAHIA"/>
    <s v="23 LOCALIDAD INDUSTRIAL Y DE LA BAHIA"/>
    <n v="2021130010049"/>
    <s v="10. PILAR: CARTAGENA TRANSPARENTE"/>
    <s v="10.7 LÍNEA ESTRATÉGICA: PARTICIPACIÓN Y DESCENTRALIZACIÓN"/>
    <s v="10.7.2 PROGRAMA: MODERNIZACIÓN DEL SISTEMA DISTRITAL DE PLANEACIÓN Y DESCENTRALIZACIÓN  "/>
    <s v="2,3,3602,1300,2021130010049"/>
    <s v="001"/>
    <s v="1,2,1,0,00-001 - ICLD"/>
    <s v="INV"/>
    <s v="NO"/>
    <s v="FORMACION PARA PROMOVER EL EJERCICIO Y GARANTIA DE LOS DERECHOS ECONOMICOS DE LAS MUJERES COMPETENCIAS LABORALES Y EMPRESARIALES QUE LES PERMITA MEJORAR SUS INGRESOS Y SU AUTONOMICA ECONOMICA A TRAVES DE INICIATIVAS PRODUCTIVAS CARTAGENA DE INDIAS"/>
    <s v="2021130010049 FORMACION PARA PROMOVER EL EJERCICIO Y GARANTIA DE LOS DERECHOS ECONOMICOS DE LAS MUJERES COMPETENCIAS LABORALES Y EMPRESARIALES QUE LES PERMITA MEJORAR SUS INGRESOS Y SU AUTONOMICA ECONOMICA A TRAVES DE INICIATIVAS PRODUCTIVAS CARTAGENA DE INDIAS"/>
    <s v="06"/>
    <s v="00"/>
    <n v="0"/>
    <n v="400000000"/>
    <n v="400000000"/>
    <n v="400000000"/>
    <n v="0"/>
    <n v="400000000"/>
    <n v="100"/>
    <n v="0"/>
    <n v="0"/>
    <n v="0"/>
    <n v="0"/>
  </r>
  <r>
    <n v="2022"/>
    <n v="100"/>
    <x v="2"/>
    <s v="LOCALIDAD INDUSTRIAL Y DE LA BAHIA"/>
    <s v="23 LOCALIDAD INDUSTRIAL Y DE LA BAHIA"/>
    <n v="2021130010050"/>
    <s v="10. PILAR: CARTAGENA TRANSPARENTE"/>
    <s v="10.7 LÍNEA ESTRATÉGICA: PARTICIPACIÓN Y DESCENTRALIZACIÓN"/>
    <s v="10.7.2 PROGRAMA: MODERNIZACIÓN DEL SISTEMA DISTRITAL DE PLANEACIÓN Y DESCENTRALIZACIÓN  "/>
    <s v="2,3,3602,1300,2021130010050"/>
    <s v="001"/>
    <s v="1,2,1,0,00-001 - ICLD"/>
    <s v="INV"/>
    <s v="NO"/>
    <s v="APOYO EL DESARROLLO ECONOMICO SOSTENIBLE E INCLUYENTE DE LA LOCALIDAD PROMOVIENDO LA FORMACION EL EMPRENDIMIENTO Y BRINDANDO LAS ASESORIAS NECESARIAS PARA EL FORTALECIMIENTO DE LA COMPETITIVIDAD Y EMPLEABILIDAD LOCAL CARTAGENA DE INDIAS"/>
    <s v="2021130010050 APOYO EL DESARROLLO ECONOMICO SOSTENIBLE E INCLUYENTE DE LA LOCALIDAD PROMOVIENDO LA FORMACION EL EMPRENDIMIENTO Y BRINDANDO LAS ASESORIAS NECESARIAS PARA EL FORTALECIMIENTO DE LA COMPETITIVIDAD Y EMPLEABILIDAD LOCAL CARTAGENA DE INDIAS"/>
    <s v="06"/>
    <s v="00"/>
    <n v="0"/>
    <n v="400000000"/>
    <n v="400000000"/>
    <n v="400000000"/>
    <n v="0"/>
    <n v="400000000"/>
    <n v="100"/>
    <n v="400000000"/>
    <n v="100"/>
    <n v="0"/>
    <n v="400000000"/>
  </r>
  <r>
    <n v="2022"/>
    <n v="100"/>
    <x v="2"/>
    <s v="LOCALIDAD INDUSTRIAL Y DE LA BAHIA"/>
    <s v="23 LOCALIDAD INDUSTRIAL Y DE LA BAHIA"/>
    <n v="2021130010051"/>
    <s v="10. PILAR: CARTAGENA TRANSPARENTE"/>
    <s v="10.7 LÍNEA ESTRATÉGICA: PARTICIPACIÓN Y DESCENTRALIZACIÓN"/>
    <s v="10.7.2 PROGRAMA: MODERNIZACIÓN DEL SISTEMA DISTRITAL DE PLANEACIÓN Y DESCENTRALIZACIÓN  "/>
    <s v="2,3,3602,1300,2021130010051"/>
    <s v="001"/>
    <s v="1,2,1,0,00-001 - ICLD"/>
    <s v="INV"/>
    <s v="NO"/>
    <s v="FORMACION EN ECONOMIA INCLUSIVA COMPETITIVIDAD Y GENERACION DE EMPLEO PARA EL DESARROLLO DE LA ECONOMIA LOCAL EN LA LOCALIDAD INDUSTRIAL Y DE LA BAHIA CARTAGENA DE INDIAS"/>
    <s v="2021130010051 FORMACION EN ECONOMIA INCLUSIVA COMPETITIVIDAD Y GENERACION DE EMPLEO PARA EL DESARROLLO DE LA ECONOMIA LOCAL EN LA LOCALIDAD INDUSTRIAL Y DE LA BAHIA CARTAGENA DE INDIAS"/>
    <s v="06"/>
    <s v="00"/>
    <n v="0"/>
    <n v="800000000"/>
    <n v="800000000"/>
    <n v="800000000"/>
    <n v="0"/>
    <n v="789200000"/>
    <n v="98.65"/>
    <n v="789200000"/>
    <n v="98.65"/>
    <n v="10800000"/>
    <n v="789200000"/>
  </r>
  <r>
    <n v="2022"/>
    <n v="100"/>
    <x v="0"/>
    <s v="LOCALIDAD TURISTICA Y DE LA VIRGEN"/>
    <s v="04 LOCALIDAD TURISTICA Y DE LA VIRGEN"/>
    <n v="2021130010052"/>
    <s v="10. PILAR: CARTAGENA TRANSPARENTE"/>
    <s v="10.7 LÍNEA ESTRATÉGICA: PARTICIPACIÓN Y DESCENTRALIZACIÓN"/>
    <s v="10.7.2 PROGRAMA: MODERNIZACIÓN DEL SISTEMA DISTRITAL DE PLANEACIÓN Y DESCENTRALIZACIÓN  "/>
    <s v="2,3,4103,1500,2021130010052"/>
    <s v="001"/>
    <s v="1,2,1,0,00-001 - ICLD"/>
    <s v="INV"/>
    <s v="NO"/>
    <s v="CARACTERIZACION PARA LA CREACION DE ESTRATEGIAS Y ACCIONES CON EL FIN DE GARANTIZAR EL MANTENIMIENTO Y SOSTENIMIENTO DEL ESPACIO PUBLICO DE LA LOCALIDAD DE LA VIRGEN Y TURISTICA CARTAGENA DE INDIAS"/>
    <s v="2021130010052 CARACTERIZACION PARA LA CREACION DE ESTRATEGIAS Y ACCIONES CON EL FIN DE GARANTIZAR EL MANTENIMIENTO Y SOSTENIMIENTO DEL ESPACIO PUBLICO DE LA LOCALIDAD DE LA VIRGEN Y TURISTICA CARTAGENA DE INDIAS"/>
    <s v="06"/>
    <s v="00"/>
    <n v="200000000"/>
    <n v="-200000000"/>
    <n v="0"/>
    <n v="0"/>
    <n v="0"/>
    <n v="0"/>
    <n v="0"/>
    <n v="0"/>
    <n v="0"/>
    <n v="0"/>
    <n v="0"/>
  </r>
  <r>
    <n v="2022"/>
    <n v="100"/>
    <x v="0"/>
    <s v="LOCALIDAD TURISTICA Y DE LA VIRGEN"/>
    <s v="04 LOCALIDAD TURISTICA Y DE LA VIRGEN"/>
    <n v="2021130010054"/>
    <s v="10. PILAR: CARTAGENA TRANSPARENTE"/>
    <s v="10.7 LÍNEA ESTRATÉGICA: PARTICIPACIÓN Y DESCENTRALIZACIÓN"/>
    <s v="10.7.2 PROGRAMA: MODERNIZACIÓN DEL SISTEMA DISTRITAL DE PLANEACIÓN Y DESCENTRALIZACIÓN  "/>
    <s v="2,3,4103,1500,2021130010054"/>
    <s v="001"/>
    <s v="1,2,1,0,00-001 - ICLD"/>
    <s v="INV"/>
    <s v="NO"/>
    <s v="ASISTENCIA PARA PROMOVER Y ACOMPA?AR LOS SISTEMAS PRODUCTIVOS MEDIANTE LA PRESTACION DEL SERVICIO PUBLICO DE EXTENSION AGROPECUARIO A LOS PRODUCTORES RURALES PESQUEROS Y ACUICOLAS CARTAGENA DE INDIAS"/>
    <s v="2021130010054 ASISTENCIA PARA PROMOVER Y ACOMPA?AR LOS SISTEMAS PRODUCTIVOS MEDIANTE LA PRESTACION DEL SERVICIO PUBLICO DE EXTENSION AGROPECUARIO A LOS PRODUCTORES RURALES PESQUEROS Y ACUICOLAS CARTAGENA DE INDIAS"/>
    <s v="06"/>
    <s v="00"/>
    <n v="300000000"/>
    <n v="-300000000"/>
    <n v="0"/>
    <n v="0"/>
    <n v="0"/>
    <n v="0"/>
    <n v="0"/>
    <n v="0"/>
    <n v="0"/>
    <n v="0"/>
    <n v="0"/>
  </r>
  <r>
    <n v="2022"/>
    <n v="100"/>
    <x v="0"/>
    <s v="LOCALIDAD TURISTICA Y DE LA VIRGEN"/>
    <s v="04 LOCALIDAD TURISTICA Y DE LA VIRGEN"/>
    <n v="2021130010055"/>
    <s v="10. PILAR: CARTAGENA TRANSPARENTE"/>
    <s v="10.7 LÍNEA ESTRATÉGICA: PARTICIPACIÓN Y DESCENTRALIZACIÓN"/>
    <s v="10.7.2 PROGRAMA: MODERNIZACIÓN DEL SISTEMA DISTRITAL DE PLANEACIÓN Y DESCENTRALIZACIÓN  "/>
    <s v="2,3,4103,1500,2021130010055"/>
    <s v="001"/>
    <s v="1,2,1,0,00-001 - ICLD"/>
    <s v="INV"/>
    <s v="NO"/>
    <s v="FORMACION PARA LA GENERACION DE EMPLEO INCLUSIVO PARA LOS JOVENES DE LA LOCALIDAD DE LA VIRGEN Y TURISTICA CARTAGENA DE INDIAS"/>
    <s v="2021130010055 FORMACION PARA LA GENERACION DE EMPLEO INCLUSIVO PARA LOS JOVENES DE LA LOCALIDAD DE LA VIRGEN Y TURISTICA CARTAGENA DE INDIAS"/>
    <s v="06"/>
    <s v="00"/>
    <n v="250000000"/>
    <n v="-250000000"/>
    <n v="0"/>
    <n v="0"/>
    <n v="0"/>
    <n v="0"/>
    <n v="0"/>
    <n v="0"/>
    <n v="0"/>
    <n v="0"/>
    <n v="0"/>
  </r>
  <r>
    <n v="2022"/>
    <n v="100"/>
    <x v="0"/>
    <s v="LOCALIDAD TURISTICA Y DE LA VIRGEN"/>
    <s v="04 LOCALIDAD TURISTICA Y DE LA VIRGEN"/>
    <n v="2021130010056"/>
    <s v="10. PILAR: CARTAGENA TRANSPARENTE"/>
    <s v="10.7 LÍNEA ESTRATÉGICA: PARTICIPACIÓN Y DESCENTRALIZACIÓN"/>
    <s v="10.7.2 PROGRAMA: MODERNIZACIÓN DEL SISTEMA DISTRITAL DE PLANEACIÓN Y DESCENTRALIZACIÓN  "/>
    <s v="2,3,4103,1500,2021130010056"/>
    <s v="001"/>
    <s v="1,2,1,0,00-001 - ICLD"/>
    <s v="INV"/>
    <s v="NO"/>
    <s v="GENERACION DE INGRESOS EMPRENDIMIENTO Y EMPRESARISMO EN LAS FAMILIAS EN POBREZA EXTREMA DE LA LOCALIDAD DE LA VIRGEN Y TURISTICA CARTAGENA DE INDIAS"/>
    <s v="2021130010056 GENERACION DE INGRESOS EMPRENDIMIENTO Y EMPRESARISMO EN LAS FAMILIAS EN POBREZA EXTREMA DE LA LOCALIDAD DE LA VIRGEN Y TURISTICA CARTAGENA DE INDIAS"/>
    <s v="06"/>
    <s v="00"/>
    <n v="1000000000"/>
    <n v="-1000000000"/>
    <n v="0"/>
    <n v="0"/>
    <n v="0"/>
    <n v="0"/>
    <n v="0"/>
    <n v="0"/>
    <n v="0"/>
    <n v="0"/>
    <n v="0"/>
  </r>
  <r>
    <n v="2022"/>
    <n v="100"/>
    <x v="0"/>
    <s v="LOCALIDAD TURISTICA Y DE LA VIRGEN"/>
    <s v="04 LOCALIDAD TURISTICA Y DE LA VIRGEN"/>
    <n v="2021130010058"/>
    <s v="10. PILAR: CARTAGENA TRANSPARENTE"/>
    <s v="10.7 LÍNEA ESTRATÉGICA: PARTICIPACIÓN Y DESCENTRALIZACIÓN"/>
    <s v="10.7.2 PROGRAMA: MODERNIZACIÓN DEL SISTEMA DISTRITAL DE PLANEACIÓN Y DESCENTRALIZACIÓN  "/>
    <s v="2,3,4104,1500,2021130010058"/>
    <s v="001"/>
    <s v="1,2,1,0,00-001 - ICLD"/>
    <s v="INV"/>
    <s v="NO"/>
    <s v="ASISTENCIA PARA GARANTIZAR LOS DERECHOS Y DEBERES EN SALUD CON ENFOQUE DIFERENCIAL EN ARAS DE MINIMIZAR TANTO LAS BARRERAS DE ACCESO A LOS SERVICIOS DE SALUD COMO OTRAS FORMAS DE EXCLUSION, CARTAGENA DE INDIAS"/>
    <s v="2021130010058 ASISTENCIA PARA GARANTIZAR LOS DERECHOS Y DEBERES EN SALUD CON ENFOQUE DIFERENCIAL EN ARAS DE MINIMIZAR TANTO LAS BARRERAS DE ACCESO A LOS SERVICIOS DE SALUD COMO OTRAS FORMAS DE EXCLUSION, CARTAGENA DE INDIAS"/>
    <s v="06"/>
    <s v="00"/>
    <n v="200000000"/>
    <n v="-200000000"/>
    <n v="0"/>
    <n v="0"/>
    <n v="0"/>
    <n v="0"/>
    <n v="0"/>
    <n v="0"/>
    <n v="0"/>
    <n v="0"/>
    <n v="0"/>
  </r>
  <r>
    <n v="2022"/>
    <n v="100"/>
    <x v="0"/>
    <s v="LOCALIDAD TURISTICA Y DE LA VIRGEN"/>
    <s v="04 LOCALIDAD TURISTICA Y DE LA VIRGEN"/>
    <n v="2021130010059"/>
    <s v="10. PILAR: CARTAGENA TRANSPARENTE"/>
    <s v="10.7 LÍNEA ESTRATÉGICA: PARTICIPACIÓN Y DESCENTRALIZACIÓN"/>
    <s v="10.7.2 PROGRAMA: MODERNIZACIÓN DEL SISTEMA DISTRITAL DE PLANEACIÓN Y DESCENTRALIZACIÓN  "/>
    <s v="2,3,4103,1500,2021130010059"/>
    <s v="001"/>
    <s v="1,2,1,0,00-001 - ICLD"/>
    <s v="INV"/>
    <s v="NO"/>
    <s v="FORMACION PARA EL FORTALECIMIENTO DE LA DINAMICA FAMILIAR DE LAS FAMILIAS EN SITUACION DE POBREZA EXTREMA DE LA LOCALIDAD DE LA VIRGEN Y TURISTICA CARTAGENA DE INDIAS"/>
    <s v="2021130010059 FORMACION PARA EL FORTALECIMIENTO DE LA DINAMICA FAMILIAR DE LAS FAMILIAS EN SITUACION DE POBREZA EXTREMA DE LA LOCALIDAD DE LA VIRGEN Y TURISTICA CARTAGENA DE INDIAS"/>
    <s v="06"/>
    <s v="00"/>
    <n v="800000000"/>
    <n v="-800000000"/>
    <n v="0"/>
    <n v="0"/>
    <n v="0"/>
    <n v="0"/>
    <n v="0"/>
    <n v="0"/>
    <n v="0"/>
    <n v="0"/>
    <n v="0"/>
  </r>
  <r>
    <n v="2022"/>
    <n v="100"/>
    <x v="0"/>
    <s v="LOCALIDAD TURISTICA Y DE LA VIRGEN"/>
    <s v="04 LOCALIDAD TURISTICA Y DE LA VIRGEN"/>
    <n v="2021130010060"/>
    <s v="10. PILAR: CARTAGENA TRANSPARENTE"/>
    <s v="10.7 LÍNEA ESTRATÉGICA: PARTICIPACIÓN Y DESCENTRALIZACIÓN"/>
    <s v="10.7.2 PROGRAMA: MODERNIZACIÓN DEL SISTEMA DISTRITAL DE PLANEACIÓN Y DESCENTRALIZACIÓN  "/>
    <s v="2,3,4501,0300,2021130010060"/>
    <s v="001"/>
    <s v="1,2,1,0,00-001 - ICLD"/>
    <s v="INV"/>
    <s v="NO"/>
    <s v="ASISTENCIA INTEGRAL A LA FAUNA DOMESTICA EN CONDICION DE CALLE DE LA LOCALIDAD DE LA VIRGEN Y TURISTICA CARTAGENA DE INDIAS"/>
    <s v="2021130010060 ASISTENCIA INTEGRAL A LA FAUNA DOMESTICA EN CONDICION DE CALLE DE LA LOCALIDAD DE LA VIRGEN Y TURISTICA CARTAGENA DE INDIAS"/>
    <s v="06"/>
    <s v="00"/>
    <n v="100000000"/>
    <n v="-100000000"/>
    <n v="0"/>
    <n v="0"/>
    <n v="0"/>
    <n v="0"/>
    <n v="0"/>
    <n v="0"/>
    <n v="0"/>
    <n v="0"/>
    <n v="0"/>
  </r>
  <r>
    <n v="2022"/>
    <n v="100"/>
    <x v="0"/>
    <s v="LOCALIDAD TURISTICA Y DE LA VIRGEN"/>
    <s v="04 LOCALIDAD TURISTICA Y DE LA VIRGEN"/>
    <n v="2021130010061"/>
    <s v="10. PILAR: CARTAGENA TRANSPARENTE"/>
    <s v="10.7 LÍNEA ESTRATÉGICA: PARTICIPACIÓN Y DESCENTRALIZACIÓN"/>
    <s v="10.7.2 PROGRAMA: MODERNIZACIÓN DEL SISTEMA DISTRITAL DE PLANEACIÓN Y DESCENTRALIZACIÓN  "/>
    <s v="2,3,1905,0300,2021130010061"/>
    <s v="001"/>
    <s v="1,2,1,0,00-001 - ICLD"/>
    <s v="INV"/>
    <s v="NO"/>
    <s v="DOTACION DE ELEMENTOS DE BIOSEGURIDAD QUE CONTRIBUYAN COMO MEDIDA DE INTERVENCION DIRIGIDA A MODIFICAR O DISMINUIR LAS CONDICIONES DE RIESGO ACTUALES A EVITAR NUEVOS RIESGOS Y GENERAR MECANISMOS PARA LA ATENCION DE EMERGENCIAS CARTAGENA DE INDIAS"/>
    <s v="2021130010061 DOTACION DE ELEMENTOS DE BIOSEGURIDAD QUE CONTRIBUYAN COMO MEDIDA DE INTERVENCION DIRIGIDA A MODIFICAR O DISMINUIR LAS CONDICIONES DE RIESGO ACTUALES A EVITAR NUEVOS RIESGOS Y GENERAR MECANISMOS PARA LA ATENCION DE EMERGENCIAS CARTAGENA DE INDIAS"/>
    <s v="06"/>
    <s v="00"/>
    <n v="0"/>
    <n v="0"/>
    <n v="0"/>
    <n v="0"/>
    <n v="0"/>
    <n v="0"/>
    <n v="0"/>
    <n v="0"/>
    <n v="0"/>
    <n v="0"/>
    <n v="0"/>
  </r>
  <r>
    <n v="2022"/>
    <n v="100"/>
    <x v="2"/>
    <s v="LOCALIDAD INDUSTRIAL Y DE LA BAHIA"/>
    <s v="23 LOCALIDAD INDUSTRIAL Y DE LA BAHIA"/>
    <n v="2021130010062"/>
    <s v="10. PILAR: CARTAGENA TRANSPARENTE"/>
    <s v="10.7 LÍNEA ESTRATÉGICA: PARTICIPACIÓN Y DESCENTRALIZACIÓN"/>
    <s v="10.7.2 PROGRAMA: MODERNIZACIÓN DEL SISTEMA DISTRITAL DE PLANEACIÓN Y DESCENTRALIZACIÓN  "/>
    <s v="2,3,4501,1000,2021130010062"/>
    <s v="001"/>
    <s v="1,2,1,0,00-001 - ICLD"/>
    <s v="INV"/>
    <s v="NO"/>
    <s v="ASISTENCIA MUJER LIBRE DE VIOLENCIA EN LA LOCALIDAD INDUSTRIAL Y DE LA BAHIA   CARTAGENA DE INDIAS"/>
    <s v="2021130010062 ASISTENCIA MUJER LIBRE DE VIOLENCIA EN LA LOCALIDAD INDUSTRIAL Y DE LA BAHIA   CARTAGENA DE INDIAS"/>
    <s v="06"/>
    <s v="00"/>
    <n v="0"/>
    <n v="400000000"/>
    <n v="400000000"/>
    <n v="400000000"/>
    <n v="0"/>
    <n v="388279550"/>
    <n v="97.07"/>
    <n v="388279550"/>
    <n v="97.07"/>
    <n v="11720450"/>
    <n v="388279550"/>
  </r>
  <r>
    <n v="2022"/>
    <n v="100"/>
    <x v="2"/>
    <s v="LOCALIDAD INDUSTRIAL Y DE LA BAHIA"/>
    <s v="23 LOCALIDAD INDUSTRIAL Y DE LA BAHIA"/>
    <n v="2021130010063"/>
    <s v="10. PILAR: CARTAGENA TRANSPARENTE"/>
    <s v="10.7 LÍNEA ESTRATÉGICA: PARTICIPACIÓN Y DESCENTRALIZACIÓN"/>
    <s v="10.7.2 PROGRAMA: MODERNIZACIÓN DEL SISTEMA DISTRITAL DE PLANEACIÓN Y DESCENTRALIZACIÓN  "/>
    <s v="2,3,3604,1300,2021130010063"/>
    <s v="001"/>
    <s v="1,2,1,0,00-001 - ICLD"/>
    <s v="INV"/>
    <s v="NO"/>
    <s v="FORMACION PARA IMPULSAR LOS ESPACIOS Y PROCESOS DE PARTICIPACION DE LAS MUJERES PARA EL PLENO GOCE DE SUS DERECHOS EN LA LOCALIDAD INDUSTRIAL Y DE LA BAHIA CARTAGENA DE INDIAS"/>
    <s v="2021130010063 FORMACION PARA IMPULSAR LOS ESPACIOS Y PROCESOS DE PARTICIPACION DE LAS MUJERES PARA EL PLENO GOCE DE SUS DERECHOS EN LA LOCALIDAD INDUSTRIAL Y DE LA BAHIA CARTAGENA DE INDIAS"/>
    <s v="06"/>
    <s v="00"/>
    <n v="0"/>
    <n v="400000000"/>
    <n v="400000000"/>
    <n v="400000000"/>
    <n v="0"/>
    <n v="400000000"/>
    <n v="100"/>
    <n v="400000000"/>
    <n v="100"/>
    <n v="0"/>
    <n v="400000000"/>
  </r>
  <r>
    <n v="2022"/>
    <n v="100"/>
    <x v="2"/>
    <s v="LOCALIDAD INDUSTRIAL Y DE LA BAHIA"/>
    <s v="23 LOCALIDAD INDUSTRIAL Y DE LA BAHIA"/>
    <n v="2021130010064"/>
    <s v="10. PILAR: CARTAGENA TRANSPARENTE"/>
    <s v="10.7 LÍNEA ESTRATÉGICA: PARTICIPACIÓN Y DESCENTRALIZACIÓN"/>
    <s v="10.7.2 PROGRAMA: MODERNIZACIÓN DEL SISTEMA DISTRITAL DE PLANEACIÓN Y DESCENTRALIZACIÓN  "/>
    <s v="2,3,1905,0300,2021130010064"/>
    <s v="001"/>
    <s v="1,2,1,0,00-001 - ICLD"/>
    <s v="INV"/>
    <s v="NO"/>
    <s v="FORMACION PARA PROMOVER LOS DERECHOS SEXUALES Y REPRODUCTIVOS EN LA LOCALIDAD INDUSTRIAL Y DE LA BAHIA CARTAGENA DE INDIAS"/>
    <s v="2021130010064 FORMACION PARA PROMOVER LOS DERECHOS SEXUALES Y REPRODUCTIVOS EN LA LOCALIDAD INDUSTRIAL Y DE LA BAHIA CARTAGENA DE INDIAS"/>
    <s v="06"/>
    <s v="00"/>
    <n v="0"/>
    <n v="200000000"/>
    <n v="200000000"/>
    <n v="200000000"/>
    <n v="0"/>
    <n v="200000000"/>
    <n v="100"/>
    <n v="0"/>
    <n v="0"/>
    <n v="0"/>
    <n v="0"/>
  </r>
  <r>
    <n v="2022"/>
    <n v="100"/>
    <x v="2"/>
    <s v="LOCALIDAD INDUSTRIAL Y DE LA BAHIA"/>
    <s v="23 LOCALIDAD INDUSTRIAL Y DE LA BAHIA"/>
    <n v="2021130010065"/>
    <s v="10. PILAR: CARTAGENA TRANSPARENTE"/>
    <s v="10.7 LÍNEA ESTRATÉGICA: PARTICIPACIÓN Y DESCENTRALIZACIÓN"/>
    <s v="10.7.2 PROGRAMA: MODERNIZACIÓN DEL SISTEMA DISTRITAL DE PLANEACIÓN Y DESCENTRALIZACIÓN  "/>
    <s v="2,3,4501,1000,2021130010065"/>
    <s v="001"/>
    <s v="1,2,1,0,00-001 - ICLD"/>
    <s v="INV"/>
    <s v="NO"/>
    <s v="FORTALECIMIENTO DE ESTRATEGIAS PARA GARANTIZAR EL DERECHO FUNDAMENTAL A LA VIDA Y LA INTEGRIDAD PERSONAL EN LA LOCALIDAD INDUSTRIAL Y DE LA BAHIA CARTAGENA DE INDIAS"/>
    <s v="2021130010065 FORTALECIMIENTO DE ESTRATEGIAS PARA GARANTIZAR EL DERECHO FUNDAMENTAL A LA VIDA Y LA INTEGRIDAD PERSONAL EN LA LOCALIDAD INDUSTRIAL Y DE LA BAHIA CARTAGENA DE INDIAS"/>
    <s v="06"/>
    <s v="00"/>
    <n v="0"/>
    <n v="400000000"/>
    <n v="400000000"/>
    <n v="400000000"/>
    <n v="0"/>
    <n v="395303101"/>
    <n v="98.83"/>
    <n v="0"/>
    <n v="0"/>
    <n v="4696899"/>
    <n v="0"/>
  </r>
  <r>
    <n v="2022"/>
    <n v="100"/>
    <x v="2"/>
    <s v="LOCALIDAD INDUSTRIAL Y DE LA BAHIA"/>
    <s v="23 LOCALIDAD INDUSTRIAL Y DE LA BAHIA"/>
    <n v="2021130010070"/>
    <s v="10. PILAR: CARTAGENA TRANSPARENTE"/>
    <s v="10.7 LÍNEA ESTRATÉGICA: PARTICIPACIÓN Y DESCENTRALIZACIÓN"/>
    <s v="10.7.2 PROGRAMA: MODERNIZACIÓN DEL SISTEMA DISTRITAL DE PLANEACIÓN Y DESCENTRALIZACIÓN  "/>
    <s v="2,3,3202,0900,2021130010070"/>
    <s v="001"/>
    <s v="1,2,1,0,00-001 - ICLD"/>
    <s v="INV"/>
    <s v="NO"/>
    <s v="RESTAURACION DE LAS AREAS NATURALES COMO PATRIMONIO AMBIENTAL EN LA LOCALIDAD INDUSTRIAL Y DE LA BAHIA,  CARTAGENA DE INDIAS"/>
    <s v="2021130010070 RESTAURACION DE LAS AREAS NATURALES COMO PATRIMONIO AMBIENTAL EN LA LOCALIDAD INDUSTRIAL Y DE LA BAHIA,  CARTAGENA DE INDIAS"/>
    <s v="06"/>
    <s v="00"/>
    <n v="0"/>
    <n v="400000000"/>
    <n v="400000000"/>
    <n v="400000000"/>
    <n v="0"/>
    <n v="400000000"/>
    <n v="100"/>
    <n v="400000000"/>
    <n v="100"/>
    <n v="0"/>
    <n v="400000000"/>
  </r>
  <r>
    <n v="2022"/>
    <n v="100"/>
    <x v="2"/>
    <s v="LOCALIDAD INDUSTRIAL Y DE LA BAHIA"/>
    <s v="23 LOCALIDAD INDUSTRIAL Y DE LA BAHIA"/>
    <n v="2021130010073"/>
    <s v="10. PILAR: CARTAGENA TRANSPARENTE"/>
    <s v="10.7 LÍNEA ESTRATÉGICA: PARTICIPACIÓN Y DESCENTRALIZACIÓN"/>
    <s v="10.7.2 PROGRAMA: MODERNIZACIÓN DEL SISTEMA DISTRITAL DE PLANEACIÓN Y DESCENTRALIZACIÓN  "/>
    <s v="2,3,4599,1000,2021130010073"/>
    <s v="001"/>
    <s v="1,2,1,0,00-001 - ICLD"/>
    <s v="INV"/>
    <s v="NO"/>
    <s v="FORTALECIMIENTO DEL CONSEJO LOCAL DE PLANEACION Y DE LOS CONSEJOS COMUNEROS DE GOBIERNOS URBANOS Y RURALES EN LA LOCALIDAD INDUSTRIAL Y DE LA BAHIA CARTAGENA DE INDIAS"/>
    <s v="2021130010073 FORTALECIMIENTO DEL CONSEJO LOCAL DE PLANEACION Y DE LOS CONSEJOS COMUNEROS DE GOBIERNOS URBANOS Y RURALES EN LA LOCALIDAD INDUSTRIAL Y DE LA BAHIA CARTAGENA DE INDIAS"/>
    <s v="06"/>
    <s v="00"/>
    <n v="0"/>
    <n v="200000000"/>
    <n v="200000000"/>
    <n v="0"/>
    <n v="200000000"/>
    <n v="0"/>
    <n v="0"/>
    <n v="0"/>
    <n v="0"/>
    <n v="200000000"/>
    <n v="0"/>
  </r>
  <r>
    <n v="2022"/>
    <n v="100"/>
    <x v="1"/>
    <s v="LOCALIDAD HISTORICA Y DEL CARIBE NORTE"/>
    <s v="11 LOCALIDAD HISTORICA Y DEL CARIBE NORTE"/>
    <n v="2021130010074"/>
    <s v="10. PILAR: CARTAGENA TRANSPARENTE"/>
    <s v="10.7 LÍNEA ESTRATÉGICA: PARTICIPACIÓN Y DESCENTRALIZACIÓN"/>
    <s v="10.7.2 PROGRAMA: MODERNIZACIÓN DEL SISTEMA DISTRITAL DE PLANEACIÓN Y DESCENTRALIZACIÓN  "/>
    <s v="2,3,1905,0300,2021130010074"/>
    <s v="001"/>
    <s v="1,2,1,0,00-001 - ICLD"/>
    <s v="INV"/>
    <s v="NO"/>
    <s v="IMPLEMENTACION PROYECTO DEL FORTALECIMIENTO DE LA POLITICA NACIONAL DE SALUD MENTAL Y POLITICA INTEGRAL PARA LA PREVENCION Y ATENCION DEL CONSUMO DE SUSTANCIAS PSICOACTIVAS EN LOS NI?OS JOVENES Y ADOLESCENTES"/>
    <s v="2021130010074 IMPLEMENTACION PROYECTO DEL FORTALECIMIENTO DE LA POLITICA NACIONAL DE SALUD MENTAL Y POLITICA INTEGRAL PARA LA PREVENCION Y ATENCION DEL CONSUMO DE SUSTANCIAS PSICOACTIVAS EN LOS NI?OS JOVENES Y ADOLESCENTES"/>
    <s v="06"/>
    <s v="00"/>
    <n v="0"/>
    <n v="650000000"/>
    <n v="650000000"/>
    <n v="650000000"/>
    <n v="0"/>
    <n v="650000000"/>
    <n v="100"/>
    <n v="325000000"/>
    <n v="50"/>
    <n v="0"/>
    <n v="325000000"/>
  </r>
  <r>
    <n v="2022"/>
    <n v="100"/>
    <x v="1"/>
    <s v="LOCALIDAD HISTORICA Y DEL CARIBE NORTE"/>
    <s v="11 LOCALIDAD HISTORICA Y DEL CARIBE NORTE"/>
    <n v="2021130010075"/>
    <s v="10. PILAR: CARTAGENA TRANSPARENTE"/>
    <s v="10.7 LÍNEA ESTRATÉGICA: PARTICIPACIÓN Y DESCENTRALIZACIÓN"/>
    <s v="10.7.2 PROGRAMA: MODERNIZACIÓN DEL SISTEMA DISTRITAL DE PLANEACIÓN Y DESCENTRALIZACIÓN  "/>
    <s v="2,3,1706,1100,2021130010075"/>
    <s v="001"/>
    <s v="1,2,1,0,00-001 - ICLD"/>
    <s v="INV"/>
    <s v="NO"/>
    <s v="FORTALECIMIENTO PARA EL EMPRENDIMIENTO DE NEGOCIOS PARA LOS HABITANTES DE LA LOCALIDAD HISTORICA Y DEL CARIBE NORTE EN EL DISTRITO DE CARTAGENA DE INDIAS,"/>
    <s v="2021130010075 FORTALECIMIENTO PARA EL EMPRENDIMIENTO DE NEGOCIOS PARA LOS HABITANTES DE LA LOCALIDAD HISTORICA Y DEL CARIBE NORTE EN EL DISTRITO DE CARTAGENA DE INDIAS,"/>
    <s v="06"/>
    <s v="00"/>
    <n v="0"/>
    <n v="630000000"/>
    <n v="630000000"/>
    <n v="630000000"/>
    <n v="0"/>
    <n v="630000000"/>
    <n v="100"/>
    <n v="630000000"/>
    <n v="100"/>
    <n v="0"/>
    <n v="630000000"/>
  </r>
  <r>
    <n v="2022"/>
    <n v="100"/>
    <x v="1"/>
    <s v="LOCALIDAD HISTORICA Y DEL CARIBE NORTE"/>
    <s v="11 LOCALIDAD HISTORICA Y DEL CARIBE NORTE"/>
    <n v="2021130010076"/>
    <s v="10. PILAR: CARTAGENA TRANSPARENTE"/>
    <s v="10.7 LÍNEA ESTRATÉGICA: PARTICIPACIÓN Y DESCENTRALIZACIÓN"/>
    <s v="10.7.2 PROGRAMA: MODERNIZACIÓN DEL SISTEMA DISTRITAL DE PLANEACIÓN Y DESCENTRALIZACIÓN  "/>
    <s v="2,3,2402,0600,2021130010076"/>
    <s v="001"/>
    <s v="1,2,1,0,00-001 - ICLD"/>
    <s v="INV"/>
    <s v="NO"/>
    <s v="CONSTRUCCION MEJORAMIENTO Y REHABILITACION DE VIAS PARA EL TRANSPORTE Y LA MOVILIDAD EN LA LOCALIDAD HISTORICA Y DEL CARIBE NORTE EN EL DISTRITO DE CARTAGENA"/>
    <s v="2021130010076 CONSTRUCCION MEJORAMIENTO Y REHABILITACION DE VIAS PARA EL TRANSPORTE Y LA MOVILIDAD EN LA LOCALIDAD HISTORICA Y DEL CARIBE NORTE EN EL DISTRITO DE CARTAGENA"/>
    <s v="06"/>
    <s v="00"/>
    <n v="0"/>
    <n v="70000000"/>
    <n v="70000000"/>
    <n v="70000000"/>
    <n v="0"/>
    <n v="70000000"/>
    <n v="100"/>
    <n v="39955167.530000001"/>
    <n v="57.08"/>
    <n v="0"/>
    <n v="39955167.530000001"/>
  </r>
  <r>
    <n v="2022"/>
    <n v="100"/>
    <x v="1"/>
    <s v="LOCALIDAD HISTORICA Y DEL CARIBE NORTE"/>
    <s v="11 LOCALIDAD HISTORICA Y DEL CARIBE NORTE"/>
    <n v="2021130010079"/>
    <s v="10. PILAR: CARTAGENA TRANSPARENTE"/>
    <s v="10.7 LÍNEA ESTRATÉGICA: PARTICIPACIÓN Y DESCENTRALIZACIÓN"/>
    <s v="10.7.2 PROGRAMA: MODERNIZACIÓN DEL SISTEMA DISTRITAL DE PLANEACIÓN Y DESCENTRALIZACIÓN  "/>
    <s v="2,3,4301,1604,2021130010079"/>
    <s v="001"/>
    <s v="1,2,1,0,00-001 - ICLD"/>
    <s v="INV"/>
    <s v="NO"/>
    <s v="CONSTRUCCION MANTENIMIENTOS ADECUACIONES REPARACIONES DE CANCHAS DEPORTIVAS Y PARQUES EN LA ZONA URBANA DE LA LOCALIDAD HISTORICA Y DEL CARIBE NORTE DEL DISTRITO DE CARTAGENA DE INDIAS   "/>
    <s v="2021130010079 CONSTRUCCION MANTENIMIENTOS ADECUACIONES REPARACIONES DE CANCHAS DEPORTIVAS Y PARQUES EN LA ZONA URBANA DE LA LOCALIDAD HISTORICA Y DEL CARIBE NORTE DEL DISTRITO DE CARTAGENA DE INDIAS   "/>
    <s v="06"/>
    <s v="00"/>
    <n v="0"/>
    <n v="1000000000"/>
    <n v="1000000000"/>
    <n v="1000000000"/>
    <n v="0"/>
    <n v="1000000000"/>
    <n v="100"/>
    <n v="1000000000"/>
    <n v="100"/>
    <n v="0"/>
    <n v="1000000000"/>
  </r>
  <r>
    <n v="2022"/>
    <n v="100"/>
    <x v="1"/>
    <s v="LOCALIDAD HISTORICA Y DEL CARIBE NORTE"/>
    <s v="11 LOCALIDAD HISTORICA Y DEL CARIBE NORTE"/>
    <n v="2021130010079"/>
    <s v="10. PILAR: CARTAGENA TRANSPARENTE"/>
    <s v="10.7 LÍNEA ESTRATÉGICA: PARTICIPACIÓN Y DESCENTRALIZACIÓN"/>
    <s v="10.7.2 PROGRAMA: MODERNIZACIÓN DEL SISTEMA DISTRITAL DE PLANEACIÓN Y DESCENTRALIZACIÓN  "/>
    <s v="2,3,2402,0600,2021130010079"/>
    <s v="001"/>
    <s v="1,2,1,0,00-001 - ICLD"/>
    <s v="INV"/>
    <s v="NO"/>
    <s v="CONSTRUCCION MANTENIMIENTOS ADECUACIONES REPARACIONES DE CANCHAS DEPORTIVAS Y PARQUES  EN LA ZONA URBANA DE LA LOCALIDAD HISTORICA Y DEL CARIBE NORTE DEL DISTRITO DE CARTAGENA DE INDIAS"/>
    <s v="2021130010079 CONSTRUCCION MANTENIMIENTOS ADECUACIONES REPARACIONES DE CANCHAS DEPORTIVAS Y PARQUES  EN LA ZONA URBANA DE LA LOCALIDAD HISTORICA Y DEL CARIBE NORTE DEL DISTRITO DE CARTAGENA DE INDIAS"/>
    <s v="06"/>
    <s v="00"/>
    <n v="0"/>
    <n v="2040297835.03"/>
    <n v="2040297835.03"/>
    <n v="2040297835.03"/>
    <n v="0"/>
    <n v="2040297834"/>
    <n v="100"/>
    <n v="1983007734.5"/>
    <n v="97.19"/>
    <n v="1.03"/>
    <n v="1983007734.5"/>
  </r>
  <r>
    <n v="2022"/>
    <n v="100"/>
    <x v="2"/>
    <s v="LOCALIDAD INDUSTRIAL Y DE LA BAHIA"/>
    <s v="23 LOCALIDAD INDUSTRIAL Y DE LA BAHIA"/>
    <n v="2021130010082"/>
    <s v="10. PILAR: CARTAGENA TRANSPARENTE"/>
    <s v="10.7 LÍNEA ESTRATÉGICA: PARTICIPACIÓN Y DESCENTRALIZACIÓN"/>
    <s v="10.7.2 PROGRAMA: MODERNIZACIÓN DEL SISTEMA DISTRITAL DE PLANEACIÓN Y DESCENTRALIZACIÓN  "/>
    <s v="2,3,4301,1604,2021130010082"/>
    <s v="001"/>
    <s v="1,2,1,0,00-001 - ICLD"/>
    <s v="INV"/>
    <s v="NO"/>
    <s v="FORTALECIMIENTO DEL DEPORTE RECREACION Y LUDICA DE LOS HABITANTES DE LA LOCALIDAD INDUSTRIAL Y DE LA BAHIA CARTAGENA DE INDIAS"/>
    <s v="2021130010082 FORTALECIMIENTO DEL DEPORTE RECREACION Y LUDICA DE LOS HABITANTES DE LA LOCALIDAD INDUSTRIAL Y DE LA BAHIA CARTAGENA DE INDIAS"/>
    <s v="06"/>
    <s v="00"/>
    <n v="0"/>
    <n v="400000000"/>
    <n v="400000000"/>
    <n v="400000000"/>
    <n v="0"/>
    <n v="400000000"/>
    <n v="100"/>
    <n v="200000000"/>
    <n v="50"/>
    <n v="0"/>
    <n v="0"/>
  </r>
  <r>
    <n v="2022"/>
    <n v="100"/>
    <x v="2"/>
    <s v="LOCALIDAD INDUSTRIAL Y DE LA BAHIA"/>
    <s v="23 LOCALIDAD INDUSTRIAL Y DE LA BAHIA"/>
    <n v="2021130010083"/>
    <s v="10. PILAR: CARTAGENA TRANSPARENTE"/>
    <s v="10.7 LÍNEA ESTRATÉGICA: PARTICIPACIÓN Y DESCENTRALIZACIÓN"/>
    <s v="10.7.2 PROGRAMA: MODERNIZACIÓN DEL SISTEMA DISTRITAL DE PLANEACIÓN Y DESCENTRALIZACIÓN  "/>
    <s v="2,3,4102,1500,2021130010083"/>
    <s v="001"/>
    <s v="1,2,1,0,00-001 - ICLD"/>
    <s v="INV"/>
    <s v="NO"/>
    <s v="FORTALECIMIENTO DE LOS PROCESOS DE FORMACION SOBRE LOS DERECHOS DE LOS NI?OS NI?AS Y ADOLESCENTES EN LA LOCALIDAD INDUSTRIAL Y DE LA BAHIA,  CARTAGENA DE INDIAS"/>
    <s v="2021130010083 FORTALECIMIENTO DE LOS PROCESOS DE FORMACION SOBRE LOS DERECHOS DE LOS NI?OS NI?AS Y ADOLESCENTES EN LA LOCALIDAD INDUSTRIAL Y DE LA BAHIA,  CARTAGENA DE INDIAS"/>
    <s v="06"/>
    <s v="00"/>
    <n v="0"/>
    <n v="400000000"/>
    <n v="400000000"/>
    <n v="400000000"/>
    <n v="0"/>
    <n v="398083750"/>
    <n v="99.52"/>
    <n v="199041875"/>
    <n v="49.76"/>
    <n v="1916250"/>
    <n v="199041875"/>
  </r>
  <r>
    <n v="2022"/>
    <n v="100"/>
    <x v="2"/>
    <s v="LOCALIDAD INDUSTRIAL Y DE LA BAHIA"/>
    <s v="23 LOCALIDAD INDUSTRIAL Y DE LA BAHIA"/>
    <n v="2021130010085"/>
    <s v="10. PILAR: CARTAGENA TRANSPARENTE"/>
    <s v="10.7 LÍNEA ESTRATÉGICA: PARTICIPACIÓN Y DESCENTRALIZACIÓN"/>
    <s v="10.7.2 PROGRAMA: MODERNIZACIÓN DEL SISTEMA DISTRITAL DE PLANEACIÓN Y DESCENTRALIZACIÓN  "/>
    <s v="2,3,1702,1100,2021130010085"/>
    <s v="001"/>
    <s v="1,2,1,0,00-001 - ICLD"/>
    <s v="INV"/>
    <s v="NO"/>
    <s v="FORTALECIMIENTO DE LA INCLUSION ETNICA EN LA LOCALIDAD INDUSTRIAL Y DE LA BAHIA,  CARTAGENA DE INDIAS"/>
    <s v="2021130010085 FORTALECIMIENTO DE LA INCLUSION ETNICA EN LA LOCALIDAD INDUSTRIAL Y DE LA BAHIA,  CARTAGENA DE INDIAS"/>
    <s v="06"/>
    <s v="00"/>
    <n v="0"/>
    <n v="400000000"/>
    <n v="400000000"/>
    <n v="400000000"/>
    <n v="0"/>
    <n v="396049196.35000002"/>
    <n v="99.01"/>
    <n v="198024598.18000001"/>
    <n v="49.51"/>
    <n v="3950803.65"/>
    <n v="198024598.18000001"/>
  </r>
  <r>
    <n v="2022"/>
    <n v="100"/>
    <x v="2"/>
    <s v="LOCALIDAD INDUSTRIAL Y DE LA BAHIA"/>
    <s v="23 LOCALIDAD INDUSTRIAL Y DE LA BAHIA"/>
    <n v="2021130010087"/>
    <s v="10. PILAR: CARTAGENA TRANSPARENTE"/>
    <s v="10.7 LÍNEA ESTRATÉGICA: PARTICIPACIÓN Y DESCENTRALIZACIÓN"/>
    <s v="10.7.2 PROGRAMA: MODERNIZACIÓN DEL SISTEMA DISTRITAL DE PLANEACIÓN Y DESCENTRALIZACIÓN  "/>
    <s v="2,3,4104,1500,2021130010087"/>
    <s v="001"/>
    <s v="1,2,1,0,00-001 - ICLD"/>
    <s v="INV"/>
    <s v="NO"/>
    <s v="FORTALECIMIENTO A LA ATENCION INCLUSIVA DE LAS PERSONAS CON DISCAPACIDAD EN LA LOCALIDAD INDUSTRIAL Y DE LA BAHIA,  CARTAGENA DE INDIAS"/>
    <s v="2021130010087 FORTALECIMIENTO A LA ATENCION INCLUSIVA DE LAS PERSONAS CON DISCAPACIDAD EN LA LOCALIDAD INDUSTRIAL Y DE LA BAHIA,  CARTAGENA DE INDIAS"/>
    <s v="06"/>
    <s v="00"/>
    <n v="0"/>
    <n v="487875697"/>
    <n v="487875697"/>
    <n v="487875697"/>
    <n v="0"/>
    <n v="487875697"/>
    <n v="100"/>
    <n v="0"/>
    <n v="0"/>
    <n v="0"/>
    <n v="0"/>
  </r>
  <r>
    <n v="2022"/>
    <n v="100"/>
    <x v="2"/>
    <s v="LOCALIDAD INDUSTRIAL Y DE LA BAHIA"/>
    <s v="23 LOCALIDAD INDUSTRIAL Y DE LA BAHIA"/>
    <n v="2021130010088"/>
    <s v="10. PILAR: CARTAGENA TRANSPARENTE"/>
    <s v="10.7 LÍNEA ESTRATÉGICA: PARTICIPACIÓN Y DESCENTRALIZACIÓN"/>
    <s v="10.7.2 PROGRAMA: MODERNIZACIÓN DEL SISTEMA DISTRITAL DE PLANEACIÓN Y DESCENTRALIZACIÓN  "/>
    <s v="2,3,4104,1500,2021130010088"/>
    <s v="001"/>
    <s v="1,2,1,0,00-001 - ICLD"/>
    <s v="INV"/>
    <s v="NO"/>
    <s v="FORTALECIMIENTO A LA ATENCION INTEGRAL DE LOS ADULTOS MAYORES DE LA LOCALIDAD INDUSTRIAL Y DE LA BAHIA,  CARTAGENA DE INDIAS"/>
    <s v="2021130010088 FORTALECIMIENTO A LA ATENCION INTEGRAL DE LOS ADULTOS MAYORES DE LA LOCALIDAD INDUSTRIAL Y DE LA BAHIA,  CARTAGENA DE INDIAS"/>
    <s v="06"/>
    <s v="00"/>
    <n v="0"/>
    <n v="400000000"/>
    <n v="400000000"/>
    <n v="400000000"/>
    <n v="0"/>
    <n v="394917196"/>
    <n v="98.73"/>
    <n v="0"/>
    <n v="0"/>
    <n v="5082804"/>
    <n v="0"/>
  </r>
  <r>
    <n v="2022"/>
    <n v="100"/>
    <x v="2"/>
    <s v="LOCALIDAD INDUSTRIAL Y DE LA BAHIA"/>
    <s v="23 LOCALIDAD INDUSTRIAL Y DE LA BAHIA"/>
    <n v="2021130010089"/>
    <s v="10. PILAR: CARTAGENA TRANSPARENTE"/>
    <s v="10.7 LÍNEA ESTRATÉGICA: PARTICIPACIÓN Y DESCENTRALIZACIÓN"/>
    <s v="10.7.2 PROGRAMA: MODERNIZACIÓN DEL SISTEMA DISTRITAL DE PLANEACIÓN Y DESCENTRALIZACIÓN  "/>
    <s v="2,3,4502,1000,2021130010089"/>
    <s v="001"/>
    <s v="1,2,1,0,00-001 - ICLD"/>
    <s v="INV"/>
    <s v="NO"/>
    <s v="FORTALECIMIENTO DE LAS ORGANIZACIONES Y LIDERES COMUNITARIOS PARA LA PARTICIPACION LOCAL EN LA LOCALIDAD INDUSTRIAL Y DE LA BAHIA,  CARTAGENA DE INDIAS"/>
    <s v="2021130010089 FORTALECIMIENTO DE LAS ORGANIZACIONES Y LIDERES COMUNITARIOS PARA LA PARTICIPACION LOCAL EN LA LOCALIDAD INDUSTRIAL Y DE LA BAHIA,  CARTAGENA DE INDIAS"/>
    <s v="06"/>
    <s v="00"/>
    <n v="0"/>
    <n v="266162744.86000001"/>
    <n v="266162744.86000001"/>
    <n v="266162744.86000001"/>
    <n v="0"/>
    <n v="266162744.86000001"/>
    <n v="100"/>
    <n v="0"/>
    <n v="0"/>
    <n v="0"/>
    <n v="0"/>
  </r>
  <r>
    <n v="2022"/>
    <n v="100"/>
    <x v="6"/>
    <s v="INSTITUTO DE PATRIMONIO Y CULTURA DE CARTAGENA DE INDIAS"/>
    <s v="17 INSTITUTO DE PATRIMONIO Y CULTURA DE CARTAGENA DE INDIAS"/>
    <n v="2021130010090"/>
    <s v="11. EJE TRANSVERSAL: CARTAGENA CON ATENCION Y GARANTIA DE DERECHOS A POBLACION DIFERENCIAL."/>
    <s v="11.4 LÍNEA ESTRATÉGICA JÓVENES SALVANDO A CARTAGENA"/>
    <s v="11.4.1 PROGRAMA: JOVENES PARTICIPANDO Y SALVANDO A CARTAGENA"/>
    <s v="2,3,3301,1603,2021130010090"/>
    <s v="001"/>
    <s v="1,2,1,0,00-001 - ICLD"/>
    <s v="INV"/>
    <s v="NO"/>
    <s v="DESARROLLO DE ACTIVIDADES CULTURALES Y ARTISTICAS PARA LOS JOVENES ENTRE 14 Y 28 A?OS DEL DISTRITO DE   CARTAGENA DE INDIAS"/>
    <s v="2021130010090 DESARROLLO DE ACTIVIDADES CULTURALES Y ARTISTICAS PARA LOS JOVENES ENTRE 14 Y 28 A?OS DEL DISTRITO DE   CARTAGENA DE INDIAS"/>
    <s v="06"/>
    <s v="00"/>
    <n v="90000000"/>
    <n v="0"/>
    <n v="90000000"/>
    <n v="90000000"/>
    <n v="0"/>
    <n v="90000000"/>
    <n v="100"/>
    <n v="90000000"/>
    <n v="100"/>
    <n v="0"/>
    <n v="89550000"/>
  </r>
  <r>
    <n v="2022"/>
    <n v="100"/>
    <x v="0"/>
    <s v="LOCALIDAD TURISTICA Y DE LA VIRGEN"/>
    <s v="04 LOCALIDAD TURISTICA Y DE LA VIRGEN"/>
    <n v="2021130010091"/>
    <s v="10. PILAR: CARTAGENA TRANSPARENTE"/>
    <s v="10.7 LÍNEA ESTRATÉGICA: PARTICIPACIÓN Y DESCENTRALIZACIÓN"/>
    <s v="10.7.2 PROGRAMA: MODERNIZACIÓN DEL SISTEMA DISTRITAL DE PLANEACIÓN Y DESCENTRALIZACIÓN  "/>
    <s v="2,3,4002,1400,2021130010091"/>
    <s v="001"/>
    <s v="1,2,1,0,00-001 - ICLD"/>
    <s v="INV"/>
    <s v="NO"/>
    <s v="INCREMENTO DE ZONAS VERDES A TRAVES DE LA RECUPERACION DE ESPACIO PUBLICO DE LA LOCALIDAD DE LA VIRGEN Y TURISTICA CARTAGENA DE INDIAS"/>
    <s v="2021130010091 INCREMENTO DE ZONAS VERDES A TRAVES DE LA RECUPERACION DE ESPACIO PUBLICO DE LA LOCALIDAD DE LA VIRGEN Y TURISTICA CARTAGENA DE INDIAS"/>
    <s v="06"/>
    <s v="00"/>
    <n v="200000000"/>
    <n v="0"/>
    <n v="200000000"/>
    <n v="0"/>
    <n v="200000000"/>
    <n v="0"/>
    <n v="0"/>
    <n v="0"/>
    <n v="0"/>
    <n v="200000000"/>
    <n v="0"/>
  </r>
  <r>
    <n v="2022"/>
    <n v="100"/>
    <x v="0"/>
    <s v="LOCALIDAD TURISTICA Y DE LA VIRGEN"/>
    <s v="04 LOCALIDAD TURISTICA Y DE LA VIRGEN"/>
    <n v="2021130010092"/>
    <s v="10. PILAR: CARTAGENA TRANSPARENTE"/>
    <s v="10.7 LÍNEA ESTRATÉGICA: PARTICIPACIÓN Y DESCENTRALIZACIÓN"/>
    <s v="10.7.2 PROGRAMA: MODERNIZACIÓN DEL SISTEMA DISTRITAL DE PLANEACIÓN Y DESCENTRALIZACIÓN  "/>
    <s v="2,3,4103,1500,2021130010092"/>
    <s v="001"/>
    <s v="1,2,1,0,00-001 - ICLD"/>
    <s v="INV"/>
    <s v="NO"/>
    <s v="MUJERES CON AUTONOMIA ECONOMICA"/>
    <s v="2021130010092 MUJERES CON AUTONOMIA ECONOMICA"/>
    <s v="06"/>
    <s v="00"/>
    <n v="250000000"/>
    <n v="-250000000"/>
    <n v="0"/>
    <n v="0"/>
    <n v="0"/>
    <n v="0"/>
    <n v="0"/>
    <n v="0"/>
    <n v="0"/>
    <n v="0"/>
    <n v="0"/>
  </r>
  <r>
    <n v="2022"/>
    <n v="100"/>
    <x v="2"/>
    <s v="LOCALIDAD INDUSTRIAL Y DE LA BAHIA"/>
    <s v="23 LOCALIDAD INDUSTRIAL Y DE LA BAHIA"/>
    <n v="2021130010093"/>
    <s v="10. PILAR: CARTAGENA TRANSPARENTE"/>
    <s v="10.7 LÍNEA ESTRATÉGICA: PARTICIPACIÓN Y DESCENTRALIZACIÓN"/>
    <s v="10.7.2 PROGRAMA: MODERNIZACIÓN DEL SISTEMA DISTRITAL DE PLANEACIÓN Y DESCENTRALIZACIÓN  "/>
    <s v="2,3,4502,1000,2021130010093"/>
    <s v="001"/>
    <s v="1,2,1,0,00-001 - ICLD"/>
    <s v="INV"/>
    <s v="NO"/>
    <s v="FORMACION DE LA POBLACION JUVENIL DE LA LOCALIDAD PARA FOMENTAR SU PARTICIPACION CIUDADANA EN LA LOCALIDAD INDUSTRIAL Y DE LA BAHIA,  CARTAGENA DE INDIAS"/>
    <s v="2021130010093 FORMACION DE LA POBLACION JUVENIL DE LA LOCALIDAD PARA FOMENTAR SU PARTICIPACION CIUDADANA EN LA LOCALIDAD INDUSTRIAL Y DE LA BAHIA,  CARTAGENA DE INDIAS"/>
    <s v="06"/>
    <s v="00"/>
    <n v="0"/>
    <n v="400000000"/>
    <n v="400000000"/>
    <n v="400000000"/>
    <n v="0"/>
    <n v="400000000"/>
    <n v="100"/>
    <n v="0"/>
    <n v="0"/>
    <n v="0"/>
    <n v="0"/>
  </r>
  <r>
    <n v="2022"/>
    <n v="100"/>
    <x v="2"/>
    <s v="LOCALIDAD INDUSTRIAL Y DE LA BAHIA"/>
    <s v="23 LOCALIDAD INDUSTRIAL Y DE LA BAHIA"/>
    <n v="2021130010095"/>
    <s v="10. PILAR: CARTAGENA TRANSPARENTE"/>
    <s v="10.7 LÍNEA ESTRATÉGICA: PARTICIPACIÓN Y DESCENTRALIZACIÓN"/>
    <s v="10.7.2 PROGRAMA: MODERNIZACIÓN DEL SISTEMA DISTRITAL DE PLANEACIÓN Y DESCENTRALIZACIÓN  "/>
    <s v="2,3,3301,1603,2021130010095"/>
    <s v="001"/>
    <s v="1,2,1,0,00-001 - ICLD"/>
    <s v="INV"/>
    <s v="NO"/>
    <s v="FORTALECIMIENTO AL DESARROLLO DE LAS EXPRESIONES ARTISTICAS Y CULTURALES EN LA LOCALIDAD INDUSTRIAL Y DE LA BAHIA CARTAGENA DE INDIAS"/>
    <s v="2021130010095 FORTALECIMIENTO AL DESARROLLO DE LAS EXPRESIONES ARTISTICAS Y CULTURALES EN LA LOCALIDAD INDUSTRIAL Y DE LA BAHIA CARTAGENA DE INDIAS"/>
    <s v="06"/>
    <s v="00"/>
    <n v="0"/>
    <n v="600000000"/>
    <n v="600000000"/>
    <n v="600000000"/>
    <n v="0"/>
    <n v="591544185"/>
    <n v="98.59"/>
    <n v="295772092.5"/>
    <n v="49.3"/>
    <n v="8455815"/>
    <n v="0"/>
  </r>
  <r>
    <n v="2022"/>
    <n v="100"/>
    <x v="0"/>
    <s v="LOCALIDAD TURISTICA Y DE LA VIRGEN"/>
    <s v="04 LOCALIDAD TURISTICA Y DE LA VIRGEN"/>
    <n v="2021130010098"/>
    <s v="10. PILAR: CARTAGENA TRANSPARENTE"/>
    <s v="10.7 LÍNEA ESTRATÉGICA: PARTICIPACIÓN Y DESCENTRALIZACIÓN"/>
    <s v="10.7.2 PROGRAMA: MODERNIZACIÓN DEL SISTEMA DISTRITAL DE PLANEACIÓN Y DESCENTRALIZACIÓN  "/>
    <s v="2,3,4503,1000,2021130010098"/>
    <s v="001"/>
    <s v="1,2,1,0,00-001 - ICLD"/>
    <s v="INV"/>
    <s v="NO"/>
    <s v="FORTALECIMIENTO DEL MANEJO Y PREVENCION DE DESASTRES DE LA LOCALIDAD DE LA VIRGEN Y TURISTICA CARTAGENA DE INDIAS"/>
    <s v="2021130010098 FORTALECIMIENTO DEL MANEJO Y PREVENCION DE DESASTRES DE LA LOCALIDAD DE LA VIRGEN Y TURISTICA CARTAGENA DE INDIAS"/>
    <s v="06"/>
    <s v="00"/>
    <n v="200000000"/>
    <n v="2603305147"/>
    <n v="2803305147"/>
    <n v="2003307086"/>
    <n v="799998061"/>
    <n v="2003191219"/>
    <n v="71.459999999999994"/>
    <n v="300478682"/>
    <n v="10.72"/>
    <n v="800113928"/>
    <n v="0"/>
  </r>
  <r>
    <n v="2022"/>
    <n v="100"/>
    <x v="0"/>
    <s v="LOCALIDAD TURISTICA Y DE LA VIRGEN"/>
    <s v="04 LOCALIDAD TURISTICA Y DE LA VIRGEN"/>
    <n v="2021130010099"/>
    <s v="10. PILAR: CARTAGENA TRANSPARENTE"/>
    <s v="10.7 LÍNEA ESTRATÉGICA: PARTICIPACIÓN Y DESCENTRALIZACIÓN"/>
    <s v="10.7.2 PROGRAMA: MODERNIZACIÓN DEL SISTEMA DISTRITAL DE PLANEACIÓN Y DESCENTRALIZACIÓN  "/>
    <s v="2,3,4003,1400,2021130010099"/>
    <s v="001"/>
    <s v="1,2,1,0,00-001 - ICLD"/>
    <s v="INV"/>
    <s v="NO"/>
    <s v="ADECUACION DE SANEAMIENTO BASICO PARA VIVIENDAS DE LA POBLACION EN CONDICION POBREZA DE LA LOCALIDAD DE LA VIRGEN Y TURISTICA CARTAGENA DE INDIAS"/>
    <s v="2021130010099 ADECUACION DE SANEAMIENTO BASICO PARA VIVIENDAS DE LA POBLACION EN CONDICION POBREZA DE LA LOCALIDAD DE LA VIRGEN Y TURISTICA CARTAGENA DE INDIAS"/>
    <s v="06"/>
    <s v="00"/>
    <n v="0"/>
    <n v="0"/>
    <n v="0"/>
    <n v="0"/>
    <n v="0"/>
    <n v="0"/>
    <n v="0"/>
    <n v="0"/>
    <n v="0"/>
    <n v="0"/>
    <n v="0"/>
  </r>
  <r>
    <n v="2022"/>
    <n v="100"/>
    <x v="0"/>
    <s v="LOCALIDAD TURISTICA Y DE LA VIRGEN"/>
    <s v="04 LOCALIDAD TURISTICA Y DE LA VIRGEN"/>
    <n v="2021130010100"/>
    <s v="10. PILAR: CARTAGENA TRANSPARENTE"/>
    <s v="10.7 LÍNEA ESTRATÉGICA: PARTICIPACIÓN Y DESCENTRALIZACIÓN"/>
    <s v="10.7.2 PROGRAMA: MODERNIZACIÓN DEL SISTEMA DISTRITAL DE PLANEACIÓN Y DESCENTRALIZACIÓN  "/>
    <s v="2,3,4503,1000,2021130010100"/>
    <s v="001"/>
    <s v="1,2,1,0,00-001 - ICLD"/>
    <s v="INV"/>
    <s v="NO"/>
    <s v="DESARROLLO DE MEDIDAS PARA MEJORAR LA CAPACIDAD HIDRAULICA DE LOS CANALES PLUVIALES EN LA LOCALIDAD DE LA VIRGEN Y TURISTICA CARTAGENA DE INDIAS"/>
    <s v="2021130010100 DESARROLLO DE MEDIDAS PARA MEJORAR LA CAPACIDAD HIDRAULICA DE LOS CANALES PLUVIALES EN LA LOCALIDAD DE LA VIRGEN Y TURISTICA CARTAGENA DE INDIAS"/>
    <s v="06"/>
    <s v="00"/>
    <n v="0"/>
    <n v="1500000000"/>
    <n v="1500000000"/>
    <n v="1500000000"/>
    <n v="0"/>
    <n v="1497900000"/>
    <n v="99.86"/>
    <n v="1158326070"/>
    <n v="77.22"/>
    <n v="2100000"/>
    <n v="0"/>
  </r>
  <r>
    <n v="2022"/>
    <n v="100"/>
    <x v="0"/>
    <s v="LOCALIDAD TURISTICA Y DE LA VIRGEN"/>
    <s v="04 LOCALIDAD TURISTICA Y DE LA VIRGEN"/>
    <n v="2021130010101"/>
    <s v="10. PILAR: CARTAGENA TRANSPARENTE"/>
    <s v="10.7 LÍNEA ESTRATÉGICA: PARTICIPACIÓN Y DESCENTRALIZACIÓN"/>
    <s v="10.7.2 PROGRAMA: MODERNIZACIÓN DEL SISTEMA DISTRITAL DE PLANEACIÓN Y DESCENTRALIZACIÓN  "/>
    <s v="2,3,2409,0600,2021130010101"/>
    <s v="001"/>
    <s v="1,2,1,0,00-001 - ICLD"/>
    <s v="INV"/>
    <s v="NO"/>
    <s v="ELABORACION DE CAMPA?AS EDUCATIVAS PARA REDUCIR LA SINIESTRALIDAD VIAL EN LA LOCALIDAD DE LA VIRGEN Y TURISTICA CARTAGENA DE INDIAS"/>
    <s v="2021130010101 ELABORACION DE CAMPA?AS EDUCATIVAS PARA REDUCIR LA SINIESTRALIDAD VIAL EN LA LOCALIDAD DE LA VIRGEN Y TURISTICA CARTAGENA DE INDIAS"/>
    <s v="06"/>
    <s v="00"/>
    <n v="0"/>
    <n v="0"/>
    <n v="0"/>
    <n v="0"/>
    <n v="0"/>
    <n v="0"/>
    <n v="0"/>
    <n v="0"/>
    <n v="0"/>
    <n v="0"/>
    <n v="0"/>
  </r>
  <r>
    <n v="2022"/>
    <n v="100"/>
    <x v="0"/>
    <s v="LOCALIDAD TURISTICA Y DE LA VIRGEN"/>
    <s v="04 LOCALIDAD TURISTICA Y DE LA VIRGEN"/>
    <n v="2021130010102"/>
    <s v="10. PILAR: CARTAGENA TRANSPARENTE"/>
    <s v="10.7 LÍNEA ESTRATÉGICA: PARTICIPACIÓN Y DESCENTRALIZACIÓN"/>
    <s v="10.7.2 PROGRAMA: MODERNIZACIÓN DEL SISTEMA DISTRITAL DE PLANEACIÓN Y DESCENTRALIZACIÓN  "/>
    <s v="2,3,4103,1500,2021130010102"/>
    <s v="001"/>
    <s v="1,2,1,0,00-001 - ICLD"/>
    <s v="INV"/>
    <s v="NO"/>
    <s v="FORTALECIMIENTO DEL EMPRENDIMIENTO EN LOS PEQUE?OS PRODUCTORES RURALES DE LA LOCALIDAD DE LA VIRGEN Y TURISTICA CARTAGENA DE INDIAS"/>
    <s v="2021130010102 FORTALECIMIENTO DEL EMPRENDIMIENTO EN LOS PEQUE?OS PRODUCTORES RURALES DE LA LOCALIDAD DE LA VIRGEN Y TURISTICA CARTAGENA DE INDIAS"/>
    <s v="06"/>
    <s v="00"/>
    <n v="300000000"/>
    <n v="-300000000"/>
    <n v="0"/>
    <n v="0"/>
    <n v="0"/>
    <n v="0"/>
    <n v="0"/>
    <n v="0"/>
    <n v="0"/>
    <n v="0"/>
    <n v="0"/>
  </r>
  <r>
    <n v="2022"/>
    <n v="100"/>
    <x v="0"/>
    <s v="LOCALIDAD TURISTICA Y DE LA VIRGEN"/>
    <s v="04 LOCALIDAD TURISTICA Y DE LA VIRGEN"/>
    <n v="2021130010103"/>
    <s v="10. PILAR: CARTAGENA TRANSPARENTE"/>
    <s v="10.7 LÍNEA ESTRATÉGICA: PARTICIPACIÓN Y DESCENTRALIZACIÓN"/>
    <s v="10.7.2 PROGRAMA: MODERNIZACIÓN DEL SISTEMA DISTRITAL DE PLANEACIÓN Y DESCENTRALIZACIÓN  "/>
    <s v="2,3,1905,0300,2021130010103"/>
    <s v="001"/>
    <s v="1,2,1,0,00-001 - ICLD"/>
    <s v="INV"/>
    <s v="NO"/>
    <s v="FORMACION DE ADOLESCENTES EN SALUD SEXUAL Y REPRODUCTIVA EN LA LOCALIDAD DE LA VIRGEN Y TURISTICA CARTAGENA DE INDIAS"/>
    <s v="2021130010103 FORMACION DE ADOLESCENTES EN SALUD SEXUAL Y REPRODUCTIVA EN LA LOCALIDAD DE LA VIRGEN Y TURISTICA CARTAGENA DE INDIAS"/>
    <s v="06"/>
    <s v="00"/>
    <n v="200000000"/>
    <n v="-200000000"/>
    <n v="0"/>
    <n v="0"/>
    <n v="0"/>
    <n v="0"/>
    <n v="0"/>
    <n v="0"/>
    <n v="0"/>
    <n v="0"/>
    <n v="0"/>
  </r>
  <r>
    <n v="2022"/>
    <n v="100"/>
    <x v="0"/>
    <s v="LOCALIDAD TURISTICA Y DE LA VIRGEN"/>
    <s v="04 LOCALIDAD TURISTICA Y DE LA VIRGEN"/>
    <n v="2021130010104"/>
    <s v="10. PILAR: CARTAGENA TRANSPARENTE"/>
    <s v="10.7 LÍNEA ESTRATÉGICA: PARTICIPACIÓN Y DESCENTRALIZACIÓN"/>
    <s v="10.7.2 PROGRAMA: MODERNIZACIÓN DEL SISTEMA DISTRITAL DE PLANEACIÓN Y DESCENTRALIZACIÓN  "/>
    <s v="2,3,4103,1500,2021130010104"/>
    <s v="001"/>
    <s v="1,2,1,0,00-001 - ICLD"/>
    <s v="INV"/>
    <s v="NO"/>
    <s v="CAPACITACION DE LOS PRESTADORES DE SERVICIOS TURISTICOS PARA LA REACTIVACION ECONOMICA DEL SECTOR EN LA LOCALIDAD DE LA VIRGEN Y TURISTICA, CARTAGENA DE INDIAS"/>
    <s v="2021130010104 CAPACITACION DE LOS PRESTADORES DE SERVICIOS TURISTICOS PARA LA REACTIVACION ECONOMICA DEL SECTOR EN LA LOCALIDAD DE LA VIRGEN Y TURISTICA, CARTAGENA DE INDIAS"/>
    <s v="06"/>
    <s v="00"/>
    <n v="200000000"/>
    <n v="-200000000"/>
    <n v="0"/>
    <n v="0"/>
    <n v="0"/>
    <n v="0"/>
    <n v="0"/>
    <n v="0"/>
    <n v="0"/>
    <n v="0"/>
    <n v="0"/>
  </r>
  <r>
    <n v="2022"/>
    <n v="100"/>
    <x v="0"/>
    <s v="LOCALIDAD TURISTICA Y DE LA VIRGEN"/>
    <s v="04 LOCALIDAD TURISTICA Y DE LA VIRGEN"/>
    <n v="2021130010105"/>
    <s v="10. PILAR: CARTAGENA TRANSPARENTE"/>
    <s v="10.7 LÍNEA ESTRATÉGICA: PARTICIPACIÓN Y DESCENTRALIZACIÓN"/>
    <s v="10.7.2 PROGRAMA: MODERNIZACIÓN DEL SISTEMA DISTRITAL DE PLANEACIÓN Y DESCENTRALIZACIÓN  "/>
    <s v="2,3,3603,1300,2021130010105"/>
    <s v="001"/>
    <s v="1,2,1,0,00-001 - ICLD"/>
    <s v="INV"/>
    <s v="NO"/>
    <s v="FORTALECIMIENTO DEL EMPRENDIMIENTO Y LA EMPLEABILIDAD EN LA LOCALIDAD DE LA VIRGEN Y TURISTICA, CARTAGENA DE INDIAS"/>
    <s v="2021130010105 FORTALECIMIENTO DEL EMPRENDIMIENTO Y LA EMPLEABILIDAD EN LA LOCALIDAD DE LA VIRGEN Y TURISTICA, CARTAGENA DE INDIAS"/>
    <s v="06"/>
    <s v="00"/>
    <n v="300000000"/>
    <n v="-300000000"/>
    <n v="0"/>
    <n v="0"/>
    <n v="0"/>
    <n v="0"/>
    <n v="0"/>
    <n v="0"/>
    <n v="0"/>
    <n v="0"/>
    <n v="0"/>
  </r>
  <r>
    <n v="2022"/>
    <n v="100"/>
    <x v="0"/>
    <s v="LOCALIDAD TURISTICA Y DE LA VIRGEN"/>
    <s v="04 LOCALIDAD TURISTICA Y DE LA VIRGEN"/>
    <n v="2021130010106"/>
    <s v="10. PILAR: CARTAGENA TRANSPARENTE"/>
    <s v="10.7 LÍNEA ESTRATÉGICA: PARTICIPACIÓN Y DESCENTRALIZACIÓN"/>
    <s v="10.7.2 PROGRAMA: MODERNIZACIÓN DEL SISTEMA DISTRITAL DE PLANEACIÓN Y DESCENTRALIZACIÓN  "/>
    <s v="2,3,3301,1603,2021130010106"/>
    <s v="001"/>
    <s v="1,2,1,0,00-001 - ICLD"/>
    <s v="INV"/>
    <s v="NO"/>
    <s v="CONSTRUCCION Y MANTENIMIENTO DE INFRAESTRUCTURA CULTURAL EN LA LOCALIDAD DE LA VIRGEN Y TURISTICA, CARTAGENA DE INDIAS"/>
    <s v="2021130010106 CONSTRUCCION Y MANTENIMIENTO DE INFRAESTRUCTURA CULTURAL EN LA LOCALIDAD DE LA VIRGEN Y TURISTICA, CARTAGENA DE INDIAS"/>
    <s v="06"/>
    <s v="00"/>
    <n v="300000000"/>
    <n v="-300000000"/>
    <n v="0"/>
    <n v="0"/>
    <n v="0"/>
    <n v="0"/>
    <n v="0"/>
    <n v="0"/>
    <n v="0"/>
    <n v="0"/>
    <n v="0"/>
  </r>
  <r>
    <n v="2022"/>
    <n v="100"/>
    <x v="0"/>
    <s v="LOCALIDAD TURISTICA Y DE LA VIRGEN"/>
    <s v="04 LOCALIDAD TURISTICA Y DE LA VIRGEN"/>
    <n v="2021130010107"/>
    <s v="10. PILAR: CARTAGENA TRANSPARENTE"/>
    <s v="10.7 LÍNEA ESTRATÉGICA: PARTICIPACIÓN Y DESCENTRALIZACIÓN"/>
    <s v="10.7.2 PROGRAMA: MODERNIZACIÓN DEL SISTEMA DISTRITAL DE PLANEACIÓN Y DESCENTRALIZACIÓN  "/>
    <s v="2,3,3301,1603,2021130010107"/>
    <s v="001"/>
    <s v="1,2,1,0,00-001 - ICLD"/>
    <s v="INV"/>
    <s v="NO"/>
    <s v="FORTALECIMIENTO DE LA PARTICIPACION DE ARTISTAS Y GESTORES CULTURALES EN LOS FESTEJOS Y FIESTAS DE LA LOCALIDAD DE LA VIRGEN Y TURISTICA CARTAGENA DE INDIAS"/>
    <s v="2021130010107 FORTALECIMIENTO DE LA PARTICIPACION DE ARTISTAS Y GESTORES CULTURALES EN LOS FESTEJOS Y FIESTAS DE LA LOCALIDAD DE LA VIRGEN Y TURISTICA CARTAGENA DE INDIAS"/>
    <s v="06"/>
    <s v="00"/>
    <n v="200000000"/>
    <n v="-200000000"/>
    <n v="0"/>
    <n v="0"/>
    <n v="0"/>
    <n v="0"/>
    <n v="0"/>
    <n v="0"/>
    <n v="0"/>
    <n v="0"/>
    <n v="0"/>
  </r>
  <r>
    <n v="2022"/>
    <n v="100"/>
    <x v="0"/>
    <s v="LOCALIDAD TURISTICA Y DE LA VIRGEN"/>
    <s v="04 LOCALIDAD TURISTICA Y DE LA VIRGEN"/>
    <n v="2021130010110"/>
    <s v="10. PILAR: CARTAGENA TRANSPARENTE"/>
    <s v="10.7 LÍNEA ESTRATÉGICA: PARTICIPACIÓN Y DESCENTRALIZACIÓN"/>
    <s v="10.7.2 PROGRAMA: MODERNIZACIÓN DEL SISTEMA DISTRITAL DE PLANEACIÓN Y DESCENTRALIZACIÓN  "/>
    <s v="2,3,4301,1604,2021130010110"/>
    <s v="001"/>
    <s v="1,2,1,0,00-001 - ICLD"/>
    <s v="INV"/>
    <s v="NO"/>
    <s v="DESARROLLO DE EVENTOS O TORNEOS DEPORTIVOS PARA IMPULSAR LA INTEGRACION SOCIAL EN LA LOCALIDAD DE LA VIRGEN Y TURISTICA CARTAGENA DE INDIAS"/>
    <s v="2021130010110 DESARROLLO DE EVENTOS O TORNEOS DEPORTIVOS PARA IMPULSAR LA INTEGRACION SOCIAL EN LA LOCALIDAD DE LA VIRGEN Y TURISTICA CARTAGENA DE INDIAS"/>
    <s v="06"/>
    <s v="00"/>
    <n v="200000000"/>
    <n v="-200000000"/>
    <n v="0"/>
    <n v="0"/>
    <n v="0"/>
    <n v="0"/>
    <n v="0"/>
    <n v="0"/>
    <n v="0"/>
    <n v="0"/>
    <n v="0"/>
  </r>
  <r>
    <n v="2022"/>
    <n v="100"/>
    <x v="0"/>
    <s v="LOCALIDAD TURISTICA Y DE LA VIRGEN"/>
    <s v="04 LOCALIDAD TURISTICA Y DE LA VIRGEN"/>
    <n v="2021130010111"/>
    <s v="10. PILAR: CARTAGENA TRANSPARENTE"/>
    <s v="10.7 LÍNEA ESTRATÉGICA: PARTICIPACIÓN Y DESCENTRALIZACIÓN"/>
    <s v="10.7.2 PROGRAMA: MODERNIZACIÓN DEL SISTEMA DISTRITAL DE PLANEACIÓN Y DESCENTRALIZACIÓN  "/>
    <s v="2,3,4102,1500,2021130010111"/>
    <s v="001"/>
    <s v="1,2,1,0,00-001 - ICLD"/>
    <s v="INV"/>
    <s v="NO"/>
    <s v="ASISTENCIA PSICOSOCIAL A LA POBLACION NNA CON RIESGO DE VINCULARSE A ACTIVIDADES DELICTIVAS EN LA LOCALIDAD DE LA VIRGEN Y TURISTICA, CARTAGENA DE INDIAS"/>
    <s v="2021130010111 ASISTENCIA PSICOSOCIAL A LA POBLACION NNA CON RIESGO DE VINCULARSE A ACTIVIDADES DELICTIVAS EN LA LOCALIDAD DE LA VIRGEN Y TURISTICA, CARTAGENA DE INDIAS"/>
    <s v="06"/>
    <s v="00"/>
    <n v="200000000"/>
    <n v="-200000000"/>
    <n v="0"/>
    <n v="0"/>
    <n v="0"/>
    <n v="0"/>
    <n v="0"/>
    <n v="0"/>
    <n v="0"/>
    <n v="0"/>
    <n v="0"/>
  </r>
  <r>
    <n v="2022"/>
    <n v="100"/>
    <x v="0"/>
    <s v="LOCALIDAD TURISTICA Y DE LA VIRGEN"/>
    <s v="04 LOCALIDAD TURISTICA Y DE LA VIRGEN"/>
    <n v="2021130010113"/>
    <s v="10. PILAR: CARTAGENA TRANSPARENTE"/>
    <s v="10.7 LÍNEA ESTRATÉGICA: PARTICIPACIÓN Y DESCENTRALIZACIÓN"/>
    <s v="10.7.2 PROGRAMA: MODERNIZACIÓN DEL SISTEMA DISTRITAL DE PLANEACIÓN Y DESCENTRALIZACIÓN  "/>
    <s v="2,3,4002,1400,2021130010113"/>
    <s v="001"/>
    <s v="1,2,1,0,00-001 - ICLD"/>
    <s v="INV"/>
    <s v="NO"/>
    <s v="GENERACION DE MEDIDAS ENCAMINADAS A RECUPERAR EL ESPACIO PUBLICO DE LA LOCALIDAD DE LA VIRGEN Y TURISTICA, CARTAGENA DE INDIAS"/>
    <s v="2021130010113 GENERACION DE MEDIDAS ENCAMINADAS A RECUPERAR EL ESPACIO PUBLICO DE LA LOCALIDAD DE LA VIRGEN Y TURISTICA, CARTAGENA DE INDIAS"/>
    <s v="06"/>
    <s v="00"/>
    <n v="200000000"/>
    <n v="-200000000"/>
    <n v="0"/>
    <n v="0"/>
    <n v="0"/>
    <n v="0"/>
    <n v="0"/>
    <n v="0"/>
    <n v="0"/>
    <n v="0"/>
    <n v="0"/>
  </r>
  <r>
    <n v="2022"/>
    <n v="100"/>
    <x v="0"/>
    <s v="LOCALIDAD TURISTICA Y DE LA VIRGEN"/>
    <s v="04 LOCALIDAD TURISTICA Y DE LA VIRGEN"/>
    <n v="2021130010114"/>
    <s v="10. PILAR: CARTAGENA TRANSPARENTE"/>
    <s v="10.7 LÍNEA ESTRATÉGICA: PARTICIPACIÓN Y DESCENTRALIZACIÓN"/>
    <s v="10.7.2 PROGRAMA: MODERNIZACIÓN DEL SISTEMA DISTRITAL DE PLANEACIÓN Y DESCENTRALIZACIÓN  "/>
    <s v="2,3,4102,1500,2021130010114"/>
    <s v="001"/>
    <s v="1,2,1,0,00-001 - ICLD"/>
    <s v="INV"/>
    <s v="NO"/>
    <s v="FORTALECIMIENTO DE LA CAPACIDAD DE MANEJO Y RESOLUCION DE CONFLICTOS DE LOS ESTUDIANTES DE LAS IEO DE LA LOCALIDAD DE LA VIRGEN Y TURISTICA?"/>
    <s v="2021130010114 FORTALECIMIENTO DE LA CAPACIDAD DE MANEJO Y RESOLUCION DE CONFLICTOS DE LOS ESTUDIANTES DE LAS IEO DE LA LOCALIDAD DE LA VIRGEN Y TURISTICA?"/>
    <s v="06"/>
    <s v="00"/>
    <n v="1425000000"/>
    <n v="0"/>
    <n v="1425000000"/>
    <n v="0"/>
    <n v="1425000000"/>
    <n v="0"/>
    <n v="0"/>
    <n v="0"/>
    <n v="0"/>
    <n v="1425000000"/>
    <n v="0"/>
  </r>
  <r>
    <n v="2022"/>
    <n v="100"/>
    <x v="0"/>
    <s v="LOCALIDAD TURISTICA Y DE LA VIRGEN"/>
    <s v="04 LOCALIDAD TURISTICA Y DE LA VIRGEN"/>
    <n v="2021130010115"/>
    <s v="10. PILAR: CARTAGENA TRANSPARENTE"/>
    <s v="10.7 LÍNEA ESTRATÉGICA: PARTICIPACIÓN Y DESCENTRALIZACIÓN"/>
    <s v="10.7.2 PROGRAMA: MODERNIZACIÓN DEL SISTEMA DISTRITAL DE PLANEACIÓN Y DESCENTRALIZACIÓN  "/>
    <s v="2,3,4103,1500,2021130010115"/>
    <s v="001"/>
    <s v="1,2,1,0,00-001 - ICLD"/>
    <s v="INV"/>
    <s v="NO"/>
    <s v="CONTRIBUCION A LA GENERACION DE INGRESOS DE LOS GRUPOS ETNICOS DE LA LOCALIDAD DE LA VIRGEN Y TURISTICA CARTAGENA DE INDIAS"/>
    <s v="2021130010115 CONTRIBUCION A LA GENERACION DE INGRESOS DE LOS GRUPOS ETNICOS DE LA LOCALIDAD DE LA VIRGEN Y TURISTICA CARTAGENA DE INDIAS"/>
    <s v="06"/>
    <s v="00"/>
    <n v="200000000"/>
    <n v="-200000000"/>
    <n v="0"/>
    <n v="0"/>
    <n v="0"/>
    <n v="0"/>
    <n v="0"/>
    <n v="0"/>
    <n v="0"/>
    <n v="0"/>
    <n v="0"/>
  </r>
  <r>
    <n v="2022"/>
    <n v="100"/>
    <x v="0"/>
    <s v="LOCALIDAD TURISTICA Y DE LA VIRGEN"/>
    <s v="04 LOCALIDAD TURISTICA Y DE LA VIRGEN"/>
    <n v="2021130010117"/>
    <s v="10. PILAR: CARTAGENA TRANSPARENTE"/>
    <s v="10.7 LÍNEA ESTRATÉGICA: PARTICIPACIÓN Y DESCENTRALIZACIÓN"/>
    <s v="10.7.2 PROGRAMA: MODERNIZACIÓN DEL SISTEMA DISTRITAL DE PLANEACIÓN Y DESCENTRALIZACIÓN  "/>
    <s v="2,3,4501,1000,2021130010117"/>
    <s v="001"/>
    <s v="1,2,1,0,00-001 - ICLD"/>
    <s v="INV"/>
    <s v="NO"/>
    <s v="DESARROLLO DE ACCIONES PARA DISMINUIR LA VIOLENCIA CONTRA LA MUJER EN LA LOCALIDAD DE LA VIRGEN Y TURISTICA CARTAGENA DE INDIAS"/>
    <s v="2021130010117 DESARROLLO DE ACCIONES PARA DISMINUIR LA VIOLENCIA CONTRA LA MUJER EN LA LOCALIDAD DE LA VIRGEN Y TURISTICA CARTAGENA DE INDIAS"/>
    <s v="06"/>
    <s v="00"/>
    <n v="300000000"/>
    <n v="-300000000"/>
    <n v="0"/>
    <n v="0"/>
    <n v="0"/>
    <n v="0"/>
    <n v="0"/>
    <n v="0"/>
    <n v="0"/>
    <n v="0"/>
    <n v="0"/>
  </r>
  <r>
    <n v="2022"/>
    <n v="100"/>
    <x v="0"/>
    <s v="LOCALIDAD TURISTICA Y DE LA VIRGEN"/>
    <s v="04 LOCALIDAD TURISTICA Y DE LA VIRGEN"/>
    <n v="2021130010118"/>
    <s v="10. PILAR: CARTAGENA TRANSPARENTE"/>
    <s v="10.7 LÍNEA ESTRATÉGICA: PARTICIPACIÓN Y DESCENTRALIZACIÓN"/>
    <s v="10.7.2 PROGRAMA: MODERNIZACIÓN DEL SISTEMA DISTRITAL DE PLANEACIÓN Y DESCENTRALIZACIÓN  "/>
    <s v="2,3,3604,1300,2021130010118"/>
    <s v="001"/>
    <s v="1,2,1,0,00-001 - ICLD"/>
    <s v="INV"/>
    <s v="NO"/>
    <s v="FORMACION DE MUJERES PARA EJERCER LIDERAZGO EN LA COMUNIDAD DE LA LOCALIDAD DE LA VIRGEN Y TURISTICA, CARTAGENA DE INDIAS"/>
    <s v="2021130010118 FORMACION DE MUJERES PARA EJERCER LIDERAZGO EN LA COMUNIDAD DE LA LOCALIDAD DE LA VIRGEN Y TURISTICA, CARTAGENA DE INDIAS"/>
    <s v="06"/>
    <s v="00"/>
    <n v="200000000"/>
    <n v="-200000000"/>
    <n v="0"/>
    <n v="0"/>
    <n v="0"/>
    <n v="0"/>
    <n v="0"/>
    <n v="0"/>
    <n v="0"/>
    <n v="0"/>
    <n v="0"/>
  </r>
  <r>
    <n v="2022"/>
    <n v="100"/>
    <x v="17"/>
    <s v="SECRETARIA DE INFRAESTRUCTURA"/>
    <s v="06 SECRETARIA DE INFRAESTRUCTURA"/>
    <n v="2021130010121"/>
    <s v="11. EJE TRANSVERSAL: CARTAGENA CON ATENCION Y GARANTIA DE DERECHOS A POBLACION DIFERENCIAL."/>
    <s v="11.1 LÍNEA ESTRATÉGICA PARA LA EQUIDAD E INCLUSIÓN DE LOS NEGROS, AFROS, PALENQUEROS E INDÍGENA."/>
    <s v="11.1.4 PROGRAMA: PROMOCIÓN, PREVENCIÓN Y ATENCIÓN EN SALUD PARA LA POBLACIÓN NEGRA, AFROCOLOMBIANA, RAIZAL Y PALENQUERA EN EL DISTRITO DE CARTAGENA."/>
    <s v="2,3,1906,0300,2021130010121"/>
    <s v="001"/>
    <s v="1,2,1,0,00-001 - ICLD"/>
    <s v="INV"/>
    <s v="NO"/>
    <s v="ADECUACION DE CENTROS DE SALUD PARA LA POBLACION NEGRA AFROCOLOMBIANA RAIZAL Y PALENQUERA EN EL DISTRITO DE   CARTAGENA DE INDIAS"/>
    <s v="2021130010121 ADECUACION DE CENTROS DE SALUD PARA LA POBLACION NEGRA AFROCOLOMBIANA RAIZAL Y PALENQUERA EN EL DISTRITO DE   CARTAGENA DE INDIAS"/>
    <s v="06"/>
    <s v="00"/>
    <n v="150000000"/>
    <n v="0"/>
    <n v="150000000"/>
    <n v="143920374"/>
    <n v="6079626"/>
    <n v="126257831"/>
    <n v="84.17"/>
    <n v="118028434.22"/>
    <n v="78.69"/>
    <n v="23742169"/>
    <n v="118028434.22"/>
  </r>
  <r>
    <n v="2022"/>
    <n v="100"/>
    <x v="2"/>
    <s v="LOCALIDAD INDUSTRIAL Y DE LA BAHIA"/>
    <s v="23 LOCALIDAD INDUSTRIAL Y DE LA BAHIA"/>
    <n v="2021130010123"/>
    <s v="10. PILAR: CARTAGENA TRANSPARENTE"/>
    <s v="10.7 LÍNEA ESTRATÉGICA: PARTICIPACIÓN Y DESCENTRALIZACIÓN"/>
    <s v="10.7.2 PROGRAMA: MODERNIZACIÓN DEL SISTEMA DISTRITAL DE PLANEACIÓN Y DESCENTRALIZACIÓN  "/>
    <s v="2,3,4502,1500,2021130010123"/>
    <s v="001"/>
    <s v="1,2,1,0,00-001 - ICLD"/>
    <s v="INV"/>
    <s v="NO"/>
    <s v="FORTALECIMIENTO DE PROCESOS DE RECONOCIMIENTO Y PROMOCION DE LA DIVERSIDAD SEXUAL EN MEDIO DE LA COMUNIDAD DE LA LOCALIDAD INDUSTRIAL Y DE LA BAHIA, CARTAGENA DE INDIAS,"/>
    <s v="2021130010123 FORTALECIMIENTO DE PROCESOS DE RECONOCIMIENTO Y PROMOCION DE LA DIVERSIDAD SEXUAL EN MEDIO DE LA COMUNIDAD DE LA LOCALIDAD INDUSTRIAL Y DE LA BAHIA, CARTAGENA DE INDIAS,"/>
    <s v="06"/>
    <s v="00"/>
    <n v="0"/>
    <n v="200000000"/>
    <n v="200000000"/>
    <n v="200000000"/>
    <n v="0"/>
    <n v="199999986"/>
    <n v="100"/>
    <n v="0"/>
    <n v="0"/>
    <n v="14"/>
    <n v="0"/>
  </r>
  <r>
    <n v="2022"/>
    <n v="100"/>
    <x v="0"/>
    <s v="LOCALIDAD TURISTICA Y DE LA VIRGEN"/>
    <s v="04 LOCALIDAD TURISTICA Y DE LA VIRGEN"/>
    <n v="2021130010125"/>
    <s v="10. PILAR: CARTAGENA TRANSPARENTE"/>
    <s v="10.7 LÍNEA ESTRATÉGICA: PARTICIPACIÓN Y DESCENTRALIZACIÓN"/>
    <s v="10.7.2 PROGRAMA: MODERNIZACIÓN DEL SISTEMA DISTRITAL DE PLANEACIÓN Y DESCENTRALIZACIÓN  "/>
    <s v="2,3,4502,1500,2021130010125"/>
    <s v="001"/>
    <s v="1,2,1,0,00-001 - ICLD"/>
    <s v="INV"/>
    <s v="NO"/>
    <s v="DIVERSIDAD SEXUAL Y NUEVAS IDENTIDADES DE GENERO EN LA LOCALIDAD"/>
    <s v="2021130010125 DIVERSIDAD SEXUAL Y NUEVAS IDENTIDADES DE GENERO EN LA LOCALIDAD"/>
    <s v="06"/>
    <s v="00"/>
    <n v="100000000"/>
    <n v="-100000000"/>
    <n v="0"/>
    <n v="0"/>
    <n v="0"/>
    <n v="0"/>
    <n v="0"/>
    <n v="0"/>
    <n v="0"/>
    <n v="0"/>
    <n v="0"/>
  </r>
  <r>
    <n v="2022"/>
    <n v="100"/>
    <x v="0"/>
    <s v="LOCALIDAD TURISTICA Y DE LA VIRGEN"/>
    <s v="04 LOCALIDAD TURISTICA Y DE LA VIRGEN"/>
    <n v="2021130010126"/>
    <s v="10. PILAR: CARTAGENA TRANSPARENTE"/>
    <s v="10.7 LÍNEA ESTRATÉGICA: PARTICIPACIÓN Y DESCENTRALIZACIÓN"/>
    <s v="10.7.2 PROGRAMA: MODERNIZACIÓN DEL SISTEMA DISTRITAL DE PLANEACIÓN Y DESCENTRALIZACIÓN  "/>
    <s v="2,3,4502,1000,2021130010126"/>
    <s v="001"/>
    <s v="1,2,1,0,00-001 - ICLD"/>
    <s v="INV"/>
    <s v="NO"/>
    <s v="FORTALECIMIENTO TECNICO Y LOGISTICO DE LAS ORGANIZACIONES COMUNALES DE LA LOCALIDAD DE LA VIRGEN Y TURISTICA CARTAGENA DE INDIAS"/>
    <s v="2021130010126 FORTALECIMIENTO TECNICO Y LOGISTICO DE LAS ORGANIZACIONES COMUNALES DE LA LOCALIDAD DE LA VIRGEN Y TURISTICA CARTAGENA DE INDIAS"/>
    <s v="06"/>
    <s v="00"/>
    <n v="100000000"/>
    <n v="0"/>
    <n v="100000000"/>
    <n v="0"/>
    <n v="100000000"/>
    <n v="0"/>
    <n v="0"/>
    <n v="0"/>
    <n v="0"/>
    <n v="100000000"/>
    <n v="0"/>
  </r>
  <r>
    <n v="2022"/>
    <n v="100"/>
    <x v="0"/>
    <s v="LOCALIDAD TURISTICA Y DE LA VIRGEN"/>
    <s v="04 LOCALIDAD TURISTICA Y DE LA VIRGEN"/>
    <n v="2021130010127"/>
    <s v="10. PILAR: CARTAGENA TRANSPARENTE"/>
    <s v="10.7 LÍNEA ESTRATÉGICA: PARTICIPACIÓN Y DESCENTRALIZACIÓN"/>
    <s v="10.7.2 PROGRAMA: MODERNIZACIÓN DEL SISTEMA DISTRITAL DE PLANEACIÓN Y DESCENTRALIZACIÓN  "/>
    <s v="2,3,4599,1000,2021130010127"/>
    <s v="001"/>
    <s v="1,2,1,0,00-001 - ICLD"/>
    <s v="INV"/>
    <s v="NO"/>
    <s v="FORTALECIMIENTO TECNICO Y LOGISTICO DEL CONSEJO LOCAL DE PLANEACION DE LA LOCALIDAD DE LA VIRGEN Y TURISTICA, CARTAGENA DE INDIAS"/>
    <s v="2021130010127 FORTALECIMIENTO TECNICO Y LOGISTICO DEL CONSEJO LOCAL DE PLANEACION DE LA LOCALIDAD DE LA VIRGEN Y TURISTICA, CARTAGENA DE INDIAS"/>
    <s v="06"/>
    <s v="00"/>
    <n v="100000000"/>
    <n v="0"/>
    <n v="100000000"/>
    <n v="0"/>
    <n v="100000000"/>
    <n v="0"/>
    <n v="0"/>
    <n v="0"/>
    <n v="0"/>
    <n v="100000000"/>
    <n v="0"/>
  </r>
  <r>
    <n v="2022"/>
    <n v="100"/>
    <x v="0"/>
    <s v="LOCALIDAD TURISTICA Y DE LA VIRGEN"/>
    <s v="04 LOCALIDAD TURISTICA Y DE LA VIRGEN"/>
    <n v="2021130010131"/>
    <s v="10. PILAR: CARTAGENA TRANSPARENTE"/>
    <s v="10.7 LÍNEA ESTRATÉGICA: PARTICIPACIÓN Y DESCENTRALIZACIÓN"/>
    <s v="10.7.2 PROGRAMA: MODERNIZACIÓN DEL SISTEMA DISTRITAL DE PLANEACIÓN Y DESCENTRALIZACIÓN  "/>
    <s v="2,3,4502,1000,2021130010131"/>
    <s v="001"/>
    <s v="1,2,1,0,00-001 - ICLD"/>
    <s v="INV"/>
    <s v="NO"/>
    <s v="FORMACION SOCIOPOLITICA PARA IMPULSAR LA PARTICIPACION CIUDADANA DE LOS JOVENES DE LA LOCALIDAD DE LA VIRGEN Y TURISTICA CARTAGENA DE INDIAS"/>
    <s v="2021130010131 FORMACION SOCIOPOLITICA PARA IMPULSAR LA PARTICIPACION CIUDADANA DE LOS JOVENES DE LA LOCALIDAD DE LA VIRGEN Y TURISTICA CARTAGENA DE INDIAS"/>
    <s v="06"/>
    <s v="00"/>
    <n v="100000000"/>
    <n v="-100000000"/>
    <n v="0"/>
    <n v="0"/>
    <n v="0"/>
    <n v="0"/>
    <n v="0"/>
    <n v="0"/>
    <n v="0"/>
    <n v="0"/>
    <n v="0"/>
  </r>
  <r>
    <n v="2022"/>
    <n v="100"/>
    <x v="0"/>
    <s v="LOCALIDAD TURISTICA Y DE LA VIRGEN"/>
    <s v="04 LOCALIDAD TURISTICA Y DE LA VIRGEN"/>
    <n v="2021130010132"/>
    <s v="10. PILAR: CARTAGENA TRANSPARENTE"/>
    <s v="10.7 LÍNEA ESTRATÉGICA: PARTICIPACIÓN Y DESCENTRALIZACIÓN"/>
    <s v="10.7.2 PROGRAMA: MODERNIZACIÓN DEL SISTEMA DISTRITAL DE PLANEACIÓN Y DESCENTRALIZACIÓN  "/>
    <s v="2,3,4104,0300,2021130010132"/>
    <s v="001"/>
    <s v="1,2,1,0,00-001 - ICLD"/>
    <s v="INV"/>
    <s v="NO"/>
    <s v="FORTALECIMIENTO ORGANIZACIONAL ASOCIADO A LA ATENCION DE PERSONAS MAYORES EN CENTROS DE VIDA DE LA LOCALIDAD DE LA VIRGEN Y TURISTICA CARTAGENA DE INDIAS"/>
    <s v="2021130010132 FORTALECIMIENTO ORGANIZACIONAL ASOCIADO A LA ATENCION DE PERSONAS MAYORES EN CENTROS DE VIDA DE LA LOCALIDAD DE LA VIRGEN Y TURISTICA CARTAGENA DE INDIAS"/>
    <s v="06"/>
    <s v="00"/>
    <n v="300000000"/>
    <n v="-300000000"/>
    <n v="0"/>
    <n v="0"/>
    <n v="0"/>
    <n v="0"/>
    <n v="0"/>
    <n v="0"/>
    <n v="0"/>
    <n v="0"/>
    <n v="0"/>
  </r>
  <r>
    <n v="2022"/>
    <n v="100"/>
    <x v="6"/>
    <s v="INSTITUTO DE PATRIMONIO Y CULTURA DE CARTAGENA DE INDIAS"/>
    <s v="17 INSTITUTO DE PATRIMONIO Y CULTURA DE CARTAGENA DE INDIAS"/>
    <n v="2021130010134"/>
    <s v="11. EJE TRANSVERSAL: CARTAGENA CON ATENCION Y GARANTIA DE DERECHOS A POBLACION DIFERENCIAL."/>
    <s v="11.1 LÍNEA ESTRATÉGICA PARA LA EQUIDAD E INCLUSIÓN DE LOS NEGROS, AFROS, PALENQUEROS E INDÍGENA."/>
    <s v="11.1.6 PROGRAMA: SOSTENIBILIDAD CULTURAL COMO GARANTÍA DE PERMANENCIA."/>
    <s v="2,3,3302,1603,2021130010134"/>
    <s v="001"/>
    <s v="1,2,1,0,00-001 - ICLD"/>
    <s v="INV"/>
    <s v="NO"/>
    <s v="DESARROLLO DEL FESTIVAL DE MEMORIA ORAL UNA ESTRATEGIA PARA LA SOSTENIBILIDAD CULTURAL COMO GARANTIA DE PERMANENCIA DE LOS VALORES CULTURALES EN EL DISTRITO DE CARTAGENA DE INDIAS"/>
    <s v="2021130010134 DESARROLLO DEL FESTIVAL DE MEMORIA ORAL UNA ESTRATEGIA PARA LA SOSTENIBILIDAD CULTURAL COMO GARANTIA DE PERMANENCIA DE LOS VALORES CULTURALES EN EL DISTRITO DE CARTAGENA DE INDIAS"/>
    <s v="06"/>
    <s v="00"/>
    <n v="75000000"/>
    <n v="0"/>
    <n v="75000000"/>
    <n v="75000000"/>
    <n v="0"/>
    <n v="75000000"/>
    <n v="100"/>
    <n v="75000000"/>
    <n v="100"/>
    <n v="0"/>
    <n v="75000000"/>
  </r>
  <r>
    <n v="2022"/>
    <n v="100"/>
    <x v="17"/>
    <s v="SECRETARIA DE INFRAESTRUCTURA"/>
    <s v="06 SECRETARIA DE INFRAESTRUCTURA"/>
    <n v="2021130010141"/>
    <s v="07. PILAR CARTAGENA RESILIENTE"/>
    <s v="7.3 LÍNEA ESTRATÉGICA DESARROLLO URBANO"/>
    <s v="7.3.2 SISTEMA HÍDRICO Y PLAN MAESTRO DE ALCANTARILLADO PLUVIALES EN LA CIUDAD PARA SALVAR EL HÁBITAT"/>
    <s v="2,3,3203,0900,2021130010141"/>
    <s v="869"/>
    <s v="1,3,3,4,16-95-053 RB  OTRAS TASAS Y DERECHOS ADMINISTRATIVOS CONTRAPRESTACION PORTUARIA"/>
    <s v="INV"/>
    <s v="NO"/>
    <s v="CONSTRUCCION, RECTIFICACION Y RECUPERACION DEL SISTEMA HIDRICO Y PLAN MAESTRO DE ALCANTARILLADO PLUVIAL PARA SALVAR EL HABITAT EN EL DISTRITO DE CARTAGENA DE INDIAS"/>
    <s v="2021130010141 CONSTRUCCION, RECTIFICACION Y RECUPERACION DEL SISTEMA HIDRICO Y PLAN MAESTRO DE ALCANTARILLADO PLUVIAL PARA SALVAR EL HABITAT EN EL DISTRITO DE CARTAGENA DE INDIAS"/>
    <s v="06"/>
    <s v="00"/>
    <n v="0"/>
    <n v="1085753638.8099999"/>
    <n v="1085753638.8099999"/>
    <n v="1085753638.8099999"/>
    <n v="0"/>
    <n v="1085753638.8099999"/>
    <n v="100"/>
    <n v="1085753638.8099999"/>
    <n v="100"/>
    <n v="0"/>
    <n v="1085753638.8099999"/>
  </r>
  <r>
    <n v="2022"/>
    <n v="100"/>
    <x v="17"/>
    <s v="SECRETARIA DE INFRAESTRUCTURA"/>
    <s v="06 SECRETARIA DE INFRAESTRUCTURA"/>
    <n v="2021130010141"/>
    <s v="07. PILAR CARTAGENA RESILIENTE"/>
    <s v="7.3 LÍNEA ESTRATÉGICA DESARROLLO URBANO"/>
    <s v="7.3.2 SISTEMA HÍDRICO Y PLAN MAESTRO DE ALCANTARILLADO PLUVIALES EN LA CIUDAD PARA SALVAR EL HÁBITAT"/>
    <s v="2,3,3203,0900,2021130010141"/>
    <s v="138"/>
    <s v="1,3,1,1,03-138 - DIVIDENDOS SOCIEDAD PORTUARIA"/>
    <s v="INV"/>
    <s v="NO"/>
    <s v="CONSTRUCCION, RECTIFICACION Y RECUPERACION DEL SISTEMA HIDRICO Y PLAN MAESTRO DE ALCANTARILLADO PLUVIAL PARA SALVAR EL HABITAT EN EL DISTRITO DE CARTAGENA DE INDIAS"/>
    <s v="2021130010141 CONSTRUCCION, RECTIFICACION Y RECUPERACION DEL SISTEMA HIDRICO Y PLAN MAESTRO DE ALCANTARILLADO PLUVIAL PARA SALVAR EL HABITAT EN EL DISTRITO DE CARTAGENA DE INDIAS"/>
    <s v="06"/>
    <s v="00"/>
    <n v="1267081637"/>
    <n v="800000000"/>
    <n v="2067081637"/>
    <n v="2067081636.98"/>
    <n v="0.02"/>
    <n v="1293935638.8299999"/>
    <n v="62.6"/>
    <n v="1268808591.3299999"/>
    <n v="61.38"/>
    <n v="773145998.16999996"/>
    <n v="1247510457.74"/>
  </r>
  <r>
    <n v="2022"/>
    <n v="100"/>
    <x v="17"/>
    <s v="SECRETARIA DE INFRAESTRUCTURA"/>
    <s v="06 SECRETARIA DE INFRAESTRUCTURA"/>
    <n v="2021130010141"/>
    <s v="07. PILAR CARTAGENA RESILIENTE"/>
    <s v="7.3 LÍNEA ESTRATÉGICA DESARROLLO URBANO"/>
    <s v="7.3.2 SISTEMA HÍDRICO Y PLAN MAESTRO DE ALCANTARILLADO PLUVIALES EN LA CIUDAD PARA SALVAR EL HÁBITAT"/>
    <s v="2,3,3203,0900,2021130010141"/>
    <s v="001"/>
    <s v="1,2,1,0,00-001 - ICLD"/>
    <s v="INV"/>
    <s v="NO"/>
    <s v="CONSTRUCCION, RECTIFICACION Y RECUPERACION DEL SISTEMA HIDRICO Y PLAN MAESTRO DE ALCANTARILLADO PLUVIAL PARA SALVAR EL HABITAT EN EL DISTRITO DE CARTAGENA DE INDIAS"/>
    <s v="2021130010141 CONSTRUCCION, RECTIFICACION Y RECUPERACION DEL SISTEMA HIDRICO Y PLAN MAESTRO DE ALCANTARILLADO PLUVIAL PARA SALVAR EL HABITAT EN EL DISTRITO DE CARTAGENA DE INDIAS"/>
    <s v="06"/>
    <s v="00"/>
    <n v="1194545004"/>
    <n v="68847232"/>
    <n v="1263392236"/>
    <n v="1263392235.3399999"/>
    <n v="0.66"/>
    <n v="1018912036.01"/>
    <n v="80.650000000000006"/>
    <n v="1004412036.01"/>
    <n v="79.5"/>
    <n v="244480199.99000001"/>
    <n v="865819023.44000006"/>
  </r>
  <r>
    <n v="2022"/>
    <n v="100"/>
    <x v="3"/>
    <s v="SECRETARIA DEL INTERIOR Y CONVIVENCIA CIUDADANAL"/>
    <s v="02 SECRETARIA DEL INTERIOR Y CONVIVENCIA CIUDADANAL"/>
    <n v="2021130010142"/>
    <s v="07. PILAR CARTAGENA RESILIENTE"/>
    <s v="7.4 LÍNEA ESTRATÉGICA GESTIÓN DEL RIESGO"/>
    <s v="7.4.4 FORTALECIMIENTO CUERPO DE BOMBEROS"/>
    <s v="2,3,4503,1000,2021130010142"/>
    <s v="849"/>
    <s v="1,3,3,3,15-95-042 RB SOBRETASA BOMBERIL"/>
    <s v="INV"/>
    <s v="NO"/>
    <s v="FORTALECIMIENTO DEL CUERPO DE BOMBEROS DEL DISTRITO DE   CARTAGENA DE INDIAS"/>
    <s v="2021130010142 FORTALECIMIENTO DEL CUERPO DE BOMBEROS DEL DISTRITO DE   CARTAGENA DE INDIAS"/>
    <s v="06"/>
    <s v="00"/>
    <n v="0"/>
    <n v="5898070221.6499996"/>
    <n v="5898070221.6499996"/>
    <n v="5104567110"/>
    <n v="793503111.64999998"/>
    <n v="4268764496"/>
    <n v="72.38"/>
    <n v="1018680000"/>
    <n v="17.27"/>
    <n v="1629305725.6500001"/>
    <n v="1015580000"/>
  </r>
  <r>
    <n v="2022"/>
    <n v="100"/>
    <x v="3"/>
    <s v="SECRETARIA DEL INTERIOR Y CONVIVENCIA CIUDADANAL"/>
    <s v="02 SECRETARIA DEL INTERIOR Y CONVIVENCIA CIUDADANAL"/>
    <n v="2021130010142"/>
    <s v="07. PILAR CARTAGENA RESILIENTE"/>
    <s v="7.4 LÍNEA ESTRATÉGICA GESTIÓN DEL RIESGO"/>
    <s v="7.4.4 FORTALECIMIENTO CUERPO DE BOMBEROS"/>
    <s v="2,3,4503,1000,2021130010142"/>
    <s v="042"/>
    <s v="1,2,3,1,15-042 - SOBRETASA BOMBERIL"/>
    <s v="INV"/>
    <s v="NO"/>
    <s v="FORTALECIMIENTO DEL CUERPO DE BOMBEROS DEL DISTRITO DE   CARTAGENA DE INDIAS"/>
    <s v="2021130010142 FORTALECIMIENTO DEL CUERPO DE BOMBEROS DEL DISTRITO DE   CARTAGENA DE INDIAS"/>
    <s v="06"/>
    <s v="00"/>
    <n v="0"/>
    <n v="2506263320"/>
    <n v="2506263320"/>
    <n v="0"/>
    <n v="2506263320"/>
    <n v="0"/>
    <n v="0"/>
    <n v="0"/>
    <n v="0"/>
    <n v="2506263320"/>
    <n v="0"/>
  </r>
  <r>
    <n v="2022"/>
    <n v="100"/>
    <x v="3"/>
    <s v="SECRETARIA DEL INTERIOR Y CONVIVENCIA CIUDADANAL"/>
    <s v="02 SECRETARIA DEL INTERIOR Y CONVIVENCIA CIUDADANAL"/>
    <n v="2021130010142"/>
    <s v="07. PILAR CARTAGENA RESILIENTE"/>
    <s v="7.4 LÍNEA ESTRATÉGICA GESTIÓN DEL RIESGO"/>
    <s v="7.4.4 FORTALECIMIENTO CUERPO DE BOMBEROS"/>
    <s v="2,3,4503,1000,2021130010142"/>
    <s v="044"/>
    <s v="1,3,2,3,05-044 - OTROS RENDIMIENTOS FINANCIEROS SOBRETASA BOMBERIL"/>
    <s v="INV"/>
    <s v="NO"/>
    <s v="FORTALECIMIENTO DEL CUERPO DE BOMBEROS DEL DISTRITO DE   CARTAGENA DE INDIAS"/>
    <s v="2021130010142 FORTALECIMIENTO DEL CUERPO DE BOMBEROS DEL DISTRITO DE   CARTAGENA DE INDIAS"/>
    <s v="06"/>
    <s v="00"/>
    <n v="1"/>
    <n v="0"/>
    <n v="1"/>
    <n v="0"/>
    <n v="1"/>
    <n v="0"/>
    <n v="0"/>
    <n v="0"/>
    <n v="0"/>
    <n v="1"/>
    <n v="0"/>
  </r>
  <r>
    <n v="2022"/>
    <n v="100"/>
    <x v="3"/>
    <s v="SECRETARIA DEL INTERIOR Y CONVIVENCIA CIUDADANAL"/>
    <s v="02 SECRETARIA DEL INTERIOR Y CONVIVENCIA CIUDADANAL"/>
    <n v="2021130010142"/>
    <s v="07. PILAR CARTAGENA RESILIENTE"/>
    <s v="7.4 LÍNEA ESTRATÉGICA GESTIÓN DEL RIESGO"/>
    <s v="7.4.4 FORTALECIMIENTO CUERPO DE BOMBEROS"/>
    <s v="2,3,4503,1000,2021130010142"/>
    <s v="001"/>
    <s v="1,2,1,0,00-001 - ICLD"/>
    <s v="INV"/>
    <s v="NO"/>
    <s v="FORTALECIMIENTO DEL CUERPO DE BOMBEROS DEL DISTRITO DE   CARTAGENA DE INDIAS"/>
    <s v="2021130010142 FORTALECIMIENTO DEL CUERPO DE BOMBEROS DEL DISTRITO DE   CARTAGENA DE INDIAS"/>
    <s v="06"/>
    <s v="00"/>
    <n v="150000000"/>
    <n v="0"/>
    <n v="150000000"/>
    <n v="150000000"/>
    <n v="0"/>
    <n v="149200000"/>
    <n v="99.47"/>
    <n v="149200000"/>
    <n v="99.47"/>
    <n v="800000"/>
    <n v="149200000"/>
  </r>
  <r>
    <n v="2022"/>
    <n v="100"/>
    <x v="3"/>
    <s v="SECRETARIA DEL INTERIOR Y CONVIVENCIA CIUDADANAL"/>
    <s v="02 SECRETARIA DEL INTERIOR Y CONVIVENCIA CIUDADANAL"/>
    <n v="2021130010143"/>
    <s v="10. PILAR: CARTAGENA TRANSPARENTE"/>
    <s v="10.4 LÍNEA ESTRATÉGICA DERECHOS HUMANOS PARA LA PAZ"/>
    <s v="10.4.1 PROGRAMA: PREVENCIÓN, PROMOCIÓN Y PROTECCIÓN DE LOS DERECHOS HUMANOS EN EL DISTRITO DE CARTAGENA"/>
    <s v="2,3,4502,1000,2021130010143"/>
    <s v="001"/>
    <s v="1,2,1,0,00-001 - ICLD"/>
    <s v="INV"/>
    <s v="NO"/>
    <s v="GENERACION DE UNA CULTURA DE PREVENCION, PROMOCION Y PROTECCION DE LOS DERECHOS HUMANOS CON ENFOQUE DIFERENCIAL Y DE GENERO EN EL DISTRITO DE CARTAGENA DE INDIAS"/>
    <s v="2021130010143 GENERACION DE UNA CULTURA DE PREVENCION, PROMOCION Y PROTECCION DE LOS DERECHOS HUMANOS CON ENFOQUE DIFERENCIAL Y DE GENERO EN EL DISTRITO DE CARTAGENA DE INDIAS"/>
    <s v="06"/>
    <s v="00"/>
    <n v="363729577"/>
    <n v="-54000000"/>
    <n v="309729577"/>
    <n v="309657848"/>
    <n v="71729"/>
    <n v="297075099.97000003"/>
    <n v="95.91"/>
    <n v="231802666.63999999"/>
    <n v="74.84"/>
    <n v="12654477.029999999"/>
    <n v="224945999.97"/>
  </r>
  <r>
    <n v="2022"/>
    <n v="100"/>
    <x v="3"/>
    <s v="SECRETARIA DEL INTERIOR Y CONVIVENCIA CIUDADANAL"/>
    <s v="02 SECRETARIA DEL INTERIOR Y CONVIVENCIA CIUDADANAL"/>
    <n v="2021130010145"/>
    <s v="11. EJE TRANSVERSAL: CARTAGENA CON ATENCION Y GARANTIA DE DERECHOS A POBLACION DIFERENCIAL."/>
    <s v="11.1 LÍNEA ESTRATÉGICA PARA LA EQUIDAD E INCLUSIÓN DE LOS NEGROS, AFROS, PALENQUEROS E INDÍGENA."/>
    <s v="11.1.7 PROGRAMA: FORTALECIMIENTO DE LA POBLACIÓN INDÍGENA EN EL DISTRITO DE CARTAGENA."/>
    <s v="2,3,4502,1000,2021130010145"/>
    <s v="816"/>
    <s v="1,3,3,11,03-95-138 R,B, DIVIDENDOS SOCIEDAD PORTUARIA"/>
    <s v="INV"/>
    <s v="NO"/>
    <s v="FORTALECIMIENTO DE LA GOBERNANZA Y AUTODETERMINACION DE LA CULTURA EN INSTITUCIONES PROPIAS DE LA POBLACION INDIGENA EN EL DISTRITO DE CARTAGENA DE INDIAS"/>
    <s v="2021130010145 FORTALECIMIENTO DE LA GOBERNANZA Y AUTODETERMINACION DE LA CULTURA EN INSTITUCIONES PROPIAS DE LA POBLACION INDIGENA EN EL DISTRITO DE CARTAGENA DE INDIAS"/>
    <s v="06"/>
    <s v="00"/>
    <n v="0"/>
    <n v="600000000"/>
    <n v="600000000"/>
    <n v="0"/>
    <n v="600000000"/>
    <n v="0"/>
    <n v="0"/>
    <n v="0"/>
    <n v="0"/>
    <n v="600000000"/>
    <n v="0"/>
  </r>
  <r>
    <n v="2022"/>
    <n v="100"/>
    <x v="3"/>
    <s v="SECRETARIA DEL INTERIOR Y CONVIVENCIA CIUDADANAL"/>
    <s v="02 SECRETARIA DEL INTERIOR Y CONVIVENCIA CIUDADANAL"/>
    <n v="2021130010145"/>
    <s v="11. EJE TRANSVERSAL: CARTAGENA CON ATENCION Y GARANTIA DE DERECHOS A POBLACION DIFERENCIAL."/>
    <s v="11.1 LÍNEA ESTRATÉGICA PARA LA EQUIDAD E INCLUSIÓN DE LOS NEGROS, AFROS, PALENQUEROS E INDÍGENA."/>
    <s v="11.1.7 PROGRAMA: FORTALECIMIENTO DE LA POBLACIÓN INDÍGENA EN EL DISTRITO DE CARTAGENA."/>
    <s v="2,3,4502,1000,2021130010145"/>
    <s v="001"/>
    <s v="1,2,1,0,00-001 - ICLD"/>
    <s v="INV"/>
    <s v="NO"/>
    <s v="FORTALECIMIENTO DE LA GOBERNANZA Y AUTODETERMINACION DE LA CULTURA E INSTITUCIONES PROPIAS DE LA POBLACION INDIGENA EN EL DISTRITO DE CARTAGENA DE INDIAS "/>
    <s v="2021130010145 FORTALECIMIENTO DE LA GOBERNANZA Y AUTODETERMINACION DE LA CULTURA E INSTITUCIONES PROPIAS DE LA POBLACION INDIGENA EN EL DISTRITO DE CARTAGENA DE INDIAS "/>
    <s v="06"/>
    <s v="00"/>
    <n v="172292957"/>
    <n v="0"/>
    <n v="172292957"/>
    <n v="111839077"/>
    <n v="60453880"/>
    <n v="96284077"/>
    <n v="55.88"/>
    <n v="66576077"/>
    <n v="38.64"/>
    <n v="76008880"/>
    <n v="60576077"/>
  </r>
  <r>
    <n v="2022"/>
    <n v="100"/>
    <x v="13"/>
    <s v="SECRETARIA GENERAL"/>
    <s v="05 SECRETARIA GENERAL"/>
    <n v="2021130010146"/>
    <s v="09. PILAR CARTAGENA CONTINGENTE"/>
    <s v="9.3 LÍNEA ESTRATÉGICA: TURISMO, MOTOR DE REACTIVACIÓN ECONÓMICA PARA CARTAGENA DE INDIAS"/>
    <s v="9.3.1 PROGRAMA: PROMOCIÓN NACIONAL E INTERNACIONAL DE CARTAGENA DE INDIAS"/>
    <s v="2,3,3502,0200,2021130010146"/>
    <s v="830"/>
    <s v="1,3,3,11-03-95-107 RB OTROS DIVIDENDOS"/>
    <s v="INV"/>
    <s v="NO"/>
    <s v="APOYO A LA REALIZACION DEL FESTIVAL INTERNACIONAL DE CINE DE CARTAGENA FICCI 2021 PARA LOS BARRIOS DE CARTAGENA DE INDIAS"/>
    <s v="2021130010146 APOYO A LA REALIZACION DEL FESTIVAL INTERNACIONAL DE CINE DE CARTAGENA FICCI 2021 PARA LOS BARRIOS DE CARTAGENA DE INDIAS"/>
    <s v="06"/>
    <s v="00"/>
    <n v="0"/>
    <n v="14910027"/>
    <n v="14910027"/>
    <n v="0"/>
    <n v="14910027"/>
    <n v="0"/>
    <n v="0"/>
    <n v="0"/>
    <n v="0"/>
    <n v="14910027"/>
    <n v="0"/>
  </r>
  <r>
    <n v="2022"/>
    <n v="100"/>
    <x v="13"/>
    <s v="SECRETARIA GENERAL"/>
    <s v="05 SECRETARIA GENERAL"/>
    <n v="2021130010146"/>
    <s v="09. PILAR CARTAGENA CONTINGENTE"/>
    <s v="9.3 LÍNEA ESTRATÉGICA: TURISMO, MOTOR DE REACTIVACIÓN ECONÓMICA PARA CARTAGENA DE INDIAS"/>
    <s v="9.3.1 PROGRAMA: PROMOCIÓN NACIONAL E INTERNACIONAL DE CARTAGENA DE INDIAS"/>
    <s v="2,3,3502,0200,2021130010146"/>
    <s v="001"/>
    <s v="1,2,1,0,00-001 - ICLD"/>
    <s v="INV"/>
    <s v="NO"/>
    <s v="APOYO A LA REALIZACION DEL FESTIVAL INTERNACIONAL DE CINE DE CARTAGENA FICCI 2021 PARA LOS BARRIOS DE CARTAGENA DE INDIAS"/>
    <s v="2021130010146 APOYO A LA REALIZACION DEL FESTIVAL INTERNACIONAL DE CINE DE CARTAGENA FICCI 2021 PARA LOS BARRIOS DE CARTAGENA DE INDIAS"/>
    <s v="06"/>
    <s v="00"/>
    <n v="66597687"/>
    <n v="-16597687"/>
    <n v="50000000"/>
    <n v="50000000"/>
    <n v="0"/>
    <n v="50000000"/>
    <n v="100"/>
    <n v="0"/>
    <n v="0"/>
    <n v="0"/>
    <n v="0"/>
  </r>
  <r>
    <n v="2022"/>
    <n v="100"/>
    <x v="4"/>
    <s v="DESPACHO DEL ALCALDE"/>
    <s v="01 DESPACHO DEL ALCALDE"/>
    <n v="2021130010147"/>
    <s v="07. PILAR CARTAGENA RESILIENTE"/>
    <s v="7.4 LÍNEA ESTRATÉGICA GESTIÓN DEL RIESGO"/>
    <s v="7.4.1 CONOCIMIENTO DEL RIESGO"/>
    <s v="2,3,4503,1000,2021130010147"/>
    <s v="835"/>
    <s v="1,3,3,2,00-93-119  RB ICDE  FONDO DE RIESGO 1% ICLD"/>
    <s v="INV"/>
    <s v="NO"/>
    <s v="EXTENSION DEL CONOCIMIENTO DEL RIESGO EN NUESTRO TERRITORIO   CARTAGENA DE INDIAS"/>
    <s v="2021130010147 EXTENSION DEL CONOCIMIENTO DEL RIESGO EN NUESTRO TERRITORIO   CARTAGENA DE INDIAS"/>
    <s v="06"/>
    <s v="00"/>
    <n v="0"/>
    <n v="190649230.41"/>
    <n v="190649230.41"/>
    <n v="190649230.41"/>
    <n v="0"/>
    <n v="0"/>
    <n v="0"/>
    <n v="0"/>
    <n v="0"/>
    <n v="190649230.41"/>
    <n v="0"/>
  </r>
  <r>
    <n v="2022"/>
    <n v="100"/>
    <x v="4"/>
    <s v="DESPACHO DEL ALCALDE"/>
    <s v="01 DESPACHO DEL ALCALDE"/>
    <n v="2021130010147"/>
    <s v="07. PILAR CARTAGENA RESILIENTE"/>
    <s v="7.4 LÍNEA ESTRATÉGICA GESTIÓN DEL RIESGO"/>
    <s v="7.4.1 CONOCIMIENTO DEL RIESGO"/>
    <s v="2,3,4503,1000,2021130010147"/>
    <s v="842"/>
    <s v="1,3,3,2,00-95-119  RB ICDE  FONDO DE RIESGO 1% ICLD"/>
    <s v="INV"/>
    <s v="NO"/>
    <s v="EXTENSION DEL CONOCIMIENTO DEL RIESGO EN NUESTRO TERRITORIO   CARTAGENA DE INDIAS"/>
    <s v="2021130010147 EXTENSION DEL CONOCIMIENTO DEL RIESGO EN NUESTRO TERRITORIO   CARTAGENA DE INDIAS"/>
    <s v="06"/>
    <s v="00"/>
    <n v="0"/>
    <n v="899994695"/>
    <n v="899994695"/>
    <n v="899994695"/>
    <n v="0"/>
    <n v="0"/>
    <n v="0"/>
    <n v="0"/>
    <n v="0"/>
    <n v="899994695"/>
    <n v="0"/>
  </r>
  <r>
    <n v="2022"/>
    <n v="100"/>
    <x v="4"/>
    <s v="DESPACHO DEL ALCALDE"/>
    <s v="01 DESPACHO DEL ALCALDE"/>
    <n v="2021130010147"/>
    <s v="07. PILAR CARTAGENA RESILIENTE"/>
    <s v="7.4 LÍNEA ESTRATÉGICA GESTIÓN DEL RIESGO"/>
    <s v="7.4.1 CONOCIMIENTO DEL RIESGO"/>
    <s v="2,3,4503,1000,2021130010147"/>
    <s v="922"/>
    <s v="1,3,3,8,03-95-070 R,B, SGP-PROPOSITO GENERAL-PROPOSITO GENERAL LIBRE INVERSION"/>
    <s v="INV"/>
    <s v="NO"/>
    <s v="EXTENSION DEL CONOCIMIENTO DEL RIESGO EN NUESTRO TERRITORIO   CARTAGENA DE INDIAS"/>
    <s v="2021130010147 EXTENSION DEL CONOCIMIENTO DEL RIESGO EN NUESTRO TERRITORIO   CARTAGENA DE INDIAS"/>
    <s v="06"/>
    <s v="00"/>
    <n v="0"/>
    <n v="389695166.81"/>
    <n v="389695166.81"/>
    <n v="389695166.81"/>
    <n v="0"/>
    <n v="0"/>
    <n v="0"/>
    <n v="0"/>
    <n v="0"/>
    <n v="389695166.81"/>
    <n v="0"/>
  </r>
  <r>
    <n v="2022"/>
    <n v="100"/>
    <x v="4"/>
    <s v="DESPACHO DEL ALCALDE"/>
    <s v="01 DESPACHO DEL ALCALDE"/>
    <n v="2021130010147"/>
    <s v="07. PILAR CARTAGENA RESILIENTE"/>
    <s v="7.4 LÍNEA ESTRATÉGICA GESTIÓN DEL RIESGO"/>
    <s v="7.4.1 CONOCIMIENTO DEL RIESGO"/>
    <s v="2,3,4503,1000,2021130010147"/>
    <s v="070"/>
    <s v="1,2,4,3,03-070 - SGP LIBRE INVERSION"/>
    <s v="INV"/>
    <s v="NO"/>
    <s v="EXTENSION DEL CONOCIMIENTO DEL RIESGO EN NUESTRO TERRITORIO   CARTAGENA DE INDIAS"/>
    <s v="2021130010147 EXTENSION DEL CONOCIMIENTO DEL RIESGO EN NUESTRO TERRITORIO   CARTAGENA DE INDIAS"/>
    <s v="06"/>
    <s v="00"/>
    <n v="656279390"/>
    <n v="0"/>
    <n v="656279390"/>
    <n v="424042950.43000001"/>
    <n v="232236439.56999999"/>
    <n v="421345879.02999997"/>
    <n v="64.2"/>
    <n v="378071648.60000002"/>
    <n v="57.61"/>
    <n v="234933510.97"/>
    <n v="378071648.60000002"/>
  </r>
  <r>
    <n v="2022"/>
    <n v="100"/>
    <x v="4"/>
    <s v="DESPACHO DEL ALCALDE"/>
    <s v="01 DESPACHO DEL ALCALDE"/>
    <n v="2021130010147"/>
    <s v="07. PILAR CARTAGENA RESILIENTE"/>
    <s v="7.4 LÍNEA ESTRATÉGICA GESTIÓN DEL RIESGO"/>
    <s v="7.4.1 CONOCIMIENTO DEL RIESGO"/>
    <s v="2,3,4503,1000,2021130010147"/>
    <s v="119"/>
    <s v="1,2,2,0,00-119 - ICDE  FONDO DE RIESGO 1% ICLD"/>
    <s v="INV"/>
    <s v="NO"/>
    <s v="EXTENSION DEL CONOCIMIENTO DEL RIESGO EN NUESTRO TERRITORIO   CARTAGENA DE INDIAS"/>
    <s v="2021130010147 EXTENSION DEL CONOCIMIENTO DEL RIESGO EN NUESTRO TERRITORIO   CARTAGENA DE INDIAS"/>
    <s v="06"/>
    <s v="00"/>
    <n v="962817727"/>
    <n v="0"/>
    <n v="962817727"/>
    <n v="909655905.77999997"/>
    <n v="53161821.219999999"/>
    <n v="871663332"/>
    <n v="90.53"/>
    <n v="871663332"/>
    <n v="90.53"/>
    <n v="91154395"/>
    <n v="869763332"/>
  </r>
  <r>
    <n v="2022"/>
    <n v="100"/>
    <x v="4"/>
    <s v="DESPACHO DEL ALCALDE"/>
    <s v="01 DESPACHO DEL ALCALDE"/>
    <n v="2021130010147"/>
    <s v="07. PILAR CARTAGENA RESILIENTE"/>
    <s v="7.4 LÍNEA ESTRATÉGICA GESTIÓN DEL RIESGO"/>
    <s v="7.4.1 CONOCIMIENTO DEL RIESGO"/>
    <s v="2,3,4503,1000,2021130010147"/>
    <s v="001"/>
    <s v="1,2,1,0,00-001 - ICLD"/>
    <s v="INV"/>
    <s v="NO"/>
    <s v="EXTENSION DEL CONOCIMIENTO DEL RIESGO EN NUESTRO TERRITORIO   CARTAGENA DE INDIAS"/>
    <s v="2021130010147 EXTENSION DEL CONOCIMIENTO DEL RIESGO EN NUESTRO TERRITORIO   CARTAGENA DE INDIAS"/>
    <s v="06"/>
    <s v="00"/>
    <n v="59296001"/>
    <n v="-59296001"/>
    <n v="0"/>
    <n v="0"/>
    <n v="0"/>
    <n v="0"/>
    <n v="0"/>
    <n v="0"/>
    <n v="0"/>
    <n v="0"/>
    <n v="0"/>
  </r>
  <r>
    <n v="2022"/>
    <n v="100"/>
    <x v="3"/>
    <s v="SECRETARIA DEL INTERIOR Y CONVIVENCIA CIUDADANAL"/>
    <s v="02 SECRETARIA DEL INTERIOR Y CONVIVENCIA CIUDADANAL"/>
    <n v="2021130010148"/>
    <s v="11. EJE TRANSVERSAL: CARTAGENA CON ATENCION Y GARANTIA DE DERECHOS A POBLACION DIFERENCIAL."/>
    <s v="11.1 LÍNEA ESTRATÉGICA PARA LA EQUIDAD E INCLUSIÓN DE LOS NEGROS, AFROS, PALENQUEROS E INDÍGENA."/>
    <s v="11.1.1 FORTALECIMIENTO DE POBLACIÓN NEGRA, AFROCOLOMBIANA, RAIZAL Y PALENQUERA EN EL DISTRITO DE CARTAGENA"/>
    <s v="2,3,4502,1000,2021130010148"/>
    <s v="001"/>
    <s v="1,2,1,0,00-001 - ICLD"/>
    <s v="INV"/>
    <s v="NO"/>
    <s v="FORTALECIMIENTO DEL PROCESO ORGANIZATIVO Y ATENCION DIFERENCIAL A LA POBLACION NEGRA, AFRODESCENDIENTE, RAIZAL Y PALENQUERA EN EL DISTRITO DE CARTAGENA DE INDIAS"/>
    <s v="2021130010148 FORTALECIMIENTO DEL PROCESO ORGANIZATIVO Y ATENCION DIFERENCIAL A LA POBLACION NEGRA, AFRODESCENDIENTE, RAIZAL Y PALENQUERA EN EL DISTRITO DE CARTAGENA DE INDIAS"/>
    <s v="06"/>
    <s v="00"/>
    <n v="210580286"/>
    <n v="0"/>
    <n v="210580286"/>
    <n v="210500000"/>
    <n v="80286"/>
    <n v="202100000"/>
    <n v="95.97"/>
    <n v="173300000"/>
    <n v="82.3"/>
    <n v="8480286"/>
    <n v="134500000"/>
  </r>
  <r>
    <n v="2022"/>
    <n v="100"/>
    <x v="8"/>
    <s v="DEPARTAMENTO ADMINISTRATIVO DE SALUD"/>
    <s v="10 DEPARTAMENTO ADMINISTRATIVO DE SALUD"/>
    <n v="2021130010150"/>
    <s v="08. PILAR CARTAGENA INCLUYENTE"/>
    <s v="8.3 LÍNEA ESTRATÉGICA SALUD PARA TODOS"/>
    <s v="8.3.1 PROGRAMA: FORTALECIMIENTO DE LA AUTORIDAD SANITARIA"/>
    <s v="2,3,1903,0300,2021130010150"/>
    <s v="001"/>
    <s v="1,2,1,0,00-001 - ICLD"/>
    <s v="INV"/>
    <s v="NO"/>
    <s v="PRESTACION DE SERVICIOS BASICOS DE TECNOLOGIA DE INFORMACION Y COMUNICACION EN SALUD EN EL DEPARTAMENTO ADMINISTRATIVO DISTRITAL DE SALUD DE   CARTAGENA DE INDIAS"/>
    <s v="2021130010150 PRESTACION DE SERVICIOS BASICOS DE TECNOLOGIA DE INFORMACION Y COMUNICACION EN SALUD EN EL DEPARTAMENTO ADMINISTRATIVO DISTRITAL DE SALUD DE   CARTAGENA DE INDIAS"/>
    <s v="06"/>
    <s v="00"/>
    <n v="100000000"/>
    <n v="0"/>
    <n v="100000000"/>
    <n v="96500000"/>
    <n v="3500000"/>
    <n v="96500000"/>
    <n v="96.5"/>
    <n v="96500000"/>
    <n v="96.5"/>
    <n v="3500000"/>
    <n v="96500000"/>
  </r>
  <r>
    <n v="2022"/>
    <n v="100"/>
    <x v="18"/>
    <s v="COLEGIO MAYOR DE BOLIVAR"/>
    <s v="25 COLEGIO MAYOR DE BOLIVAR"/>
    <n v="2021130010151"/>
    <s v="08. PILAR CARTAGENA INCLUYENTE"/>
    <s v="8.2 LÍNEA ESTRATEGICA DE EDUCACION: CULTURA DE LA FORMACION &quot;CON LA EDUCACION PARA TODOS Y TODAS SALVAMOS JUNTOS A CARTAGENA&quot;"/>
    <s v="8.2.10 FORTALECIMIENTO DE LA OFERTA DE EDUCACIÓN SUPERIOR OFICIAL DEL DISTRITO DE CARTAGENA D. T. Y C."/>
    <s v="2,3,2202,0700,2021130010151"/>
    <s v="001"/>
    <s v="1,2,1,0,00-001 - ICLD"/>
    <s v="INV"/>
    <s v="NO"/>
    <s v="AMPLIACION DE LA OFERTA ACADEMICA DE LA INSTITUCION UNIVERSITARIA MAYOR DE CARTAGENA, UMAYOR,CON CALIDAD Y PERTINENCIA EN CARTAGENA DE INDIAS -EG+-0 CARTAGENA DE INDIAS"/>
    <s v="2021130010151 AMPLIACION DE LA OFERTA ACADEMICA DE LA INSTITUCION UNIVERSITARIA MAYOR DE CARTAGENA, UMAYOR,CON CALIDAD Y PERTINENCIA EN CARTAGENA DE INDIAS -EG+-0 CARTAGENA DE INDIAS"/>
    <s v="06"/>
    <s v="00"/>
    <n v="1200000000"/>
    <n v="0"/>
    <n v="1200000000"/>
    <n v="1200000000"/>
    <n v="0"/>
    <n v="1200000000"/>
    <n v="100"/>
    <n v="1200000000"/>
    <n v="100"/>
    <n v="0"/>
    <n v="1200000000"/>
  </r>
  <r>
    <n v="2022"/>
    <n v="100"/>
    <x v="18"/>
    <s v="COLEGIO MAYOR DE BOLIVAR"/>
    <s v="25 COLEGIO MAYOR DE BOLIVAR"/>
    <n v="2021130010152"/>
    <s v="08. PILAR CARTAGENA INCLUYENTE"/>
    <s v="8.2 LÍNEA ESTRATEGICA DE EDUCACION: CULTURA DE LA FORMACION &quot;CON LA EDUCACION PARA TODOS Y TODAS SALVAMOS JUNTOS A CARTAGENA&quot;"/>
    <s v="8.2.10 FORTALECIMIENTO DE LA OFERTA DE EDUCACIÓN SUPERIOR OFICIAL DEL DISTRITO DE CARTAGENA D. T. Y C."/>
    <s v="2,3,2202,0700,2021130010152"/>
    <s v="103"/>
    <s v="1,3,2,3,05-103 - OTROS RENDIMIENTOS FINANCIEROS COLEGIO MAYOR"/>
    <s v="INV"/>
    <s v="NO"/>
    <s v="FORTALECIMIENTO DE LA INSTITUCION UNIVERSITARIA MAYOR DE CARTAGENA CARTAGENA DE INDIAS"/>
    <s v="2021130010152 FORTALECIMIENTO DE LA INSTITUCION UNIVERSITARIA MAYOR DE CARTAGENA CARTAGENA DE INDIAS"/>
    <s v="06"/>
    <s v="00"/>
    <n v="100000000"/>
    <n v="0"/>
    <n v="100000000"/>
    <n v="0"/>
    <n v="100000000"/>
    <n v="0"/>
    <n v="0"/>
    <n v="0"/>
    <n v="0"/>
    <n v="100000000"/>
    <n v="0"/>
  </r>
  <r>
    <n v="2022"/>
    <n v="100"/>
    <x v="18"/>
    <s v="COLEGIO MAYOR DE BOLIVAR"/>
    <s v="25 COLEGIO MAYOR DE BOLIVAR"/>
    <n v="2021130010152"/>
    <s v="08. PILAR CARTAGENA INCLUYENTE"/>
    <s v="8.2 LÍNEA ESTRATEGICA DE EDUCACION: CULTURA DE LA FORMACION &quot;CON LA EDUCACION PARA TODOS Y TODAS SALVAMOS JUNTOS A CARTAGENA&quot;"/>
    <s v="8.2.10 FORTALECIMIENTO DE LA OFERTA DE EDUCACIÓN SUPERIOR OFICIAL DEL DISTRITO DE CARTAGENA D. T. Y C."/>
    <s v="2,3,2202,0700,2021130010152"/>
    <s v="001"/>
    <s v="1,2,1,0,00-001 - ICLD"/>
    <s v="INV"/>
    <s v="NO"/>
    <s v="FORTALECIMIENTO DE LA INSTITUCION UNIVERSITARIA MAYOR DE CARTAGENA CARTAGENA DE INDIAS"/>
    <s v="2021130010152 FORTALECIMIENTO DE LA INSTITUCION UNIVERSITARIA MAYOR DE CARTAGENA CARTAGENA DE INDIAS"/>
    <s v="06"/>
    <s v="00"/>
    <n v="2800000000"/>
    <n v="0"/>
    <n v="2800000000"/>
    <n v="2800000000"/>
    <n v="0"/>
    <n v="2800000000"/>
    <n v="100"/>
    <n v="2800000000"/>
    <n v="100"/>
    <n v="0"/>
    <n v="2800000000"/>
  </r>
  <r>
    <n v="2022"/>
    <n v="100"/>
    <x v="8"/>
    <s v="DEPARTAMENTO ADMINISTRATIVO DE SALUD"/>
    <s v="10 DEPARTAMENTO ADMINISTRATIVO DE SALUD"/>
    <n v="2021130010153"/>
    <s v="08. PILAR CARTAGENA INCLUYENTE"/>
    <s v="8.3 LÍNEA ESTRATÉGICA SALUD PARA TODOS"/>
    <s v="8.3.1 PROGRAMA: FORTALECIMIENTO DE LA AUTORIDAD SANITARIA"/>
    <s v="2,3,1906,0300,2021130010153"/>
    <s v="001"/>
    <s v="1,2,1,0,00-001 - ICLD"/>
    <s v="INV"/>
    <s v="NO"/>
    <s v="FORTALECIMIENTO DE LA CALIDAD DE LA ATENCION EN SALUD  PARA LA POBLACION POBRE NO ASEGURADA RESIDENTE  EN EL DISTRITO    CARTAGENA DE INDIAS"/>
    <s v="2021130010153 FORTALECIMIENTO DE LA CALIDAD DE LA ATENCION EN SALUD  PARA LA POBLACION POBRE NO ASEGURADA RESIDENTE  EN EL DISTRITO    CARTAGENA DE INDIAS"/>
    <s v="06"/>
    <s v="00"/>
    <n v="4540881984"/>
    <n v="0"/>
    <n v="4540881984"/>
    <n v="4540881984"/>
    <n v="0"/>
    <n v="4540881984"/>
    <n v="100"/>
    <n v="2140881984"/>
    <n v="47.15"/>
    <n v="0"/>
    <n v="1640881984"/>
  </r>
  <r>
    <n v="2022"/>
    <n v="100"/>
    <x v="8"/>
    <s v="DEPARTAMENTO ADMINISTRATIVO DE SALUD"/>
    <s v="10 DEPARTAMENTO ADMINISTRATIVO DE SALUD"/>
    <n v="2021130010153"/>
    <s v="08. PILAR CARTAGENA INCLUYENTE"/>
    <s v="8.3 LÍNEA ESTRATÉGICA SALUD PARA TODOS"/>
    <s v="8.3.1 PROGRAMA: FORTALECIMIENTO DE LA AUTORIDAD SANITARIA"/>
    <s v="2,3,1906,0300,2021130010153"/>
    <s v="016"/>
    <s v="1,2,3,3,07-016 - RECURSOS DEL SISTEMA DE SEGURIDAD SOCIAL INTEGRAL - SALUD"/>
    <s v="INV"/>
    <s v="NO"/>
    <s v="FORTALECIMIENTO DE LA CALIDAD DE LA ATENCION EN SALUD  PARA LA POBLACION POBRE NO ASEGURADA RESIDENTE EN EL DISTRITO DE CARTAGENA DE INDIAS"/>
    <s v="2021130010153 FORTALECIMIENTO DE LA CALIDAD DE LA ATENCION EN SALUD  PARA LA POBLACION POBRE NO ASEGURADA RESIDENTE EN EL DISTRITO DE CARTAGENA DE INDIAS"/>
    <s v="06"/>
    <s v="00"/>
    <n v="0"/>
    <n v="26567799490"/>
    <n v="26567799490"/>
    <n v="26567799490"/>
    <n v="0"/>
    <n v="26567799490"/>
    <n v="100"/>
    <n v="26567799490"/>
    <n v="100"/>
    <n v="0"/>
    <n v="26061524122"/>
  </r>
  <r>
    <n v="2022"/>
    <n v="100"/>
    <x v="8"/>
    <s v="DEPARTAMENTO ADMINISTRATIVO DE SALUD"/>
    <s v="10 DEPARTAMENTO ADMINISTRATIVO DE SALUD"/>
    <n v="2021130010153"/>
    <s v="08. PILAR CARTAGENA INCLUYENTE"/>
    <s v="8.3 LÍNEA ESTRATÉGICA SALUD PARA TODOS"/>
    <s v="8.3.1 PROGRAMA: FORTALECIMIENTO DE LA AUTORIDAD SANITARIA"/>
    <s v="2,3,1906,0300,2021130010153"/>
    <s v="017"/>
    <s v="1,3,2,3,02-017 - RF SISTEMA DE SEGURIDAD SOCIAL SALUD"/>
    <s v="INV"/>
    <s v="NO"/>
    <s v="FORTALECIMIENTO DE LA CALIDAD DE LA ATENCION EN SALUD  PARA LA POBLACION POBRE NO ASEGURADA RESIDENTE  EN EL DISTRITO    CARTAGENA DE INDIAS"/>
    <s v="2021130010153 FORTALECIMIENTO DE LA CALIDAD DE LA ATENCION EN SALUD  PARA LA POBLACION POBRE NO ASEGURADA RESIDENTE  EN EL DISTRITO    CARTAGENA DE INDIAS"/>
    <s v="06"/>
    <s v="00"/>
    <n v="50000000"/>
    <n v="0"/>
    <n v="50000000"/>
    <n v="0"/>
    <n v="50000000"/>
    <n v="0"/>
    <n v="0"/>
    <n v="0"/>
    <n v="0"/>
    <n v="50000000"/>
    <n v="0"/>
  </r>
  <r>
    <n v="2022"/>
    <n v="100"/>
    <x v="8"/>
    <s v="DEPARTAMENTO ADMINISTRATIVO DE SALUD"/>
    <s v="10 DEPARTAMENTO ADMINISTRATIVO DE SALUD"/>
    <n v="2021130010153"/>
    <s v="08. PILAR CARTAGENA INCLUYENTE"/>
    <s v="8.3 LÍNEA ESTRATÉGICA SALUD PARA TODOS"/>
    <s v="8.3.1 PROGRAMA: FORTALECIMIENTO DE LA AUTORIDAD SANITARIA"/>
    <s v="2,3,1906,0300,2021130010153"/>
    <s v="179"/>
    <s v="1,3,2,2,07-179 - RF SGP - SALUD - PRESTACION DE SERVICIOS DE SALUD"/>
    <s v="INV"/>
    <s v="NO"/>
    <s v="FORTALECIMIENTO DE LA CALIDAD DE LA ATENCION EN SALUD  PARA LA POBLACION POBRE NO ASEGURADA RESIDENTE  EN EL DISTRITO    CARTAGENA DE INDIAS"/>
    <s v="2021130010153 FORTALECIMIENTO DE LA CALIDAD DE LA ATENCION EN SALUD  PARA LA POBLACION POBRE NO ASEGURADA RESIDENTE  EN EL DISTRITO    CARTAGENA DE INDIAS"/>
    <s v="06"/>
    <s v="00"/>
    <n v="150000000"/>
    <n v="-139000000"/>
    <n v="11000000"/>
    <n v="0"/>
    <n v="11000000"/>
    <n v="0"/>
    <n v="0"/>
    <n v="0"/>
    <n v="0"/>
    <n v="11000000"/>
    <n v="0"/>
  </r>
  <r>
    <n v="2022"/>
    <n v="100"/>
    <x v="8"/>
    <s v="DEPARTAMENTO ADMINISTRATIVO DE SALUD"/>
    <s v="10 DEPARTAMENTO ADMINISTRATIVO DE SALUD"/>
    <n v="2021130010153"/>
    <s v="08. PILAR CARTAGENA INCLUYENTE"/>
    <s v="8.3 LÍNEA ESTRATÉGICA SALUD PARA TODOS"/>
    <s v="8.3.1 PROGRAMA: FORTALECIMIENTO DE LA AUTORIDAD SANITARIA"/>
    <s v="2,3,1906,0300,2021130010153"/>
    <s v="889"/>
    <s v="1,3,3,5,07-93-015 R,B, RECURSOS DEL SISTEMA DE SEGURIDAD SOCIAL INTEGRAL - SALUD COLJUEGOS"/>
    <s v="INV"/>
    <s v="NO"/>
    <s v="FORTALECIMIENTO DE LA CALIDAD DE LA ATENCION EN SALUD PARA LA POBLACION POBRE NO ASEGURADA RESIDENTE EN EL DISTRITO CARTAGENA DE INDIAS"/>
    <s v="2021130010153 FORTALECIMIENTO DE LA CALIDAD DE LA ATENCION EN SALUD PARA LA POBLACION POBRE NO ASEGURADA RESIDENTE EN EL DISTRITO CARTAGENA DE INDIAS"/>
    <s v="06"/>
    <s v="00"/>
    <n v="0"/>
    <n v="19106973"/>
    <n v="19106973"/>
    <n v="0"/>
    <n v="19106973"/>
    <n v="0"/>
    <n v="0"/>
    <n v="0"/>
    <n v="0"/>
    <n v="19106973"/>
    <n v="0"/>
  </r>
  <r>
    <n v="2022"/>
    <n v="100"/>
    <x v="8"/>
    <s v="DEPARTAMENTO ADMINISTRATIVO DE SALUD"/>
    <s v="10 DEPARTAMENTO ADMINISTRATIVO DE SALUD"/>
    <n v="2021130010153"/>
    <s v="08. PILAR CARTAGENA INCLUYENTE"/>
    <s v="8.3 LÍNEA ESTRATÉGICA SALUD PARA TODOS"/>
    <s v="8.3.1 PROGRAMA: FORTALECIMIENTO DE LA AUTORIDAD SANITARIA"/>
    <s v="2,3,1906,0300,2021130010153"/>
    <s v="890"/>
    <s v="1,3,3,5,07-93-016 R,B, RECURSOS DEL SISTEMA DE SEGURIDAD SOCIAL INTEGRAL - SALUD MINISTERIO DE PROTECCION SOCIAL"/>
    <s v="INV"/>
    <s v="NO"/>
    <s v="FORTALECIMIENTO DE LA CALIDAD DE LA ATENCION EN SALUD PARA LA POBLACION POBRE NO ASEGURADA RESIDENTE EN EL DISTRITO CARTAGENA DE INDIAS"/>
    <s v="2021130010153 FORTALECIMIENTO DE LA CALIDAD DE LA ATENCION EN SALUD PARA LA POBLACION POBRE NO ASEGURADA RESIDENTE EN EL DISTRITO CARTAGENA DE INDIAS"/>
    <s v="06"/>
    <s v="00"/>
    <n v="0"/>
    <n v="1516506000"/>
    <n v="1516506000"/>
    <n v="1516506000"/>
    <n v="0"/>
    <n v="285706696"/>
    <n v="18.84"/>
    <n v="285706696"/>
    <n v="18.84"/>
    <n v="1230799304"/>
    <n v="0"/>
  </r>
  <r>
    <n v="2022"/>
    <n v="100"/>
    <x v="8"/>
    <s v="DEPARTAMENTO ADMINISTRATIVO DE SALUD"/>
    <s v="10 DEPARTAMENTO ADMINISTRATIVO DE SALUD"/>
    <n v="2021130010153"/>
    <s v="08. PILAR CARTAGENA INCLUYENTE"/>
    <s v="8.3 LÍNEA ESTRATÉGICA SALUD PARA TODOS"/>
    <s v="8.3.1 PROGRAMA: FORTALECIMIENTO DE LA AUTORIDAD SANITARIA"/>
    <s v="2,3,1906,0300,2021130010153"/>
    <s v="891"/>
    <s v="1,3,3,5,07-93-017 R,B, RECURSOS DEL SISTEMA DE SEGURIDAD SOCIAL INTEGRAL - SALUD Rendimientos  Financieros FLS"/>
    <s v="INV"/>
    <s v="NO"/>
    <s v="FORTALECIMIENTO DE LA CALIDAD DE LA ATENCION EN SALUD PARA LA POBLACION POBRE NO ASEGURADA RESIDENTE EN EL DISTRITO CARTAGENA DE INDIAS"/>
    <s v="2021130010153 FORTALECIMIENTO DE LA CALIDAD DE LA ATENCION EN SALUD PARA LA POBLACION POBRE NO ASEGURADA RESIDENTE EN EL DISTRITO CARTAGENA DE INDIAS"/>
    <s v="06"/>
    <s v="00"/>
    <n v="0"/>
    <n v="447744069"/>
    <n v="447744069"/>
    <n v="427295785"/>
    <n v="20448284"/>
    <n v="384014115"/>
    <n v="85.77"/>
    <n v="384014115"/>
    <n v="85.77"/>
    <n v="63729954"/>
    <n v="384014115"/>
  </r>
  <r>
    <n v="2022"/>
    <n v="100"/>
    <x v="8"/>
    <s v="DEPARTAMENTO ADMINISTRATIVO DE SALUD"/>
    <s v="10 DEPARTAMENTO ADMINISTRATIVO DE SALUD"/>
    <n v="2021130010153"/>
    <s v="08. PILAR CARTAGENA INCLUYENTE"/>
    <s v="8.3 LÍNEA ESTRATÉGICA SALUD PARA TODOS"/>
    <s v="8.3.1 PROGRAMA: FORTALECIMIENTO DE LA AUTORIDAD SANITARIA"/>
    <s v="2,3,1906,0300,2021130010153"/>
    <s v="892"/>
    <s v="1,3,3,5,07-93-049 R,B, RECURSOS DEL SISTEMA DE SEGURIDAD SOCIAL INTEGRAL - SALUD ADRES"/>
    <s v="INV"/>
    <s v="NO"/>
    <s v="FORTALECIMIENTO DE LA CALIDAD DE LA ATENCION EN SALUD PARA LA POBLACION POBRE NO ASEGURADA RESIDENTE EN EL DISTRITO CARTAGENA DE INDIAS"/>
    <s v="2021130010153 FORTALECIMIENTO DE LA CALIDAD DE LA ATENCION EN SALUD PARA LA POBLACION POBRE NO ASEGURADA RESIDENTE EN EL DISTRITO CARTAGENA DE INDIAS"/>
    <s v="06"/>
    <s v="00"/>
    <n v="0"/>
    <n v="28892658"/>
    <n v="28892658"/>
    <n v="0"/>
    <n v="28892658"/>
    <n v="0"/>
    <n v="0"/>
    <n v="0"/>
    <n v="0"/>
    <n v="28892658"/>
    <n v="0"/>
  </r>
  <r>
    <n v="2022"/>
    <n v="100"/>
    <x v="8"/>
    <s v="DEPARTAMENTO ADMINISTRATIVO DE SALUD"/>
    <s v="10 DEPARTAMENTO ADMINISTRATIVO DE SALUD"/>
    <n v="2021130010153"/>
    <s v="08. PILAR CARTAGENA INCLUYENTE"/>
    <s v="8.3 LÍNEA ESTRATÉGICA SALUD PARA TODOS"/>
    <s v="8.3.1 PROGRAMA: FORTALECIMIENTO DE LA AUTORIDAD SANITARIA"/>
    <s v="2,3,1906,0300,2021130010153"/>
    <s v="895"/>
    <s v="1,3,3,5,07-95-017 R,B, RECURSOS DEL SISTEMA DE SEGURIDAD SOCIAL INTEGRAL - SALUD Rendimientos  Financieros FLS"/>
    <s v="INV"/>
    <s v="NO"/>
    <s v="FORTALECIMIENTO DE LA CALIDAD DE LA ATENCION EN SALUD PARA LA POBLACION POBRE NO ASEGURADA RESIDENTE EN EL DISTRITO CARTAGENA DE INDIAS"/>
    <s v="2021130010153 FORTALECIMIENTO DE LA CALIDAD DE LA ATENCION EN SALUD PARA LA POBLACION POBRE NO ASEGURADA RESIDENTE EN EL DISTRITO CARTAGENA DE INDIAS"/>
    <s v="06"/>
    <s v="00"/>
    <n v="0"/>
    <n v="451513624"/>
    <n v="451513624"/>
    <n v="451513624"/>
    <n v="0"/>
    <n v="451513624"/>
    <n v="100"/>
    <n v="451513624"/>
    <n v="100"/>
    <n v="0"/>
    <n v="451513624"/>
  </r>
  <r>
    <n v="2022"/>
    <n v="100"/>
    <x v="8"/>
    <s v="DEPARTAMENTO ADMINISTRATIVO DE SALUD"/>
    <s v="10 DEPARTAMENTO ADMINISTRATIVO DE SALUD"/>
    <n v="2021130010153"/>
    <s v="08. PILAR CARTAGENA INCLUYENTE"/>
    <s v="8.3 LÍNEA ESTRATÉGICA SALUD PARA TODOS"/>
    <s v="8.3.1 PROGRAMA: FORTALECIMIENTO DE LA AUTORIDAD SANITARIA"/>
    <s v="2,3,1906,0300,2021130010153"/>
    <s v="898"/>
    <s v="1,3,3,5,10-93-155 R,B, SENTENCIAS Y CONCILIACIONES LAUDO ARBITRAL"/>
    <s v="INV"/>
    <s v="NO"/>
    <s v="FORTALECIMIENTO DE LA CALIDAD DE LA ATENCION EN SALUD  PARA LA POBLACION POBRE NO ASEGURADA RESIDENTE  EN EL DISTRITO    CARTAGENA DE INDIAS"/>
    <s v="2021130010153 FORTALECIMIENTO DE LA CALIDAD DE LA ATENCION EN SALUD  PARA LA POBLACION POBRE NO ASEGURADA RESIDENTE  EN EL DISTRITO    CARTAGENA DE INDIAS"/>
    <s v="06"/>
    <s v="00"/>
    <n v="0"/>
    <n v="331798337"/>
    <n v="331798337"/>
    <n v="331798337"/>
    <n v="0"/>
    <n v="331798337"/>
    <n v="100"/>
    <n v="331798337"/>
    <n v="100"/>
    <n v="0"/>
    <n v="331798337"/>
  </r>
  <r>
    <n v="2022"/>
    <n v="100"/>
    <x v="8"/>
    <s v="DEPARTAMENTO ADMINISTRATIVO DE SALUD"/>
    <s v="10 DEPARTAMENTO ADMINISTRATIVO DE SALUD"/>
    <n v="2021130010153"/>
    <s v="08. PILAR CARTAGENA INCLUYENTE"/>
    <s v="8.3 LÍNEA ESTRATÉGICA SALUD PARA TODOS"/>
    <s v="8.3.1 PROGRAMA: FORTALECIMIENTO DE LA AUTORIDAD SANITARIA"/>
    <s v="2,3,1906,0300,2021130010153"/>
    <s v="911"/>
    <s v="1,3,3,7,02-93-068 R,B, SGP-SALUD-REGIMEN SUBSIDIADO"/>
    <s v="INV"/>
    <s v="NO"/>
    <s v="FORTALECIMIENTO DE LA CALIDAD DE LA ATENCION EN SALUD  PARA LA POBLACION POBRE NO ASEGURADA RESIDENTE  EN EL DISTRITO    CARTAGENA DE INDIAS"/>
    <s v="2021130010153 FORTALECIMIENTO DE LA CALIDAD DE LA ATENCION EN SALUD  PARA LA POBLACION POBRE NO ASEGURADA RESIDENTE  EN EL DISTRITO    CARTAGENA DE INDIAS"/>
    <s v="06"/>
    <s v="00"/>
    <n v="0"/>
    <n v="706574513"/>
    <n v="706574513"/>
    <n v="706574513"/>
    <n v="0"/>
    <n v="706574513"/>
    <n v="100"/>
    <n v="706574513"/>
    <n v="100"/>
    <n v="0"/>
    <n v="706574513"/>
  </r>
  <r>
    <n v="2022"/>
    <n v="100"/>
    <x v="8"/>
    <s v="DEPARTAMENTO ADMINISTRATIVO DE SALUD"/>
    <s v="10 DEPARTAMENTO ADMINISTRATIVO DE SALUD"/>
    <n v="2021130010153"/>
    <s v="08. PILAR CARTAGENA INCLUYENTE"/>
    <s v="8.3 LÍNEA ESTRATÉGICA SALUD PARA TODOS"/>
    <s v="8.3.1 PROGRAMA: FORTALECIMIENTO DE LA AUTORIDAD SANITARIA"/>
    <s v="2,3,1906,0300,2021130010153"/>
    <s v="912"/>
    <s v="1,3,3,7,02-93-087 R,B, SGP-SALUD-SALUD PUBLICA"/>
    <s v="INV"/>
    <s v="NO"/>
    <s v="FORTALECIMIENTO DE LA CALIDAD DE LA ATENCION EN SALUD  PARA LA POBLACION POBRE NO ASEGURADA RESIDENTE  EN EL DISTRITO    CARTAGENA DE INDIAS"/>
    <s v="2021130010153 FORTALECIMIENTO DE LA CALIDAD DE LA ATENCION EN SALUD  PARA LA POBLACION POBRE NO ASEGURADA RESIDENTE  EN EL DISTRITO    CARTAGENA DE INDIAS"/>
    <s v="06"/>
    <s v="00"/>
    <n v="0"/>
    <n v="175648148"/>
    <n v="175648148"/>
    <n v="75590306"/>
    <n v="100057842"/>
    <n v="75590306"/>
    <n v="43.04"/>
    <n v="75590306"/>
    <n v="43.04"/>
    <n v="100057842"/>
    <n v="75590306"/>
  </r>
  <r>
    <n v="2022"/>
    <n v="100"/>
    <x v="8"/>
    <s v="DEPARTAMENTO ADMINISTRATIVO DE SALUD"/>
    <s v="10 DEPARTAMENTO ADMINISTRATIVO DE SALUD"/>
    <n v="2021130010153"/>
    <s v="08. PILAR CARTAGENA INCLUYENTE"/>
    <s v="8.3 LÍNEA ESTRATÉGICA SALUD PARA TODOS"/>
    <s v="8.3.1 PROGRAMA: FORTALECIMIENTO DE LA AUTORIDAD SANITARIA"/>
    <s v="2,3,1906,0300,2021130010153"/>
    <s v="913"/>
    <s v="1,3,3,7,02-93-170 R,B, SGP-SALUD-SALUD PUBLICA"/>
    <s v="INV"/>
    <s v="NO"/>
    <s v="FORTALECIMIENTO DE LA CALIDAD DE LA ATENCION EN SALUD  PARA LA POBLACION POBRE NO ASEGURADA RESIDENTE  EN EL DISTRITO    CARTAGENA DE INDIAS"/>
    <s v="2021130010153 FORTALECIMIENTO DE LA CALIDAD DE LA ATENCION EN SALUD  PARA LA POBLACION POBRE NO ASEGURADA RESIDENTE  EN EL DISTRITO    CARTAGENA DE INDIAS"/>
    <s v="06"/>
    <s v="00"/>
    <n v="0"/>
    <n v="3229010979"/>
    <n v="3229010979"/>
    <n v="911422525"/>
    <n v="2317588454"/>
    <n v="911422525"/>
    <n v="28.23"/>
    <n v="911422525"/>
    <n v="28.23"/>
    <n v="2317588454"/>
    <n v="911422525"/>
  </r>
  <r>
    <n v="2022"/>
    <n v="100"/>
    <x v="8"/>
    <s v="DEPARTAMENTO ADMINISTRATIVO DE SALUD"/>
    <s v="10 DEPARTAMENTO ADMINISTRATIVO DE SALUD"/>
    <n v="2021130010153"/>
    <s v="08. PILAR CARTAGENA INCLUYENTE"/>
    <s v="8.3 LÍNEA ESTRATÉGICA SALUD PARA TODOS"/>
    <s v="8.3.1 PROGRAMA: FORTALECIMIENTO DE LA AUTORIDAD SANITARIA"/>
    <s v="2,3,1906,0300,2021130010153"/>
    <s v="915"/>
    <s v="1,3,3,7,02-95-068 R,B, SGP-SALUD-REGIMEN SUBSIDIADO"/>
    <s v="INV"/>
    <s v="NO"/>
    <s v="FORTALECIMIENTO DE LA CALIDAD DE LA ATENCION EN SALUD  PARA LA POBLACION POBRE NO ASEGURADA RESIDENTE  EN EL DISTRITO    CARTAGENA DE INDIAS"/>
    <s v="2021130010153 FORTALECIMIENTO DE LA CALIDAD DE LA ATENCION EN SALUD  PARA LA POBLACION POBRE NO ASEGURADA RESIDENTE  EN EL DISTRITO    CARTAGENA DE INDIAS"/>
    <s v="06"/>
    <s v="00"/>
    <n v="0"/>
    <n v="61850966"/>
    <n v="61850966"/>
    <n v="0"/>
    <n v="61850966"/>
    <n v="0"/>
    <n v="0"/>
    <n v="0"/>
    <n v="0"/>
    <n v="61850966"/>
    <n v="0"/>
  </r>
  <r>
    <n v="2022"/>
    <n v="100"/>
    <x v="8"/>
    <s v="DEPARTAMENTO ADMINISTRATIVO DE SALUD"/>
    <s v="10 DEPARTAMENTO ADMINISTRATIVO DE SALUD"/>
    <n v="2021130010153"/>
    <s v="08. PILAR CARTAGENA INCLUYENTE"/>
    <s v="8.3 LÍNEA ESTRATÉGICA SALUD PARA TODOS"/>
    <s v="8.3.1 PROGRAMA: FORTALECIMIENTO DE LA AUTORIDAD SANITARIA"/>
    <s v="2,3,1906,0300,2021130010153"/>
    <s v="181"/>
    <s v="1,3,1,1,10-181 - RETIROS FONPET - SALUD"/>
    <s v="INV"/>
    <s v="NO"/>
    <s v="FORTALECIMIENTO DE LA CALIDAD DE LA ATENCION EN SALUD  PARA LA POBLACION POBRE NO ASEGURADA RESIDENTE EN EL DISTRITO DE CARTAGENA DE INDIAS"/>
    <s v="2021130010153 FORTALECIMIENTO DE LA CALIDAD DE LA ATENCION EN SALUD  PARA LA POBLACION POBRE NO ASEGURADA RESIDENTE EN EL DISTRITO DE CARTAGENA DE INDIAS"/>
    <s v="06"/>
    <s v="00"/>
    <n v="0"/>
    <n v="24000000000"/>
    <n v="24000000000"/>
    <n v="20884954000"/>
    <n v="3115046000"/>
    <n v="20842058135.919998"/>
    <n v="86.84"/>
    <n v="0"/>
    <n v="0"/>
    <n v="3157941864.0799999"/>
    <n v="0"/>
  </r>
  <r>
    <n v="2022"/>
    <n v="100"/>
    <x v="12"/>
    <s v="DEPARTAMENTO ADMINISTRATIVO DE VALORIZACION"/>
    <s v="13 DEPARTAMENTO ADMINISTRATIVO DE VALORIZACION"/>
    <n v="2021130010154"/>
    <s v="07. PILAR CARTAGENA RESILIENTE"/>
    <s v="7.3 LÍNEA ESTRATÉGICA DESARROLLO URBANO"/>
    <s v="7.3.4 CARTAGENA SE CONECTA"/>
    <s v="2,3,2402,0600,2021130010154"/>
    <s v="001"/>
    <s v="1,2,1,0,00-001 - ICLD"/>
    <s v="INV"/>
    <s v="NO"/>
    <s v="DISE?O Y CONSTRUCCION DE VIAS POR CONTRIBUCION DE VALORIZACION DENTRO DEL PROGRAMA  CARTAGENA SE CONECTA  CARTAGENA DE INDIAS "/>
    <s v="2021130010154 DISE?O Y CONSTRUCCION DE VIAS POR CONTRIBUCION DE VALORIZACION DENTRO DEL PROGRAMA  CARTAGENA SE CONECTA  CARTAGENA DE INDIAS "/>
    <s v="06"/>
    <s v="00"/>
    <n v="3"/>
    <n v="0"/>
    <n v="3"/>
    <n v="0"/>
    <n v="3"/>
    <n v="0"/>
    <n v="0"/>
    <n v="0"/>
    <n v="0"/>
    <n v="3"/>
    <n v="0"/>
  </r>
  <r>
    <n v="2022"/>
    <n v="100"/>
    <x v="17"/>
    <s v="SECRETARIA DE INFRAESTRUCTURA"/>
    <s v="06 SECRETARIA DE INFRAESTRUCTURA"/>
    <n v="2021130010155"/>
    <s v="07. PILAR CARTAGENA RESILIENTE"/>
    <s v="7.3 LÍNEA ESTRATÉGICA DESARROLLO URBANO"/>
    <s v="7.3.1 CARTAGENA SE MUEVE "/>
    <s v="2,3,2402,0600,2021130010155"/>
    <s v="001"/>
    <s v="1,2,1,0,00-001 - ICLD"/>
    <s v="INV"/>
    <s v="NO"/>
    <s v="ESTUDIOS Y DISE?OS, CONSTRUCCION, MEJORAMIENTO Y REHABILITACION DE VIAS PARA EL TRANSPORTE Y LA MOVILIDAD EN EL DISTRITO DE CARTAGENA DE INDIAS"/>
    <s v="2021130010155 ESTUDIOS Y DISE?OS, CONSTRUCCION, MEJORAMIENTO Y REHABILITACION DE VIAS PARA EL TRANSPORTE Y LA MOVILIDAD EN EL DISTRITO DE CARTAGENA DE INDIAS"/>
    <s v="06"/>
    <s v="00"/>
    <n v="9110102145"/>
    <n v="-85590750"/>
    <n v="9024511395"/>
    <n v="9024511394.4400005"/>
    <n v="0.56000000000000005"/>
    <n v="8707438269.3999996"/>
    <n v="96.49"/>
    <n v="8609081652.3999996"/>
    <n v="95.4"/>
    <n v="317073125.60000002"/>
    <n v="8585189652.3999996"/>
  </r>
  <r>
    <n v="2022"/>
    <n v="100"/>
    <x v="17"/>
    <s v="SECRETARIA DE INFRAESTRUCTURA"/>
    <s v="06 SECRETARIA DE INFRAESTRUCTURA"/>
    <n v="2021130010155"/>
    <s v="07. PILAR CARTAGENA RESILIENTE"/>
    <s v="7.3 LÍNEA ESTRATÉGICA DESARROLLO URBANO"/>
    <s v="7.3.1 CARTAGENA SE MUEVE "/>
    <s v="2,3,2402,0600,2021130010155"/>
    <s v="182"/>
    <s v="1,3,2,1,22-182 R,F, TASAS AEROPORTUARIAS"/>
    <s v="INV"/>
    <s v="NO"/>
    <s v="ESTUDIOS Y DISE?OS, CONSTRUCCION, MEJORAMIENTO Y REHABILITACION DE VIAS PARA EL TRANSPORTE Y LA MOVILIDAD EN EL DISTRITO DE CARTAGENA DE INDIAS"/>
    <s v="2021130010155 ESTUDIOS Y DISE?OS, CONSTRUCCION, MEJORAMIENTO Y REHABILITACION DE VIAS PARA EL TRANSPORTE Y LA MOVILIDAD EN EL DISTRITO DE CARTAGENA DE INDIAS"/>
    <s v="06"/>
    <s v="00"/>
    <n v="0"/>
    <n v="218050.08"/>
    <n v="218050.08"/>
    <n v="0"/>
    <n v="218050.08"/>
    <n v="0"/>
    <n v="0"/>
    <n v="0"/>
    <n v="0"/>
    <n v="218050.08"/>
    <n v="0"/>
  </r>
  <r>
    <n v="2022"/>
    <n v="100"/>
    <x v="17"/>
    <s v="SECRETARIA DE INFRAESTRUCTURA"/>
    <s v="06 SECRETARIA DE INFRAESTRUCTURA"/>
    <n v="2021130010155"/>
    <s v="07. PILAR CARTAGENA RESILIENTE"/>
    <s v="7.3 LÍNEA ESTRATÉGICA DESARROLLO URBANO"/>
    <s v="7.3.1 CARTAGENA SE MUEVE "/>
    <s v="2,3,2402,0600,2021130010155"/>
    <s v="183"/>
    <s v="1,2,3,2,22-183 TASAS AEROPORTUARIAS"/>
    <s v="INV"/>
    <s v="NO"/>
    <s v="ESTUDIOS Y DISE?OS, CONSTRUCCION, MEJORAMIENTO Y REHABILITACION DE VIAS PARA EL TRANSPORTE Y LA MOVILIDAD EN EL DISTRITO DE CARTAGENA DE INDIAS"/>
    <s v="2021130010155 ESTUDIOS Y DISE?OS, CONSTRUCCION, MEJORAMIENTO Y REHABILITACION DE VIAS PARA EL TRANSPORTE Y LA MOVILIDAD EN EL DISTRITO DE CARTAGENA DE INDIAS"/>
    <s v="06"/>
    <s v="00"/>
    <n v="0"/>
    <n v="13653212596"/>
    <n v="13653212596"/>
    <n v="0"/>
    <n v="13653212596"/>
    <n v="0"/>
    <n v="0"/>
    <n v="0"/>
    <n v="0"/>
    <n v="13653212596"/>
    <n v="0"/>
  </r>
  <r>
    <n v="2022"/>
    <n v="100"/>
    <x v="17"/>
    <s v="SECRETARIA DE INFRAESTRUCTURA"/>
    <s v="06 SECRETARIA DE INFRAESTRUCTURA"/>
    <n v="2021130010155"/>
    <s v="07. PILAR CARTAGENA RESILIENTE"/>
    <s v="7.3 LÍNEA ESTRATÉGICA DESARROLLO URBANO"/>
    <s v="7.3.1 CARTAGENA SE MUEVE "/>
    <s v="2,3,2402,0600,2021130010155"/>
    <s v="812"/>
    <s v="1,3,3,11,03-93-062 - RB DIVIDENDOS ACUACAR"/>
    <s v="INV"/>
    <s v="NO"/>
    <s v="ESTUDIOS Y DISE?OS CONSTRUCCION, MEJORAMIENTO Y REHABILITACION DE VIAS PARA EL TRANSPORTE Y LA MOVILIDAD EN EL DISTRITO DE CARTAGENA DE INDIAS"/>
    <s v="2021130010155 ESTUDIOS Y DISE?OS CONSTRUCCION, MEJORAMIENTO Y REHABILITACION DE VIAS PARA EL TRANSPORTE Y LA MOVILIDAD EN EL DISTRITO DE CARTAGENA DE INDIAS"/>
    <s v="06"/>
    <s v="00"/>
    <n v="0"/>
    <n v="774299317.32000005"/>
    <n v="774299317.32000005"/>
    <n v="774299316.63"/>
    <n v="0.69"/>
    <n v="686586946"/>
    <n v="88.67"/>
    <n v="78683160.450000003"/>
    <n v="10.16"/>
    <n v="87712371.319999993"/>
    <n v="0"/>
  </r>
  <r>
    <n v="2022"/>
    <n v="100"/>
    <x v="17"/>
    <s v="SECRETARIA DE INFRAESTRUCTURA"/>
    <s v="06 SECRETARIA DE INFRAESTRUCTURA"/>
    <n v="2021130010155"/>
    <s v="07. PILAR CARTAGENA RESILIENTE"/>
    <s v="7.3 LÍNEA ESTRATÉGICA DESARROLLO URBANO"/>
    <s v="7.3.1 CARTAGENA SE MUEVE "/>
    <s v="2,3,2402,0600,2021130010155"/>
    <s v="814"/>
    <s v="1,3,3,11,03-95-062 - RB DIVIDENDOS ACUACAR"/>
    <s v="INV"/>
    <s v="NO"/>
    <s v="ESTUDIOS Y DISE?OS, CONSTRUCCION, MEJORAMIENTO Y REHABILITACION DE VIAS PARA EL TRANSPORTE Y LA MOVILIDAD EN EL DISTRITO DE CARTAGENA DE INDIAS"/>
    <s v="2021130010155 ESTUDIOS Y DISE?OS, CONSTRUCCION, MEJORAMIENTO Y REHABILITACION DE VIAS PARA EL TRANSPORTE Y LA MOVILIDAD EN EL DISTRITO DE CARTAGENA DE INDIAS"/>
    <s v="06"/>
    <s v="00"/>
    <n v="0"/>
    <n v="5218171422.4399996"/>
    <n v="5218171422.4399996"/>
    <n v="5218171422"/>
    <n v="0.44"/>
    <n v="5218171422"/>
    <n v="100"/>
    <n v="466022904"/>
    <n v="8.93"/>
    <n v="0.44"/>
    <n v="128470864.63"/>
  </r>
  <r>
    <n v="2022"/>
    <n v="100"/>
    <x v="17"/>
    <s v="SECRETARIA DE INFRAESTRUCTURA"/>
    <s v="06 SECRETARIA DE INFRAESTRUCTURA"/>
    <n v="2021130010155"/>
    <s v="07. PILAR CARTAGENA RESILIENTE"/>
    <s v="7.3 LÍNEA ESTRATÉGICA DESARROLLO URBANO"/>
    <s v="7.3.1 CARTAGENA SE MUEVE "/>
    <s v="2,3,2402,0600,2021130010155"/>
    <s v="819"/>
    <s v="1,3,3,11,05-93-038 R,B, RECURSOS DE CREDITO INTERNO"/>
    <s v="INV"/>
    <s v="NO"/>
    <s v="ESTUDIOS Y DISE?OS, CONSTRUCCION, MEJORAMIENTO Y REHABILITACION DE VIAS PARA EL TRANSPORTE Y LA MOVILIDAD EN EL DISTRITO DE CARTAGENA DE INDIAS"/>
    <s v="2021130010155 ESTUDIOS Y DISE?OS, CONSTRUCCION, MEJORAMIENTO Y REHABILITACION DE VIAS PARA EL TRANSPORTE Y LA MOVILIDAD EN EL DISTRITO DE CARTAGENA DE INDIAS"/>
    <s v="06"/>
    <s v="00"/>
    <n v="0"/>
    <n v="342288365.25"/>
    <n v="342288365.25"/>
    <n v="342288365"/>
    <n v="0.25"/>
    <n v="342288365"/>
    <n v="100"/>
    <n v="342288365"/>
    <n v="100"/>
    <n v="0.25"/>
    <n v="342288365"/>
  </r>
  <r>
    <n v="2022"/>
    <n v="100"/>
    <x v="17"/>
    <s v="SECRETARIA DE INFRAESTRUCTURA"/>
    <s v="06 SECRETARIA DE INFRAESTRUCTURA"/>
    <n v="2021130010155"/>
    <s v="07. PILAR CARTAGENA RESILIENTE"/>
    <s v="7.3 LÍNEA ESTRATÉGICA DESARROLLO URBANO"/>
    <s v="7.3.1 CARTAGENA SE MUEVE "/>
    <s v="2,3,2402,0600,2021130010155"/>
    <s v="820"/>
    <s v="1,3,3,11,05-95-038 R,B, RECURSOS DE CREDITO INTERNO"/>
    <s v="INV"/>
    <s v="NO"/>
    <s v="ESTUDIOS Y DISE?OS, CONSTRUCCION, MEJORAMIENTO Y REHABILITACION DE VIAS PARA EL TRANSPORTE Y LA MOVILIDAD EN EL DISTRITO DE CARTAGENA DE INDIAS"/>
    <s v="2021130010155 ESTUDIOS Y DISE?OS, CONSTRUCCION, MEJORAMIENTO Y REHABILITACION DE VIAS PARA EL TRANSPORTE Y LA MOVILIDAD EN EL DISTRITO DE CARTAGENA DE INDIAS"/>
    <s v="06"/>
    <s v="00"/>
    <n v="0"/>
    <n v="63135418"/>
    <n v="63135418"/>
    <n v="63135418"/>
    <n v="0"/>
    <n v="63135418"/>
    <n v="100"/>
    <n v="0"/>
    <n v="0"/>
    <n v="0"/>
    <n v="0"/>
  </r>
  <r>
    <n v="2022"/>
    <n v="100"/>
    <x v="17"/>
    <s v="SECRETARIA DE INFRAESTRUCTURA"/>
    <s v="06 SECRETARIA DE INFRAESTRUCTURA"/>
    <n v="2021130010155"/>
    <s v="07. PILAR CARTAGENA RESILIENTE"/>
    <s v="7.3 LÍNEA ESTRATÉGICA DESARROLLO URBANO"/>
    <s v="7.3.1 CARTAGENA SE MUEVE "/>
    <s v="2,3,2402,0600,2021130010155"/>
    <s v="852"/>
    <s v="1,3,3,3,17-95-124 RB IMPUESTO DE TRANSPORTE POR OLEODUCTOS Y GASODUCTOS"/>
    <s v="INV"/>
    <s v="NO"/>
    <s v="ESTUDIOS Y DISE?OS, CONSTRUCCION, MEJORAMIENTO Y REHABILITACION DE VIAS PARA EL TRANSPORTE Y LA MOVILIDAD EN EL DISTRITO DE CARTAGENA DE INDIAS"/>
    <s v="2021130010155 ESTUDIOS Y DISE?OS, CONSTRUCCION, MEJORAMIENTO Y REHABILITACION DE VIAS PARA EL TRANSPORTE Y LA MOVILIDAD EN EL DISTRITO DE CARTAGENA DE INDIAS"/>
    <s v="06"/>
    <s v="00"/>
    <n v="0"/>
    <n v="21411059.670000002"/>
    <n v="21411059.670000002"/>
    <n v="21411059"/>
    <n v="0.67"/>
    <n v="21411059"/>
    <n v="100"/>
    <n v="0"/>
    <n v="0"/>
    <n v="0.67"/>
    <n v="0"/>
  </r>
  <r>
    <n v="2022"/>
    <n v="100"/>
    <x v="17"/>
    <s v="SECRETARIA DE INFRAESTRUCTURA"/>
    <s v="06 SECRETARIA DE INFRAESTRUCTURA"/>
    <n v="2021130010155"/>
    <s v="07. PILAR CARTAGENA RESILIENTE"/>
    <s v="7.3 LÍNEA ESTRATÉGICA DESARROLLO URBANO"/>
    <s v="7.3.1 CARTAGENA SE MUEVE "/>
    <s v="2,3,2402,0600,2021130010155"/>
    <s v="177"/>
    <s v="1,2,3,3,01-177 - PARTICIPACIONES DISTINTAS DEL SGP - PLUSVALIA"/>
    <s v="INV"/>
    <s v="NO"/>
    <s v="ESTUDIOS Y DISE?OS, CONSTRUCCION, MEJORAMIENTO Y REHABILITACION DE VIAS PARA EL TRANSPORTE Y LA MOVILIDAD EN EL DISTRITO DE CARTAGENA DE INDIAS"/>
    <s v="2021130010155 ESTUDIOS Y DISE?OS, CONSTRUCCION, MEJORAMIENTO Y REHABILITACION DE VIAS PARA EL TRANSPORTE Y LA MOVILIDAD EN EL DISTRITO DE CARTAGENA DE INDIAS"/>
    <s v="06"/>
    <s v="00"/>
    <n v="1"/>
    <n v="0"/>
    <n v="1"/>
    <n v="0"/>
    <n v="1"/>
    <n v="0"/>
    <n v="0"/>
    <n v="0"/>
    <n v="0"/>
    <n v="1"/>
    <n v="0"/>
  </r>
  <r>
    <n v="2022"/>
    <n v="100"/>
    <x v="17"/>
    <s v="SECRETARIA DE INFRAESTRUCTURA"/>
    <s v="06 SECRETARIA DE INFRAESTRUCTURA"/>
    <n v="2021130010155"/>
    <s v="07. PILAR CARTAGENA RESILIENTE"/>
    <s v="7.3 LÍNEA ESTRATÉGICA DESARROLLO URBANO"/>
    <s v="7.3.1 CARTAGENA SE MUEVE "/>
    <s v="2,3,2402,0600,2021130010155"/>
    <s v="922"/>
    <s v="1,3,3,8,03-95-070 R,B, SGP-PROPOSITO GENERAL-PROPOSITO GENERAL LIBRE INVERSION"/>
    <s v="INV"/>
    <s v="NO"/>
    <s v="ESTUDIOS Y DISE?OS, CONSTRUCCION, MEJORAMIENTO Y REHABILITACION DE VIAS PARA EL TRANSPORTE Y LA MOVILIDAD EN EL DISTRITO DE CARTAGENA DE INDIAS"/>
    <s v="2021130010155 ESTUDIOS Y DISE?OS, CONSTRUCCION, MEJORAMIENTO Y REHABILITACION DE VIAS PARA EL TRANSPORTE Y LA MOVILIDAD EN EL DISTRITO DE CARTAGENA DE INDIAS"/>
    <s v="06"/>
    <s v="00"/>
    <n v="0"/>
    <n v="100000000"/>
    <n v="100000000"/>
    <n v="100000000"/>
    <n v="0"/>
    <n v="100000000"/>
    <n v="100"/>
    <n v="0"/>
    <n v="0"/>
    <n v="0"/>
    <n v="0"/>
  </r>
  <r>
    <n v="2022"/>
    <n v="100"/>
    <x v="17"/>
    <s v="SECRETARIA DE INFRAESTRUCTURA"/>
    <s v="06 SECRETARIA DE INFRAESTRUCTURA"/>
    <n v="2021130010155"/>
    <s v="07. PILAR CARTAGENA RESILIENTE"/>
    <s v="7.3 LÍNEA ESTRATÉGICA DESARROLLO URBANO"/>
    <s v="7.3.1 CARTAGENA SE MUEVE "/>
    <s v="2,3,2402,0600,2021130010155"/>
    <s v="062"/>
    <s v="1,3,1,1,03-062 - DIVIDENDOS ACUACAR"/>
    <s v="INV"/>
    <s v="NO"/>
    <s v="ESTUDIOS Y DISE?OS, CONSTRUCCION, MEJORAMIENTO Y REHABILITACION DE VIAS PARA EL TRANSPORTE Y LA MOVILIDAD EN EL DISTRITO DE CARTAGENA DE INDIAS"/>
    <s v="2021130010155 ESTUDIOS Y DISE?OS, CONSTRUCCION, MEJORAMIENTO Y REHABILITACION DE VIAS PARA EL TRANSPORTE Y LA MOVILIDAD EN EL DISTRITO DE CARTAGENA DE INDIAS"/>
    <s v="06"/>
    <s v="00"/>
    <n v="671180179"/>
    <n v="0"/>
    <n v="671180179"/>
    <n v="671180179"/>
    <n v="0"/>
    <n v="671180179"/>
    <n v="100"/>
    <n v="637621169.04999995"/>
    <n v="95"/>
    <n v="0"/>
    <n v="637621169.04999995"/>
  </r>
  <r>
    <n v="2022"/>
    <n v="100"/>
    <x v="17"/>
    <s v="SECRETARIA DE INFRAESTRUCTURA"/>
    <s v="06 SECRETARIA DE INFRAESTRUCTURA"/>
    <n v="2021130010155"/>
    <s v="07. PILAR CARTAGENA RESILIENTE"/>
    <s v="7.3 LÍNEA ESTRATÉGICA DESARROLLO URBANO"/>
    <s v="7.3.1 CARTAGENA SE MUEVE "/>
    <s v="2,3,2402,0600,2021130010155"/>
    <s v="124"/>
    <s v="1,2,3,1,17-124 - IMPUESTO DE TRANSPORTE POR OLEODUCTOS Y GASODUCTOS"/>
    <s v="INV"/>
    <s v="NO"/>
    <s v="ESTUDIOS Y DISE?OS, CONSTRUCCION, MEJORAMIENTO Y REHABILITACION DE VIAS PARA EL TRANSPORTE Y LA MOVILIDAD EN EL DISTRITO DE CARTAGENA DE INDIAS"/>
    <s v="2021130010155 ESTUDIOS Y DISE?OS, CONSTRUCCION, MEJORAMIENTO Y REHABILITACION DE VIAS PARA EL TRANSPORTE Y LA MOVILIDAD EN EL DISTRITO DE CARTAGENA DE INDIAS"/>
    <s v="06"/>
    <s v="00"/>
    <n v="2035019425"/>
    <n v="-296615906"/>
    <n v="1738403519"/>
    <n v="1738403518.7"/>
    <n v="0.3"/>
    <n v="1738403518.7"/>
    <n v="100"/>
    <n v="901242123.19000006"/>
    <n v="51.84"/>
    <n v="0.3"/>
    <n v="878736518.67999995"/>
  </r>
  <r>
    <n v="2022"/>
    <n v="100"/>
    <x v="8"/>
    <s v="DEPARTAMENTO ADMINISTRATIVO DE SALUD"/>
    <s v="10 DEPARTAMENTO ADMINISTRATIVO DE SALUD"/>
    <n v="2021130010156"/>
    <s v="08. PILAR CARTAGENA INCLUYENTE"/>
    <s v="8.3 LÍNEA ESTRATÉGICA SALUD PARA TODOS"/>
    <s v="8.3.1 PROGRAMA: FORTALECIMIENTO DE LA AUTORIDAD SANITARIA"/>
    <s v="2,3,1906,0300,2021130010156"/>
    <s v="001"/>
    <s v="1,2,1,0,00-001 - ICLD"/>
    <s v="INV"/>
    <s v="NO"/>
    <s v="AMPLIACION Y CONTINUIDAD DE LA AFILIACION AL REGIMEN SUBSIDIADO EN SALUD EN EL DISTRITO DE  CARTAGENA DE INDIAS"/>
    <s v="2021130010156 AMPLIACION Y CONTINUIDAD DE LA AFILIACION AL REGIMEN SUBSIDIADO EN SALUD EN EL DISTRITO DE  CARTAGENA DE INDIAS"/>
    <s v="06"/>
    <s v="00"/>
    <n v="1200000000"/>
    <n v="0"/>
    <n v="1200000000"/>
    <n v="1200000000"/>
    <n v="0"/>
    <n v="1200000000"/>
    <n v="100"/>
    <n v="1200000000"/>
    <n v="100"/>
    <n v="0"/>
    <n v="1200000000"/>
  </r>
  <r>
    <n v="2022"/>
    <n v="100"/>
    <x v="8"/>
    <s v="DEPARTAMENTO ADMINISTRATIVO DE SALUD"/>
    <s v="10 DEPARTAMENTO ADMINISTRATIVO DE SALUD"/>
    <n v="2021130010156"/>
    <s v="08. PILAR CARTAGENA INCLUYENTE"/>
    <s v="8.3 LÍNEA ESTRATÉGICA SALUD PARA TODOS"/>
    <s v="8.3.1 PROGRAMA: FORTALECIMIENTO DE LA AUTORIDAD SANITARIA"/>
    <s v="2,3,1906,0300,2021130010156"/>
    <s v="015"/>
    <s v="1,2,3,3,07-015 - RECURSOS DEL SISTEMA DE SEGURIDAD SOCIAL INTEGRAL - SALUD"/>
    <s v="INV"/>
    <s v="NO"/>
    <s v="AMPLIACION Y CONTINUIDAD DE LA AFILIACION AL REGIMEN SUBSIDIADO EN SALUD EN EL DISTRITO DE  CARTAGENA DE INDIAS"/>
    <s v="2021130010156 AMPLIACION Y CONTINUIDAD DE LA AFILIACION AL REGIMEN SUBSIDIADO EN SALUD EN EL DISTRITO DE  CARTAGENA DE INDIAS"/>
    <s v="06"/>
    <s v="00"/>
    <n v="7967667606"/>
    <n v="4727069766"/>
    <n v="12694737372"/>
    <n v="11020626269"/>
    <n v="1674111103"/>
    <n v="11020626269"/>
    <n v="86.81"/>
    <n v="11020626269"/>
    <n v="86.81"/>
    <n v="1674111103"/>
    <n v="11020626269"/>
  </r>
  <r>
    <n v="2022"/>
    <n v="100"/>
    <x v="8"/>
    <s v="DEPARTAMENTO ADMINISTRATIVO DE SALUD"/>
    <s v="10 DEPARTAMENTO ADMINISTRATIVO DE SALUD"/>
    <n v="2021130010156"/>
    <s v="08. PILAR CARTAGENA INCLUYENTE"/>
    <s v="8.3 LÍNEA ESTRATÉGICA SALUD PARA TODOS"/>
    <s v="8.3.1 PROGRAMA: FORTALECIMIENTO DE LA AUTORIDAD SANITARIA"/>
    <s v="2,3,1906,0300,2021130010156"/>
    <s v="049"/>
    <s v="1,2,3,3,07-049 - RECURSOS DEL SISTEMA DE SEGURIDAD SOCIAL INTEGRAL - SALUD"/>
    <s v="INV"/>
    <s v="NO"/>
    <s v="AMPLIACION Y CONTINUIDAD DE LA AFILIACION AL REGIMEN SUBSIDIADO EN SALUD EN EL DISTRITO DE  CARTAGENA DE INDIAS"/>
    <s v="2021130010156 AMPLIACION Y CONTINUIDAD DE LA AFILIACION AL REGIMEN SUBSIDIADO EN SALUD EN EL DISTRITO DE  CARTAGENA DE INDIAS"/>
    <s v="06"/>
    <s v="00"/>
    <n v="392447844882"/>
    <n v="98666364023.380005"/>
    <n v="491114208905.38"/>
    <n v="488097844712.42999"/>
    <n v="3016364192.9499998"/>
    <n v="488097844712.42999"/>
    <n v="99.39"/>
    <n v="488097844712.42999"/>
    <n v="99.39"/>
    <n v="3016364192.9499998"/>
    <n v="488097844712.42999"/>
  </r>
  <r>
    <n v="2022"/>
    <n v="100"/>
    <x v="8"/>
    <s v="DEPARTAMENTO ADMINISTRATIVO DE SALUD"/>
    <s v="10 DEPARTAMENTO ADMINISTRATIVO DE SALUD"/>
    <n v="2021130010156"/>
    <s v="08. PILAR CARTAGENA INCLUYENTE"/>
    <s v="8.3 LÍNEA ESTRATÉGICA SALUD PARA TODOS"/>
    <s v="8.3.1 PROGRAMA: FORTALECIMIENTO DE LA AUTORIDAD SANITARIA"/>
    <s v="2,3,1906,0300,2021130010156"/>
    <s v="068"/>
    <s v="1,2,4,2,01-068 - SGP SALUD REGIMEN SUBSIDIADO"/>
    <s v="INV"/>
    <s v="NO"/>
    <s v="AMPLIACION Y CONTINUIDAD DE LA AFILIACION AL REGIMEN SUBSIDIADO EN SALUD EN EL DISTRITO DE  CARTAGENA DE INDIAS"/>
    <s v="2021130010156 AMPLIACION Y CONTINUIDAD DE LA AFILIACION AL REGIMEN SUBSIDIADO EN SALUD EN EL DISTRITO DE  CARTAGENA DE INDIAS"/>
    <s v="06"/>
    <s v="00"/>
    <n v="244062895047"/>
    <n v="4592040265"/>
    <n v="248654935312"/>
    <n v="248654935312"/>
    <n v="0"/>
    <n v="248654935312"/>
    <n v="100"/>
    <n v="248654935307"/>
    <n v="100"/>
    <n v="0"/>
    <n v="248654935307"/>
  </r>
  <r>
    <n v="2022"/>
    <n v="100"/>
    <x v="8"/>
    <s v="DEPARTAMENTO ADMINISTRATIVO DE SALUD"/>
    <s v="10 DEPARTAMENTO ADMINISTRATIVO DE SALUD"/>
    <n v="2021130010156"/>
    <s v="08. PILAR CARTAGENA INCLUYENTE"/>
    <s v="8.3 LÍNEA ESTRATÉGICA SALUD PARA TODOS"/>
    <s v="8.3.1 PROGRAMA: FORTALECIMIENTO DE LA AUTORIDAD SANITARIA"/>
    <s v="2,3,1906,0300,2021130010156"/>
    <s v="889"/>
    <s v="1,3,3,5,07-93-015 R,B, RECURSOS DEL SISTEMA DE SEGURIDAD SOCIAL INTEGRAL - SALUD COLJUEGOS"/>
    <s v="INV"/>
    <s v="NO"/>
    <s v="AMPLIACION Y CONTINUIDAD DE LA AFILIACION AL REGIMEN SUBSIDIADO EN SALUD EN EL DISTRITO DE  CARTAGENA DE INDIAS"/>
    <s v="2021130010156 AMPLIACION Y CONTINUIDAD DE LA AFILIACION AL REGIMEN SUBSIDIADO EN SALUD EN EL DISTRITO DE  CARTAGENA DE INDIAS"/>
    <s v="06"/>
    <s v="00"/>
    <n v="0"/>
    <n v="239837483"/>
    <n v="239837483"/>
    <n v="0"/>
    <n v="239837483"/>
    <n v="0"/>
    <n v="0"/>
    <n v="0"/>
    <n v="0"/>
    <n v="239837483"/>
    <n v="0"/>
  </r>
  <r>
    <n v="2022"/>
    <n v="100"/>
    <x v="8"/>
    <s v="DEPARTAMENTO ADMINISTRATIVO DE SALUD"/>
    <s v="10 DEPARTAMENTO ADMINISTRATIVO DE SALUD"/>
    <n v="2021130010156"/>
    <s v="08. PILAR CARTAGENA INCLUYENTE"/>
    <s v="8.3 LÍNEA ESTRATÉGICA SALUD PARA TODOS"/>
    <s v="8.3.1 PROGRAMA: FORTALECIMIENTO DE LA AUTORIDAD SANITARIA"/>
    <s v="2,3,1906,0300,2021130010156"/>
    <s v="891"/>
    <s v="1,3,3,5,07-93-017 R,B, RECURSOS DEL SISTEMA DE SEGURIDAD SOCIAL INTEGRAL - SALUD Rendimientos  Financieros FLS"/>
    <s v="INV"/>
    <s v="NO"/>
    <s v="AMPLIACION Y CONTINUIDAD DE LA AFILIACION AL REGIMEN SUBSIDIADO EN SALUD EN EL DISTRITO DE  CARTAGENA DE INDIAS"/>
    <s v="2021130010156 AMPLIACION Y CONTINUIDAD DE LA AFILIACION AL REGIMEN SUBSIDIADO EN SALUD EN EL DISTRITO DE  CARTAGENA DE INDIAS"/>
    <s v="06"/>
    <s v="00"/>
    <n v="0"/>
    <n v="30432562"/>
    <n v="30432562"/>
    <n v="0"/>
    <n v="30432562"/>
    <n v="0"/>
    <n v="0"/>
    <n v="0"/>
    <n v="0"/>
    <n v="30432562"/>
    <n v="0"/>
  </r>
  <r>
    <n v="2022"/>
    <n v="100"/>
    <x v="8"/>
    <s v="DEPARTAMENTO ADMINISTRATIVO DE SALUD"/>
    <s v="10 DEPARTAMENTO ADMINISTRATIVO DE SALUD"/>
    <n v="2021130010156"/>
    <s v="08. PILAR CARTAGENA INCLUYENTE"/>
    <s v="8.3 LÍNEA ESTRATÉGICA SALUD PARA TODOS"/>
    <s v="8.3.1 PROGRAMA: FORTALECIMIENTO DE LA AUTORIDAD SANITARIA"/>
    <s v="2,3,1906,0300,2021130010156"/>
    <s v="893"/>
    <s v="1,3,3,5,07-95-015 R,B, RECURSOS DEL SISTEMA DE SEGURIDAD SOCIAL INTEGRAL - SALUD COLJUEGOS"/>
    <s v="INV"/>
    <s v="NO"/>
    <s v="AMPLIACION Y CONTINUIDAD DE LA AFILIACION AL REGIMEN SUBSIDIADO EN SALUD EN EL DISTRITO DE  CARTAGENA DE INDIAS"/>
    <s v="2021130010156 AMPLIACION Y CONTINUIDAD DE LA AFILIACION AL REGIMEN SUBSIDIADO EN SALUD EN EL DISTRITO DE  CARTAGENA DE INDIAS"/>
    <s v="06"/>
    <s v="00"/>
    <n v="0"/>
    <n v="231308885"/>
    <n v="231308885"/>
    <n v="50000000"/>
    <n v="181308885"/>
    <n v="50000000"/>
    <n v="21.62"/>
    <n v="50000000"/>
    <n v="21.62"/>
    <n v="181308885"/>
    <n v="50000000"/>
  </r>
  <r>
    <n v="2022"/>
    <n v="100"/>
    <x v="8"/>
    <s v="DEPARTAMENTO ADMINISTRATIVO DE SALUD"/>
    <s v="10 DEPARTAMENTO ADMINISTRATIVO DE SALUD"/>
    <n v="2021130010156"/>
    <s v="08. PILAR CARTAGENA INCLUYENTE"/>
    <s v="8.3 LÍNEA ESTRATÉGICA SALUD PARA TODOS"/>
    <s v="8.3.1 PROGRAMA: FORTALECIMIENTO DE LA AUTORIDAD SANITARIA"/>
    <s v="2,3,1906,0300,2021130010156"/>
    <s v="914"/>
    <s v="1,3,3,7,02-93-179 R,B, SGP-SALUD-REGIMEN SUBSIDIADO"/>
    <s v="INV"/>
    <s v="NO"/>
    <s v="AMPLIACION Y CONTINUIDAD DE LA AFILIACION AL REGIMEN SUBSIDIADO EN SALUD EN EL DISTRITO DE  CARTAGENA DE INDIAS"/>
    <s v="2021130010156 AMPLIACION Y CONTINUIDAD DE LA AFILIACION AL REGIMEN SUBSIDIADO EN SALUD EN EL DISTRITO DE  CARTAGENA DE INDIAS"/>
    <s v="06"/>
    <s v="00"/>
    <n v="0"/>
    <n v="31803562"/>
    <n v="31803562"/>
    <n v="0"/>
    <n v="31803562"/>
    <n v="0"/>
    <n v="0"/>
    <n v="0"/>
    <n v="0"/>
    <n v="31803562"/>
    <n v="0"/>
  </r>
  <r>
    <n v="2022"/>
    <n v="100"/>
    <x v="8"/>
    <s v="DEPARTAMENTO ADMINISTRATIVO DE SALUD"/>
    <s v="10 DEPARTAMENTO ADMINISTRATIVO DE SALUD"/>
    <n v="2021130010156"/>
    <s v="08. PILAR CARTAGENA INCLUYENTE"/>
    <s v="8.3 LÍNEA ESTRATÉGICA SALUD PARA TODOS"/>
    <s v="8.3.1 PROGRAMA: FORTALECIMIENTO DE LA AUTORIDAD SANITARIA"/>
    <s v="2,3,1906,0300,2021130010156"/>
    <s v="189"/>
    <s v="1,3,2,3,01-189 - RF FONDO LOCAL DE SALUD SSF"/>
    <s v="INV"/>
    <s v="NO"/>
    <s v="AMPLIACION Y CONTINUIDAD DE LA AFILIACION AL REGIMEN SUBSIDIADO EN SALUD EN EL DISTRITO DE CARTAGENA DE INDIAS"/>
    <s v="2021130010156 AMPLIACION Y CONTINUIDAD DE LA AFILIACION AL REGIMEN SUBSIDIADO EN SALUD EN EL DISTRITO DE CARTAGENA DE INDIAS"/>
    <s v="06"/>
    <s v="00"/>
    <n v="0"/>
    <n v="2437583.31"/>
    <n v="2437583.31"/>
    <n v="2437583.31"/>
    <n v="0"/>
    <n v="2437583.31"/>
    <n v="100"/>
    <n v="2437583.31"/>
    <n v="100"/>
    <n v="0"/>
    <n v="2437583.31"/>
  </r>
  <r>
    <n v="2022"/>
    <n v="100"/>
    <x v="8"/>
    <s v="DEPARTAMENTO ADMINISTRATIVO DE SALUD"/>
    <s v="10 DEPARTAMENTO ADMINISTRATIVO DE SALUD"/>
    <n v="2021130010157"/>
    <s v="08. PILAR CARTAGENA INCLUYENTE"/>
    <s v="8.3 LÍNEA ESTRATÉGICA SALUD PARA TODOS"/>
    <s v="8.3.2 TRANSVERSAL GESTIÓN DIFERENCIAL DE POBLACIONES VULNERABLES"/>
    <s v="2,3,1905,0300,2021130010157"/>
    <s v="001"/>
    <s v="1,2,1,0,00-001 - ICLD"/>
    <s v="INV"/>
    <s v="NO"/>
    <s v="FORTALECIMIENTO DE LA PROMOCION SOCIAL EN SALUD DE LOS GRUPOS POBLACIONALES VULNERABLES Y DE LA PARTICIPACION SOCIAL EN SALUD EN EL DISTRITO DE  CARTAGENA DE INDIAS"/>
    <s v="2021130010157 FORTALECIMIENTO DE LA PROMOCION SOCIAL EN SALUD DE LOS GRUPOS POBLACIONALES VULNERABLES Y DE LA PARTICIPACION SOCIAL EN SALUD EN EL DISTRITO DE  CARTAGENA DE INDIAS"/>
    <s v="06"/>
    <s v="00"/>
    <n v="250000000"/>
    <n v="0"/>
    <n v="250000000"/>
    <n v="246800000"/>
    <n v="3200000"/>
    <n v="246800000"/>
    <n v="98.72"/>
    <n v="246328680"/>
    <n v="98.53"/>
    <n v="3200000"/>
    <n v="205800000"/>
  </r>
  <r>
    <n v="2022"/>
    <n v="100"/>
    <x v="8"/>
    <s v="DEPARTAMENTO ADMINISTRATIVO DE SALUD"/>
    <s v="10 DEPARTAMENTO ADMINISTRATIVO DE SALUD"/>
    <n v="2021130010157"/>
    <s v="08. PILAR CARTAGENA INCLUYENTE"/>
    <s v="8.3 LÍNEA ESTRATÉGICA SALUD PARA TODOS"/>
    <s v="8.3.2 TRANSVERSAL GESTIÓN DIFERENCIAL DE POBLACIONES VULNERABLES"/>
    <s v="2,3,1905,0300,2021130010157"/>
    <s v="016"/>
    <s v="1,2,3,3,07-016 - RECURSOS DEL SISTEMA DE SEGURIDAD SOCIAL INTEGRAL - SALUD"/>
    <s v="INV"/>
    <s v="NO"/>
    <s v="FORTALECIMIENTO DE LA PROMOCION SOCIAL EN SALUD DE LOS GRUPOS POBLACIONALES VULNERABLES Y DE LA PARTICIPACION SOCIAL EN SALUD EN EL DISTRITO DE  CARTAGENA DE INDIAS"/>
    <s v="2021130010157 FORTALECIMIENTO DE LA PROMOCION SOCIAL EN SALUD DE LOS GRUPOS POBLACIONALES VULNERABLES Y DE LA PARTICIPACION SOCIAL EN SALUD EN EL DISTRITO DE  CARTAGENA DE INDIAS"/>
    <s v="06"/>
    <s v="00"/>
    <n v="135129233"/>
    <n v="176529883"/>
    <n v="311659116"/>
    <n v="98977764"/>
    <n v="212681352"/>
    <n v="98977764"/>
    <n v="31.76"/>
    <n v="0"/>
    <n v="0"/>
    <n v="212681352"/>
    <n v="0"/>
  </r>
  <r>
    <n v="2022"/>
    <n v="100"/>
    <x v="8"/>
    <s v="DEPARTAMENTO ADMINISTRATIVO DE SALUD"/>
    <s v="10 DEPARTAMENTO ADMINISTRATIVO DE SALUD"/>
    <n v="2021130010157"/>
    <s v="08. PILAR CARTAGENA INCLUYENTE"/>
    <s v="8.3 LÍNEA ESTRATÉGICA SALUD PARA TODOS"/>
    <s v="8.3.2 TRANSVERSAL GESTIÓN DIFERENCIAL DE POBLACIONES VULNERABLES"/>
    <s v="2,3,1905,0300,2021130010157"/>
    <s v="894"/>
    <s v="1,3,3,5,07-95-016 R,B, RECURSOS DEL SISTEMA DE SEGURIDAD SOCIAL INTEGRAL - SALUD MINISTERIO DE PROTECCION SOCIAL"/>
    <s v="INV"/>
    <s v="NO"/>
    <s v="FORTALECIMIENTO DE LA PROMOCION SOCIAL EN SALUD DE LOS GRUPOS POBLACIONALES VULNERABLES Y DE LA PARTICIPACION SOCIAL EN SALUD EN EL DISTRITO DE  CARTAGENA DE INDIAS"/>
    <s v="2021130010157 FORTALECIMIENTO DE LA PROMOCION SOCIAL EN SALUD DE LOS GRUPOS POBLACIONALES VULNERABLES Y DE LA PARTICIPACION SOCIAL EN SALUD EN EL DISTRITO DE  CARTAGENA DE INDIAS"/>
    <s v="06"/>
    <s v="00"/>
    <n v="0"/>
    <n v="128694508"/>
    <n v="128694508"/>
    <n v="128694508"/>
    <n v="0"/>
    <n v="128694508"/>
    <n v="100"/>
    <n v="128694508"/>
    <n v="100"/>
    <n v="0"/>
    <n v="0"/>
  </r>
  <r>
    <n v="2022"/>
    <n v="100"/>
    <x v="4"/>
    <s v="DESPACHO DEL ALCALDE"/>
    <s v="01 DESPACHO DEL ALCALDE"/>
    <n v="2021130010158"/>
    <s v="08. PILAR CARTAGENA INCLUYENTE"/>
    <s v="8.1 LÍNEA ESTRATÉGICA: SUPERACIÓN DE LA POBREZA Y DESIGUALDAD."/>
    <s v="8.1.1 PROGRAMA: IDENTIFICACIÓN PARA LA SUPERACION DE LA POBREZA EXTREMA Y DESIGUALDAD"/>
    <s v="2,3,4103,1500,2021130010158"/>
    <s v="001"/>
    <s v="1,2,1,0,00-001 - ICLD"/>
    <s v="INV"/>
    <s v="NO"/>
    <s v="APOYO IDENTIFICACION PARA LA SUPERACION DE LA POBREZA Y DESIGUALDAD"/>
    <s v="2021130010158 APOYO IDENTIFICACION PARA LA SUPERACION DE LA POBREZA Y DESIGUALDAD"/>
    <s v="06"/>
    <s v="00"/>
    <n v="452152464"/>
    <n v="0"/>
    <n v="452152464"/>
    <n v="449041733"/>
    <n v="3110731"/>
    <n v="448623766"/>
    <n v="99.22"/>
    <n v="338981150"/>
    <n v="74.97"/>
    <n v="3528698"/>
    <n v="321481150"/>
  </r>
  <r>
    <n v="2022"/>
    <n v="100"/>
    <x v="4"/>
    <s v="DESPACHO DEL ALCALDE"/>
    <s v="01 DESPACHO DEL ALCALDE"/>
    <n v="2021130010159"/>
    <s v="08. PILAR CARTAGENA INCLUYENTE"/>
    <s v="8.1 LÍNEA ESTRATÉGICA: SUPERACIÓN DE LA POBREZA Y DESIGUALDAD."/>
    <s v="8.1.10 PROGRAMA: FORTALECIMIENTO INSTITUCIONAL PARA LA SUPERACION DE LA POBREZA EXTREMA Y DESIGUALDAD "/>
    <s v="2,3,4103,1500,2021130010159"/>
    <s v="053"/>
    <s v="1,2,3,2,05-053 - OTRAS TASAS Y DERECHOS ADMINISTRATIVOS CONTRAPRESTACION PORTUARIA"/>
    <s v="INV"/>
    <s v="NO"/>
    <s v="APOYO FORTALECIMIENTO PARA LA SUPERACION DE LA POBREZA EXTREMA Y DEISIGUALDAD "/>
    <s v="2021130010159 APOYO FORTALECIMIENTO PARA LA SUPERACION DE LA POBREZA EXTREMA Y DEISIGUALDAD "/>
    <s v="06"/>
    <s v="00"/>
    <n v="338000000"/>
    <n v="0"/>
    <n v="338000000"/>
    <n v="337999964"/>
    <n v="36"/>
    <n v="310389730.67000002"/>
    <n v="91.83"/>
    <n v="48966666.670000002"/>
    <n v="14.49"/>
    <n v="27610269.329999998"/>
    <n v="43700000"/>
  </r>
  <r>
    <n v="2022"/>
    <n v="100"/>
    <x v="4"/>
    <s v="DESPACHO DEL ALCALDE"/>
    <s v="01 DESPACHO DEL ALCALDE"/>
    <n v="2021130010159"/>
    <s v="08. PILAR CARTAGENA INCLUYENTE"/>
    <s v="8.1 LÍNEA ESTRATÉGICA: SUPERACIÓN DE LA POBREZA Y DESIGUALDAD."/>
    <s v="8.1.10 PROGRAMA: FORTALECIMIENTO INSTITUCIONAL PARA LA SUPERACION DE LA POBREZA EXTREMA Y DESIGUALDAD "/>
    <s v="2,3,4103,1500,2021130010159"/>
    <s v="001"/>
    <s v="1,2,1,0,00-001 - ICLD"/>
    <s v="INV"/>
    <s v="NO"/>
    <s v="APOYO FORTALECIMIENTO PARA LA SUPERACION DE LA POBREZA EXTREMA Y DEISIGUALDAD "/>
    <s v="2021130010159 APOYO FORTALECIMIENTO PARA LA SUPERACION DE LA POBREZA EXTREMA Y DEISIGUALDAD "/>
    <s v="06"/>
    <s v="00"/>
    <n v="1000000000"/>
    <n v="0"/>
    <n v="1000000000"/>
    <n v="900000000"/>
    <n v="100000000"/>
    <n v="858664336"/>
    <n v="85.87"/>
    <n v="814664336"/>
    <n v="81.47"/>
    <n v="141335664"/>
    <n v="786764336"/>
  </r>
  <r>
    <n v="2022"/>
    <n v="100"/>
    <x v="4"/>
    <s v="DESPACHO DEL ALCALDE"/>
    <s v="01 DESPACHO DEL ALCALDE"/>
    <n v="2021130010160"/>
    <s v="08. PILAR CARTAGENA INCLUYENTE"/>
    <s v="8.1 LÍNEA ESTRATÉGICA: SUPERACIÓN DE LA POBREZA Y DESIGUALDAD."/>
    <s v="8.1.8 PROGRAMA: SEGURIDAD ALIMENTARIA Y NUTRICIÓN PARA LA SUPERACIÓN DE LA POBREZA EXTREMA"/>
    <s v="2,3,4103,1500,2021130010160"/>
    <s v="001"/>
    <s v="1,2,1,0,00-001 - ICLD"/>
    <s v="INV"/>
    <s v="NO"/>
    <s v="APOYO SEGURIDAD ALIMENTARIA Y NUTRICION PARA LA SUPERACION DE LA POBREZA EXTREMA Y DESIGUALDAD"/>
    <s v="2021130010160 APOYO SEGURIDAD ALIMENTARIA Y NUTRICION PARA LA SUPERACION DE LA POBREZA EXTREMA Y DESIGUALDAD"/>
    <s v="06"/>
    <s v="00"/>
    <n v="1000000000"/>
    <n v="1706643408.97"/>
    <n v="2706643408.9699998"/>
    <n v="1193118784.96"/>
    <n v="1513524624.01"/>
    <n v="970700000"/>
    <n v="35.86"/>
    <n v="950200000"/>
    <n v="35.11"/>
    <n v="1735943408.97"/>
    <n v="950200000"/>
  </r>
  <r>
    <n v="2022"/>
    <n v="100"/>
    <x v="4"/>
    <s v="DESPACHO DEL ALCALDE"/>
    <s v="01 DESPACHO DEL ALCALDE"/>
    <n v="2021130010160"/>
    <s v="08. PILAR CARTAGENA INCLUYENTE"/>
    <s v="8.1 LÍNEA ESTRATÉGICA: SUPERACIÓN DE LA POBREZA Y DESIGUALDAD."/>
    <s v="8.1.8 PROGRAMA: SEGURIDAD ALIMENTARIA Y NUTRICIÓN PARA LA SUPERACIÓN DE LA POBREZA EXTREMA"/>
    <s v="2,3,4103,1500,2021130010160"/>
    <s v="053"/>
    <s v="1,2,3,2,05-053 - OTRAS TASAS Y DERECHOS ADMINISTRATIVOS CONTRAPRESTACION PORTUARIA"/>
    <s v="INV"/>
    <s v="NO"/>
    <s v="APOYO SEGURIDAD ALIMENTARIA Y NUTRICION PARA LA SUPERACION DE LA POBREZA EXTREMA Y DESIGUALDAD"/>
    <s v="2021130010160 APOYO SEGURIDAD ALIMENTARIA Y NUTRICION PARA LA SUPERACION DE LA POBREZA EXTREMA Y DESIGUALDAD"/>
    <s v="06"/>
    <s v="00"/>
    <n v="600000000"/>
    <n v="0"/>
    <n v="600000000"/>
    <n v="574437185.86000001"/>
    <n v="25562814.140000001"/>
    <n v="568728787.17999995"/>
    <n v="94.79"/>
    <n v="568728785.86000001"/>
    <n v="94.79"/>
    <n v="31271212.82"/>
    <n v="197086648"/>
  </r>
  <r>
    <n v="2022"/>
    <n v="100"/>
    <x v="4"/>
    <s v="DESPACHO DEL ALCALDE"/>
    <s v="01 DESPACHO DEL ALCALDE"/>
    <n v="2021130010161"/>
    <s v="08. PILAR CARTAGENA INCLUYENTE"/>
    <s v="8.1 LÍNEA ESTRATÉGICA: SUPERACIÓN DE LA POBREZA Y DESIGUALDAD."/>
    <s v="8.1.5 INGRESO Y TRABAJO PARA LA SUPERACIÓN DE LA POBREZA EXTREMA Y DESIGUALDAD"/>
    <s v="2,3,4103,1500,2021130010161"/>
    <s v="001"/>
    <s v="1,2,1,0,00-001 - ICLD"/>
    <s v="INV"/>
    <s v="NO"/>
    <s v="APOYO INGRESO Y TRABAJO PARA LA SUPERACION DE LA POBREZA EXTREMA Y DESIGUALDAD"/>
    <s v="2021130010161 APOYO INGRESO Y TRABAJO PARA LA SUPERACION DE LA POBREZA EXTREMA Y DESIGUALDAD"/>
    <s v="06"/>
    <s v="00"/>
    <n v="1230000000"/>
    <n v="0"/>
    <n v="1230000000"/>
    <n v="1229906295"/>
    <n v="93705"/>
    <n v="1209000000"/>
    <n v="98.29"/>
    <n v="858550000"/>
    <n v="69.8"/>
    <n v="21000000"/>
    <n v="856550000"/>
  </r>
  <r>
    <n v="2022"/>
    <n v="100"/>
    <x v="4"/>
    <s v="DESPACHO DEL ALCALDE"/>
    <s v="01 DESPACHO DEL ALCALDE"/>
    <n v="2021130010161"/>
    <s v="08. PILAR CARTAGENA INCLUYENTE"/>
    <s v="8.1 LÍNEA ESTRATÉGICA: SUPERACIÓN DE LA POBREZA Y DESIGUALDAD."/>
    <s v="8.1.5 INGRESO Y TRABAJO PARA LA SUPERACIÓN DE LA POBREZA EXTREMA Y DESIGUALDAD"/>
    <s v="2,3,4103,1500,2021130010161"/>
    <s v="869"/>
    <s v="1,3,3,4,16-95-053 RB  OTRAS TASAS Y DERECHOS ADMINISTRATIVOS CONTRAPRESTACION PORTUARIA"/>
    <s v="INV"/>
    <s v="NO"/>
    <s v="APOYO INGRESO Y TRABAJO PARA LA SUPERACION DE LA POBREZA EXTREMA Y DESIGUALDAD"/>
    <s v="2021130010161 APOYO INGRESO Y TRABAJO PARA LA SUPERACION DE LA POBREZA EXTREMA Y DESIGUALDAD"/>
    <s v="06"/>
    <s v="00"/>
    <n v="0"/>
    <n v="1568523117.5"/>
    <n v="1568523117.5"/>
    <n v="8523000"/>
    <n v="1560000117.5"/>
    <n v="0"/>
    <n v="0"/>
    <n v="0"/>
    <n v="0"/>
    <n v="1568523117.5"/>
    <n v="0"/>
  </r>
  <r>
    <n v="2022"/>
    <n v="100"/>
    <x v="4"/>
    <s v="DESPACHO DEL ALCALDE"/>
    <s v="01 DESPACHO DEL ALCALDE"/>
    <n v="2021130010161"/>
    <s v="08. PILAR CARTAGENA INCLUYENTE"/>
    <s v="8.1 LÍNEA ESTRATÉGICA: SUPERACIÓN DE LA POBREZA Y DESIGUALDAD."/>
    <s v="8.1.5 INGRESO Y TRABAJO PARA LA SUPERACIÓN DE LA POBREZA EXTREMA Y DESIGUALDAD"/>
    <s v="2,3,4103,1500,2021130010161"/>
    <s v="053"/>
    <s v="1,2,3,2,05-053 - OTRAS TASAS Y DERECHOS ADMINISTRATIVOS CONTRAPRESTACION PORTUARIA"/>
    <s v="INV"/>
    <s v="NO"/>
    <s v="APOYO INGRESO Y TRABAJO PARA LA SUPERACION DE LA POBREZA EXTREMA Y DESIGUALDAD"/>
    <s v="2021130010161 APOYO INGRESO Y TRABAJO PARA LA SUPERACION DE LA POBREZA EXTREMA Y DESIGUALDAD"/>
    <s v="06"/>
    <s v="00"/>
    <n v="1859408713"/>
    <n v="0"/>
    <n v="1859408713"/>
    <n v="1847666000"/>
    <n v="11742713"/>
    <n v="49500000"/>
    <n v="2.66"/>
    <n v="49500000"/>
    <n v="2.66"/>
    <n v="1809908713"/>
    <n v="49500000"/>
  </r>
  <r>
    <n v="2022"/>
    <n v="100"/>
    <x v="4"/>
    <s v="DESPACHO DEL ALCALDE"/>
    <s v="01 DESPACHO DEL ALCALDE"/>
    <n v="2021130010162"/>
    <s v="08. PILAR CARTAGENA INCLUYENTE"/>
    <s v="8.1 LÍNEA ESTRATÉGICA: SUPERACIÓN DE LA POBREZA Y DESIGUALDAD."/>
    <s v="8.1.4 PROGRAMA: HABITABILIDAD PARA LA SUPERACIÓN DE LA POBREZA EXTREMA Y LA DESIGUALDAD"/>
    <s v="2,3,4103,1500,2021130010162"/>
    <s v="001"/>
    <s v="1,2,1,0,00-001 - ICLD"/>
    <s v="INV"/>
    <s v="NO"/>
    <s v="APOYO HABITABILIDAD PARA LA SUPERACION DE LA POBREZA Y DESIGUALDAD"/>
    <s v="2021130010162 APOYO HABITABILIDAD PARA LA SUPERACION DE LA POBREZA Y DESIGUALDAD"/>
    <s v="06"/>
    <s v="00"/>
    <n v="466720000"/>
    <n v="10000000000"/>
    <n v="10466720000"/>
    <n v="10466720000"/>
    <n v="0"/>
    <n v="10433437958"/>
    <n v="99.68"/>
    <n v="299377411.19"/>
    <n v="2.86"/>
    <n v="33282042"/>
    <n v="297384078.19"/>
  </r>
  <r>
    <n v="2022"/>
    <n v="100"/>
    <x v="4"/>
    <s v="DESPACHO DEL ALCALDE"/>
    <s v="01 DESPACHO DEL ALCALDE"/>
    <n v="2021130010162"/>
    <s v="08. PILAR CARTAGENA INCLUYENTE"/>
    <s v="8.1 LÍNEA ESTRATÉGICA: SUPERACIÓN DE LA POBREZA Y DESIGUALDAD."/>
    <s v="8.1.4 PROGRAMA: HABITABILIDAD PARA LA SUPERACIÓN DE LA POBREZA EXTREMA Y LA DESIGUALDAD"/>
    <s v="2,3,4103,1500,2021130010162"/>
    <s v="869"/>
    <s v="1,3,3,4,16-95-053 RB  OTRAS TASAS Y DERECHOS ADMINISTRATIVOS CONTRAPRESTACION PORTUARIA"/>
    <s v="INV"/>
    <s v="NO"/>
    <s v="APOYO HABITABILIDAD PARA LA SUPERACION DE LA POBREZA Y DESIGUALDAD"/>
    <s v="2021130010162 APOYO HABITABILIDAD PARA LA SUPERACION DE LA POBREZA Y DESIGUALDAD"/>
    <s v="06"/>
    <s v="00"/>
    <n v="0"/>
    <n v="136928227.44999999"/>
    <n v="136928227.44999999"/>
    <n v="0"/>
    <n v="136928227.44999999"/>
    <n v="0"/>
    <n v="0"/>
    <n v="0"/>
    <n v="0"/>
    <n v="136928227.44999999"/>
    <n v="0"/>
  </r>
  <r>
    <n v="2022"/>
    <n v="100"/>
    <x v="4"/>
    <s v="DESPACHO DEL ALCALDE"/>
    <s v="01 DESPACHO DEL ALCALDE"/>
    <n v="2021130010162"/>
    <s v="08. PILAR CARTAGENA INCLUYENTE"/>
    <s v="8.1 LÍNEA ESTRATÉGICA: SUPERACIÓN DE LA POBREZA Y DESIGUALDAD."/>
    <s v="8.1.4 PROGRAMA: HABITABILIDAD PARA LA SUPERACIÓN DE LA POBREZA EXTREMA Y LA DESIGUALDAD"/>
    <s v="2,3,4103,1500,2021130010162"/>
    <s v="053"/>
    <s v="1,2,3,2,05-053 - OTRAS TASAS Y DERECHOS ADMINISTRATIVOS CONTRAPRESTACION PORTUARIA"/>
    <s v="INV"/>
    <s v="NO"/>
    <s v="APOYO HABITABILIDAD PARA LA SUPERACION DE LA POBREZA Y DESIGUALDAD"/>
    <s v="2021130010162 APOYO HABITABILIDAD PARA LA SUPERACION DE LA POBREZA Y DESIGUALDAD"/>
    <s v="06"/>
    <s v="00"/>
    <n v="530000000"/>
    <n v="0"/>
    <n v="530000000"/>
    <n v="530000000"/>
    <n v="0"/>
    <n v="530000000"/>
    <n v="100"/>
    <n v="530000000"/>
    <n v="100"/>
    <n v="0"/>
    <n v="530000000"/>
  </r>
  <r>
    <n v="2022"/>
    <n v="100"/>
    <x v="4"/>
    <s v="DESPACHO DEL ALCALDE"/>
    <s v="01 DESPACHO DEL ALCALDE"/>
    <n v="2021130010163"/>
    <s v="08. PILAR CARTAGENA INCLUYENTE"/>
    <s v="8.1 LÍNEA ESTRATÉGICA: SUPERACIÓN DE LA POBREZA Y DESIGUALDAD."/>
    <s v="8.1.6 PROGRAMA: BANCARIZACIÓN PARA LA SUPERACIÓN DE LA POBREZA EXTREMA Y DESIGUALDAD"/>
    <s v="2,3,4103,1500,2021130010163"/>
    <s v="001"/>
    <s v="1,2,1,0,00-001 - ICLD"/>
    <s v="INV"/>
    <s v="NO"/>
    <s v="APOYO BANCARIZACION PARA LA SUPERACION DE LA POBREZA EXTREMA Y DESIGUALDAD-0 ESTRUCTURAR EL ACCESO DE LA POBLACION EN POBREZA EXTREMA DEL DISTRITO DE CARTAGENA AL SISTEMA FINANCIERO"/>
    <s v="2021130010163 APOYO BANCARIZACION PARA LA SUPERACION DE LA POBREZA EXTREMA Y DESIGUALDAD-0 ESTRUCTURAR EL ACCESO DE LA POBLACION EN POBREZA EXTREMA DEL DISTRITO DE CARTAGENA AL SISTEMA FINANCIERO"/>
    <s v="06"/>
    <s v="00"/>
    <n v="371957705"/>
    <n v="0"/>
    <n v="371957705"/>
    <n v="371957705"/>
    <n v="0"/>
    <n v="296214389"/>
    <n v="79.64"/>
    <n v="287414389"/>
    <n v="77.27"/>
    <n v="75743316"/>
    <n v="285214389"/>
  </r>
  <r>
    <n v="2022"/>
    <n v="100"/>
    <x v="4"/>
    <s v="DESPACHO DEL ALCALDE"/>
    <s v="01 DESPACHO DEL ALCALDE"/>
    <n v="2021130010164"/>
    <s v="08. PILAR CARTAGENA INCLUYENTE"/>
    <s v="8.1 LÍNEA ESTRATÉGICA: SUPERACIÓN DE LA POBREZA Y DESIGUALDAD."/>
    <s v="8.1.9 PROGRAMA: ACCESO A LA JUSTICIA PARA LA SUPERACIÓN DE LA POBREZA EXTREMA Y DESIGUALDAD"/>
    <s v="2,3,4103,1500,2021130010164"/>
    <s v="001"/>
    <s v="1,2,1,0,00-001 - ICLD"/>
    <s v="INV"/>
    <s v="NO"/>
    <s v=" APOYO ACCESO A LA JUSTICIA PARA LA SUPERACION DE LA POBREZA Y DESIGUALDAD"/>
    <s v="2021130010164  APOYO ACCESO A LA JUSTICIA PARA LA SUPERACION DE LA POBREZA Y DESIGUALDAD"/>
    <s v="06"/>
    <s v="00"/>
    <n v="400000000"/>
    <n v="0"/>
    <n v="400000000"/>
    <n v="380000000"/>
    <n v="20000000"/>
    <n v="345800000"/>
    <n v="86.45"/>
    <n v="254220000"/>
    <n v="63.56"/>
    <n v="54200000"/>
    <n v="250820000"/>
  </r>
  <r>
    <n v="2022"/>
    <n v="100"/>
    <x v="4"/>
    <s v="DESPACHO DEL ALCALDE"/>
    <s v="01 DESPACHO DEL ALCALDE"/>
    <n v="2021130010165"/>
    <s v="08. PILAR CARTAGENA INCLUYENTE"/>
    <s v="8.1 LÍNEA ESTRATÉGICA: SUPERACIÓN DE LA POBREZA Y DESIGUALDAD."/>
    <s v="8.1.2 PROGRAMA: SALUD PARA LA SUPERACIÓN DE LA POBREZA EXTREMA Y DESIGUALDAD"/>
    <s v="2,3,4103,1500,2021130010165"/>
    <s v="001"/>
    <s v="1,2,1,0,00-001 - ICLD"/>
    <s v="INV"/>
    <s v="NO"/>
    <s v="APOYO SALUD PARA LA SUPERACION DE LA POBREZA Y DESIGUALDAD "/>
    <s v="2021130010165 APOYO SALUD PARA LA SUPERACION DE LA POBREZA Y DESIGUALDAD "/>
    <s v="06"/>
    <s v="00"/>
    <n v="300000000"/>
    <n v="0"/>
    <n v="300000000"/>
    <n v="257300000"/>
    <n v="42700000"/>
    <n v="256533333"/>
    <n v="85.51"/>
    <n v="256533333"/>
    <n v="85.51"/>
    <n v="43466667"/>
    <n v="214480000"/>
  </r>
  <r>
    <n v="2022"/>
    <n v="100"/>
    <x v="2"/>
    <s v="LOCALIDAD INDUSTRIAL Y DE LA BAHIA"/>
    <s v="23 LOCALIDAD INDUSTRIAL Y DE LA BAHIA"/>
    <n v="2021130010166"/>
    <s v="10. PILAR: CARTAGENA TRANSPARENTE"/>
    <s v="10.7 LÍNEA ESTRATÉGICA: PARTICIPACIÓN Y DESCENTRALIZACIÓN"/>
    <s v="10.7.2 PROGRAMA: MODERNIZACIÓN DEL SISTEMA DISTRITAL DE PLANEACIÓN Y DESCENTRALIZACIÓN  "/>
    <s v="2,3,2401,0600,2021130010166"/>
    <s v="001"/>
    <s v="1,2,1,0,00-001 - ICLD"/>
    <s v="INV"/>
    <s v="NO"/>
    <s v="REHABILITACION Y RECONSTRUCCION DE LA MALLA VIAL DE LA LOCALIDAD INDUSTRIAL Y DE LA BAHIA CARTAGENA DE INDIAS"/>
    <s v="2021130010166 REHABILITACION Y RECONSTRUCCION DE LA MALLA VIAL DE LA LOCALIDAD INDUSTRIAL Y DE LA BAHIA CARTAGENA DE INDIAS"/>
    <s v="06"/>
    <s v="00"/>
    <n v="0"/>
    <n v="2500000000"/>
    <n v="2500000000"/>
    <n v="0"/>
    <n v="2500000000"/>
    <n v="0"/>
    <n v="0"/>
    <n v="0"/>
    <n v="0"/>
    <n v="2500000000"/>
    <n v="0"/>
  </r>
  <r>
    <n v="2022"/>
    <n v="100"/>
    <x v="10"/>
    <s v="FONDO DE VIVIENDA DE INTERES SOCIAL Y REFORMA URBANA"/>
    <s v="16 FONDO DE VIVIENDA DE INTERES SOCIAL Y REFORMA URBANA"/>
    <n v="2021130010167"/>
    <s v="07. PILAR CARTAGENA RESILIENTE"/>
    <s v="7.5 LÍNEA ESTRATÉGICA VIVIENDA PARA TODOS"/>
    <s v="7.5.4 UN LUGAR APTO PARA MI HOGAR"/>
    <s v="2,3,4001,1400,2021130010167"/>
    <s v="039"/>
    <s v="1,2,2,0,00-039 - ICDE-CORVIVIENDA 15% IPU"/>
    <s v="INV"/>
    <s v="NO"/>
    <s v="ELABORACION DE DTS Y ADQUISICION DE TIERRAS POR ENAJENACION, EXPROPIACION, EXTINCION DE DOMINIO, CESION, DONACION Y/O COMPRAVENTA PARA LA CONSTRUCCION DE VIVIENDA VIS/VIP DEL PROGRAMA UN LUGAR APTO PARA MI HOGAR CARTAGENA DE INDIAS"/>
    <s v="2021130010167 ELABORACION DE DTS Y ADQUISICION DE TIERRAS POR ENAJENACION, EXPROPIACION, EXTINCION DE DOMINIO, CESION, DONACION Y/O COMPRAVENTA PARA LA CONSTRUCCION DE VIVIENDA VIS/VIP DEL PROGRAMA UN LUGAR APTO PARA MI HOGAR CARTAGENA DE INDIAS"/>
    <s v="06"/>
    <s v="00"/>
    <n v="90861993"/>
    <n v="0"/>
    <n v="90861993"/>
    <n v="68000000"/>
    <n v="22861993"/>
    <n v="68000000"/>
    <n v="74.84"/>
    <n v="68000000"/>
    <n v="74.84"/>
    <n v="22861993"/>
    <n v="68000000"/>
  </r>
  <r>
    <n v="2022"/>
    <n v="100"/>
    <x v="8"/>
    <s v="DEPARTAMENTO ADMINISTRATIVO DE SALUD"/>
    <s v="10 DEPARTAMENTO ADMINISTRATIVO DE SALUD"/>
    <n v="2021130010168"/>
    <s v="08. PILAR CARTAGENA INCLUYENTE"/>
    <s v="8.3 LÍNEA ESTRATÉGICA SALUD PARA TODOS"/>
    <s v="8.3.1 PROGRAMA: FORTALECIMIENTO DE LA AUTORIDAD SANITARIA"/>
    <s v="2,3,1905,0300,2021130010168"/>
    <s v="001"/>
    <s v="1,2,1,0,00-001 - ICLD"/>
    <s v="INV"/>
    <s v="NO"/>
    <s v="FORTALECIMIENTO DEL CENTRO DE OPERACIONES Y EMERGENCIAS EN SALUD DEL DISTRITO DE  CARTAGENA DE INDIAS"/>
    <s v="2021130010168 FORTALECIMIENTO DEL CENTRO DE OPERACIONES Y EMERGENCIAS EN SALUD DEL DISTRITO DE  CARTAGENA DE INDIAS"/>
    <s v="06"/>
    <s v="00"/>
    <n v="275000000"/>
    <n v="0"/>
    <n v="275000000"/>
    <n v="210000000"/>
    <n v="65000000"/>
    <n v="210000000"/>
    <n v="76.36"/>
    <n v="210000000"/>
    <n v="76.36"/>
    <n v="65000000"/>
    <n v="195000000"/>
  </r>
  <r>
    <n v="2022"/>
    <n v="100"/>
    <x v="8"/>
    <s v="DEPARTAMENTO ADMINISTRATIVO DE SALUD"/>
    <s v="10 DEPARTAMENTO ADMINISTRATIVO DE SALUD"/>
    <n v="2021130010169"/>
    <s v="08. PILAR CARTAGENA INCLUYENTE"/>
    <s v="8.3 LÍNEA ESTRATÉGICA SALUD PARA TODOS"/>
    <s v="8.3.9 SALUD PÚBLICA EN EMERGENCIAS Y DESASTRES"/>
    <s v="2,3,1905,0300,2021130010169"/>
    <s v="001"/>
    <s v="1,2,1,0,00-001 - ICLD"/>
    <s v="INV"/>
    <s v="NO"/>
    <s v="SERVICIO  DE GESTION INTEGRAL Y RESPUESTA EN SALUD ANTE EMERGENCIAS Y DESASTRES EN EL DISTRITO DE   CARTAGENA DE INDIAS"/>
    <s v="2021130010169 SERVICIO  DE GESTION INTEGRAL Y RESPUESTA EN SALUD ANTE EMERGENCIAS Y DESASTRES EN EL DISTRITO DE   CARTAGENA DE INDIAS"/>
    <s v="06"/>
    <s v="00"/>
    <n v="900000000"/>
    <n v="0"/>
    <n v="900000000"/>
    <n v="898900000"/>
    <n v="1100000"/>
    <n v="896250000"/>
    <n v="99.58"/>
    <n v="892400000"/>
    <n v="99.16"/>
    <n v="3750000"/>
    <n v="878650000"/>
  </r>
  <r>
    <n v="2022"/>
    <n v="100"/>
    <x v="8"/>
    <s v="DEPARTAMENTO ADMINISTRATIVO DE SALUD"/>
    <s v="10 DEPARTAMENTO ADMINISTRATIVO DE SALUD"/>
    <n v="2021130010169"/>
    <s v="08. PILAR CARTAGENA INCLUYENTE"/>
    <s v="8.3 LÍNEA ESTRATÉGICA SALUD PARA TODOS"/>
    <s v="8.3.9 SALUD PÚBLICA EN EMERGENCIAS Y DESASTRES"/>
    <s v="2,3,1905,0300,2021130010169"/>
    <s v="889"/>
    <s v="1,3,3,5,07-93-015 R,B, RECURSOS DEL SISTEMA DE SEGURIDAD SOCIAL INTEGRAL - SALUD COLJUEGOS"/>
    <s v="INV"/>
    <s v="NO"/>
    <s v="SERVICIO  DE GESTION INTEGRAL Y RESPUESTA EN SALUD ANTE EMERGENCIAS Y DESASTRES EN EL DISTRITO DE   CARTAGENA DE INDIAS"/>
    <s v="2021130010169 SERVICIO  DE GESTION INTEGRAL Y RESPUESTA EN SALUD ANTE EMERGENCIAS Y DESASTRES EN EL DISTRITO DE   CARTAGENA DE INDIAS"/>
    <s v="06"/>
    <s v="00"/>
    <n v="0"/>
    <n v="191713562"/>
    <n v="191713562"/>
    <n v="100000000"/>
    <n v="91713562"/>
    <n v="47500000"/>
    <n v="24.78"/>
    <n v="47500000"/>
    <n v="24.78"/>
    <n v="144213562"/>
    <n v="10000000"/>
  </r>
  <r>
    <n v="2022"/>
    <n v="100"/>
    <x v="8"/>
    <s v="DEPARTAMENTO ADMINISTRATIVO DE SALUD"/>
    <s v="10 DEPARTAMENTO ADMINISTRATIVO DE SALUD"/>
    <n v="2021130010169"/>
    <s v="08. PILAR CARTAGENA INCLUYENTE"/>
    <s v="8.3 LÍNEA ESTRATÉGICA SALUD PARA TODOS"/>
    <s v="8.3.9 SALUD PÚBLICA EN EMERGENCIAS Y DESASTRES"/>
    <s v="2,3,1905,0300,2021130010169"/>
    <s v="894"/>
    <s v="1,3,3,5,07-95-016 R,B, RECURSOS DEL SISTEMA DE SEGURIDAD SOCIAL INTEGRAL - SALUD MINISTERIO DE PROTECCION SOCIAL"/>
    <s v="INV"/>
    <s v="NO"/>
    <s v="SERVICIO  DE GESTION INTEGRAL Y RESPUESTA EN SALUD ANTE EMERGENCIAS Y DESASTRES EN EL DISTRITO DE   CARTAGENA DE INDIAS"/>
    <s v="2021130010169 SERVICIO  DE GESTION INTEGRAL Y RESPUESTA EN SALUD ANTE EMERGENCIAS Y DESASTRES EN EL DISTRITO DE   CARTAGENA DE INDIAS"/>
    <s v="06"/>
    <s v="00"/>
    <n v="0"/>
    <n v="2086877"/>
    <n v="2086877"/>
    <n v="0"/>
    <n v="2086877"/>
    <n v="0"/>
    <n v="0"/>
    <n v="0"/>
    <n v="0"/>
    <n v="2086877"/>
    <n v="0"/>
  </r>
  <r>
    <n v="2022"/>
    <n v="100"/>
    <x v="8"/>
    <s v="DEPARTAMENTO ADMINISTRATIVO DE SALUD"/>
    <s v="10 DEPARTAMENTO ADMINISTRATIVO DE SALUD"/>
    <n v="2021130010169"/>
    <s v="08. PILAR CARTAGENA INCLUYENTE"/>
    <s v="8.3 LÍNEA ESTRATÉGICA SALUD PARA TODOS"/>
    <s v="8.3.9 SALUD PÚBLICA EN EMERGENCIAS Y DESASTRES"/>
    <s v="2,3,1905,0300,2021130010169"/>
    <s v="895"/>
    <s v="1,3,3,5,07-95-017 R,B, RECURSOS DEL SISTEMA DE SEGURIDAD SOCIAL INTEGRAL - SALUD Rendimientos  Financieros FLS"/>
    <s v="INV"/>
    <s v="NO"/>
    <s v="SERVICIO  DE GESTION INTEGRAL Y RESPUESTA EN SALUD ANTE EMERGENCIAS Y DESASTRES EN EL DISTRITO DE   CARTAGENA DE INDIAS"/>
    <s v="2021130010169 SERVICIO  DE GESTION INTEGRAL Y RESPUESTA EN SALUD ANTE EMERGENCIAS Y DESASTRES EN EL DISTRITO DE   CARTAGENA DE INDIAS"/>
    <s v="06"/>
    <s v="00"/>
    <n v="0"/>
    <n v="14286438"/>
    <n v="14286438"/>
    <n v="0"/>
    <n v="14286438"/>
    <n v="0"/>
    <n v="0"/>
    <n v="0"/>
    <n v="0"/>
    <n v="14286438"/>
    <n v="0"/>
  </r>
  <r>
    <n v="2022"/>
    <n v="100"/>
    <x v="8"/>
    <s v="DEPARTAMENTO ADMINISTRATIVO DE SALUD"/>
    <s v="10 DEPARTAMENTO ADMINISTRATIVO DE SALUD"/>
    <n v="2021130010170"/>
    <s v="08. PILAR CARTAGENA INCLUYENTE"/>
    <s v="8.3 LÍNEA ESTRATÉGICA SALUD PARA TODOS"/>
    <s v="8.3.1 PROGRAMA: FORTALECIMIENTO DE LA AUTORIDAD SANITARIA"/>
    <s v="2,3,1905,0300,2021130010170"/>
    <s v="017"/>
    <s v="1,3,2,3,02-017 - RF SISTEMA DE SEGURIDAD SOCIAL SALUD"/>
    <s v="INV"/>
    <s v="NO"/>
    <s v="FORTALECIMIENTO DE LA GESTION DEL PLAN DE SALUD PUBLICA EN   CARTAGENA DE INDIA"/>
    <s v="2021130010170 FORTALECIMIENTO DE LA GESTION DEL PLAN DE SALUD PUBLICA EN   CARTAGENA DE INDIA"/>
    <s v="06"/>
    <s v="00"/>
    <n v="50000000"/>
    <n v="0"/>
    <n v="50000000"/>
    <n v="8200000"/>
    <n v="41800000"/>
    <n v="0"/>
    <n v="0"/>
    <n v="0"/>
    <n v="0"/>
    <n v="50000000"/>
    <n v="0"/>
  </r>
  <r>
    <n v="2022"/>
    <n v="100"/>
    <x v="8"/>
    <s v="DEPARTAMENTO ADMINISTRATIVO DE SALUD"/>
    <s v="10 DEPARTAMENTO ADMINISTRATIVO DE SALUD"/>
    <n v="2021130010170"/>
    <s v="08. PILAR CARTAGENA INCLUYENTE"/>
    <s v="8.3 LÍNEA ESTRATÉGICA SALUD PARA TODOS"/>
    <s v="8.3.1 PROGRAMA: FORTALECIMIENTO DE LA AUTORIDAD SANITARIA"/>
    <s v="2,3,1905,0300,2021130010170"/>
    <s v="087"/>
    <s v="1,3,2,2,06-087 - RF SGP SALUD"/>
    <s v="INV"/>
    <s v="NO"/>
    <s v="FORTALECIMIENTO DE LA GESTION DEL PLAN DE SALUD PUBLICA EN   CARTAGENA DE INDIA"/>
    <s v="2021130010170 FORTALECIMIENTO DE LA GESTION DEL PLAN DE SALUD PUBLICA EN   CARTAGENA DE INDIA"/>
    <s v="06"/>
    <s v="00"/>
    <n v="200000000"/>
    <n v="-50000000"/>
    <n v="150000000"/>
    <n v="143400000"/>
    <n v="6600000"/>
    <n v="125600000"/>
    <n v="83.73"/>
    <n v="125600000"/>
    <n v="83.73"/>
    <n v="24400000"/>
    <n v="125600000"/>
  </r>
  <r>
    <n v="2022"/>
    <n v="100"/>
    <x v="8"/>
    <s v="DEPARTAMENTO ADMINISTRATIVO DE SALUD"/>
    <s v="10 DEPARTAMENTO ADMINISTRATIVO DE SALUD"/>
    <n v="2021130010170"/>
    <s v="08. PILAR CARTAGENA INCLUYENTE"/>
    <s v="8.3 LÍNEA ESTRATÉGICA SALUD PARA TODOS"/>
    <s v="8.3.1 PROGRAMA: FORTALECIMIENTO DE LA AUTORIDAD SANITARIA"/>
    <s v="2,3,1905,0300,2021130010170"/>
    <s v="170"/>
    <s v="1,2,4,2,02-170 - SGP SALUD PUBLICA"/>
    <s v="INV"/>
    <s v="NO"/>
    <s v="FORTALECIMIENTO DE LA GESTION DEL PLAN DE SALUD PUBLICA EN   CARTAGENA DE INDIA"/>
    <s v="2021130010170 FORTALECIMIENTO DE LA GESTION DEL PLAN DE SALUD PUBLICA EN   CARTAGENA DE INDIA"/>
    <s v="06"/>
    <s v="00"/>
    <n v="257362582"/>
    <n v="0"/>
    <n v="257362582"/>
    <n v="257362582"/>
    <n v="0"/>
    <n v="257362582"/>
    <n v="100"/>
    <n v="246800000"/>
    <n v="95.9"/>
    <n v="0"/>
    <n v="238000000"/>
  </r>
  <r>
    <n v="2022"/>
    <n v="100"/>
    <x v="13"/>
    <s v="SECRETARIA GENERAL"/>
    <s v="05 SECRETARIA GENERAL"/>
    <n v="2021130010172"/>
    <s v="08. PILAR CARTAGENA INCLUYENTE"/>
    <s v="8.2 LÍNEA ESTRATEGICA DE EDUCACION: CULTURA DE LA FORMACION &quot;CON LA EDUCACION PARA TODOS Y TODAS SALVAMOS JUNTOS A CARTAGENA&quot;"/>
    <s v="8.2.9 PROGRAMA: POR UNA EDUCACIÓN POST SECUNDARIA DISTRITAL"/>
    <s v="2,3,2202,0700,2021130010172"/>
    <s v="001"/>
    <s v="1,2,1,0,00-001 - ICLD"/>
    <s v="INV"/>
    <s v="NO"/>
    <s v="IMPLEMENTACION DEL PROGRAMA DE FORMACION INTEGRAL ESCUELA TALLER CARTAGENA DE INDIAS DEL DISTRITO DE  CARTAGENA DE INDIAS"/>
    <s v="2021130010172 IMPLEMENTACION DEL PROGRAMA DE FORMACION INTEGRAL ESCUELA TALLER CARTAGENA DE INDIAS DEL DISTRITO DE  CARTAGENA DE INDIAS"/>
    <s v="06"/>
    <s v="00"/>
    <n v="1000000000"/>
    <n v="0"/>
    <n v="1000000000"/>
    <n v="1000000000"/>
    <n v="0"/>
    <n v="1000000000"/>
    <n v="100"/>
    <n v="900000000"/>
    <n v="90"/>
    <n v="0"/>
    <n v="900000000"/>
  </r>
  <r>
    <n v="2022"/>
    <n v="100"/>
    <x v="13"/>
    <s v="SECRETARIA GENERAL"/>
    <s v="05 SECRETARIA GENERAL"/>
    <n v="2021130010174"/>
    <s v="07. PILAR CARTAGENA RESILIENTE"/>
    <s v="7.6 LÍNEA ESTRATÉGICA SERVICIOS PÚBLICOS BÁSICOS DEL DISTRITO DE CARTAGENA DE INDIAS: “TODOS CON TODO”"/>
    <s v="7.6.5 CEMENTERIOS"/>
    <s v="2,3,4599,1000,2021130010174"/>
    <s v="882"/>
    <s v="1,3,3,4,21-93-034 R,B, VENTA DE SERVICIOS CEMENTERIOS"/>
    <s v="INV"/>
    <s v="NO"/>
    <s v="ADMINISTRACION Y OPERACION DE LOS CEMENTERIOS PUBLICOS DISTRITALES  POR UNA CARTAGENA LIBRE Y RESILIENTE CARTAGENA DE INDIAS"/>
    <s v="2021130010174 ADMINISTRACION Y OPERACION DE LOS CEMENTERIOS PUBLICOS DISTRITALES  POR UNA CARTAGENA LIBRE Y RESILIENTE CARTAGENA DE INDIAS"/>
    <s v="06"/>
    <s v="00"/>
    <n v="0"/>
    <n v="511889199.95999998"/>
    <n v="511889199.95999998"/>
    <n v="511889199.95999998"/>
    <n v="0"/>
    <n v="511889199.95999998"/>
    <n v="100"/>
    <n v="306656941.60000002"/>
    <n v="59.91"/>
    <n v="0"/>
    <n v="0"/>
  </r>
  <r>
    <n v="2022"/>
    <n v="100"/>
    <x v="13"/>
    <s v="SECRETARIA GENERAL"/>
    <s v="05 SECRETARIA GENERAL"/>
    <n v="2021130010174"/>
    <s v="07. PILAR CARTAGENA RESILIENTE"/>
    <s v="7.6 LÍNEA ESTRATÉGICA SERVICIOS PÚBLICOS BÁSICOS DEL DISTRITO DE CARTAGENA DE INDIAS: “TODOS CON TODO”"/>
    <s v="7.6.5 CEMENTERIOS"/>
    <s v="2,3,4599,1000,2021130010174"/>
    <s v="001"/>
    <s v="1,2,1,0,00-001 - ICLD"/>
    <s v="INV"/>
    <s v="NO"/>
    <s v="ADMINISTRACION Y OPERACION DE LOS CEMENTERIOS PUBLICOS DISTRITALES ? POR UNA CARTAGENA LIBRE Y RESILIENTE? CARTAGENA DE INDIAS"/>
    <s v="2021130010174 ADMINISTRACION Y OPERACION DE LOS CEMENTERIOS PUBLICOS DISTRITALES ? POR UNA CARTAGENA LIBRE Y RESILIENTE? CARTAGENA DE INDIAS"/>
    <s v="06"/>
    <s v="00"/>
    <n v="319471142"/>
    <n v="0"/>
    <n v="319471142"/>
    <n v="319471142"/>
    <n v="0"/>
    <n v="295348154.04000002"/>
    <n v="92.45"/>
    <n v="253351864.25999999"/>
    <n v="79.3"/>
    <n v="24122987.960000001"/>
    <n v="40595000"/>
  </r>
  <r>
    <n v="2022"/>
    <n v="100"/>
    <x v="19"/>
    <s v="DISTRISEGURIDAD"/>
    <s v="22 DISTRISEGURIDAD"/>
    <n v="2021130010176"/>
    <s v="10. PILAR: CARTAGENA TRANSPARENTE"/>
    <s v="10.3 LÍNEA ESTRATÉGICA: CONVIVENCIA Y SEGURIDAD PARA LA GOBERNABILIDAD"/>
    <s v="10.3.11 PROGRAMA: CONVIVENCIA PARA LA SEGURIDAD "/>
    <s v="2,3,4501,1000,2021130010176"/>
    <s v="001"/>
    <s v="1,2,1,0,00-001 - ICLD"/>
    <s v="INV"/>
    <s v="NO"/>
    <s v="CONSTRUCCION DE CONVIVENCIA PARA LA SEGURIDAD EN CARTAGENA DE INDIAS CARTAGENA DE INDIAS"/>
    <s v="2021130010176 CONSTRUCCION DE CONVIVENCIA PARA LA SEGURIDAD EN CARTAGENA DE INDIAS CARTAGENA DE INDIAS"/>
    <s v="06"/>
    <s v="00"/>
    <n v="300000000"/>
    <n v="0"/>
    <n v="300000000"/>
    <n v="300000000"/>
    <n v="0"/>
    <n v="300000000"/>
    <n v="100"/>
    <n v="300000000"/>
    <n v="100"/>
    <n v="0"/>
    <n v="300000000"/>
  </r>
  <r>
    <n v="2022"/>
    <n v="100"/>
    <x v="15"/>
    <s v="SECRETARIA DE PLANEACION"/>
    <s v="09 SECRETARIA DE PLANEACION"/>
    <n v="2021130010177"/>
    <s v="10. PILAR: CARTAGENA TRANSPARENTE"/>
    <s v="10.7 LÍNEA ESTRATÉGICA: PARTICIPACIÓN Y DESCENTRALIZACIÓN"/>
    <s v="10.7.3 PROGRAMA: POLÍTICAS PÚBLICAS INTERSECTORIALES Y CON VISIÓN INTEGRAL DE ENFOQUES BASADOS EN DERECHOS HUMANOS "/>
    <s v="2,3,4599,1000,2021130010177"/>
    <s v="921"/>
    <s v="1,3,3,8,03-93-075 R,B, SGP-PROPOSITO GENERAL-PROPOSITO GENERAL LIBRE INVERSION"/>
    <s v="INV"/>
    <s v="NO"/>
    <s v="ASISTENCIA TECNICA AL DISE?O DE POLITICAS PUBLICAS INTERSECTORIALES Y CON VISION INTEGRAL DE ENFOQUES BASADOS EN DERECHOS HUMANOS EN EL DISTRITO DE CARTAGENA DE INDIAS"/>
    <s v="2021130010177 ASISTENCIA TECNICA AL DISE?O DE POLITICAS PUBLICAS INTERSECTORIALES Y CON VISION INTEGRAL DE ENFOQUES BASADOS EN DERECHOS HUMANOS EN EL DISTRITO DE CARTAGENA DE INDIAS"/>
    <s v="06"/>
    <s v="00"/>
    <n v="0"/>
    <n v="59238247"/>
    <n v="59238247"/>
    <n v="59238247"/>
    <n v="0"/>
    <n v="59238247"/>
    <n v="100"/>
    <n v="0"/>
    <n v="0"/>
    <n v="0"/>
    <n v="0"/>
  </r>
  <r>
    <n v="2022"/>
    <n v="100"/>
    <x v="15"/>
    <s v="SECRETARIA DE PLANEACION"/>
    <s v="09 SECRETARIA DE PLANEACION"/>
    <n v="2021130010177"/>
    <s v="10. PILAR: CARTAGENA TRANSPARENTE"/>
    <s v="10.7 LÍNEA ESTRATÉGICA: PARTICIPACIÓN Y DESCENTRALIZACIÓN"/>
    <s v="10.7.3 PROGRAMA: POLÍTICAS PÚBLICAS INTERSECTORIALES Y CON VISIÓN INTEGRAL DE ENFOQUES BASADOS EN DERECHOS HUMANOS "/>
    <s v="2,3,4599,1000,2021130010177"/>
    <s v="816"/>
    <s v="1,3,3,11,03-95-138 R,B, DIVIDENDOS SOCIEDAD PORTUARIA"/>
    <s v="INV"/>
    <s v="NO"/>
    <s v="ASISTENCIA TECNICA AL DISE?O DE POLITICAS PUBLICAS INTERSECTORIALES Y CON VISION INTEGRAL DE ENFOQUES BASADOS EN DERECHOS HUMANOS EN EL DISTRITO DE CARTAGENA DE INDIAS"/>
    <s v="2021130010177 ASISTENCIA TECNICA AL DISE?O DE POLITICAS PUBLICAS INTERSECTORIALES Y CON VISION INTEGRAL DE ENFOQUES BASADOS EN DERECHOS HUMANOS EN EL DISTRITO DE CARTAGENA DE INDIAS"/>
    <s v="06"/>
    <s v="00"/>
    <n v="0"/>
    <n v="142300379"/>
    <n v="142300379"/>
    <n v="142300379"/>
    <n v="0"/>
    <n v="142300379"/>
    <n v="100"/>
    <n v="0"/>
    <n v="0"/>
    <n v="0"/>
    <n v="0"/>
  </r>
  <r>
    <n v="2022"/>
    <n v="100"/>
    <x v="15"/>
    <s v="SECRETARIA DE PLANEACION"/>
    <s v="09 SECRETARIA DE PLANEACION"/>
    <n v="2021130010177"/>
    <s v="10. PILAR: CARTAGENA TRANSPARENTE"/>
    <s v="10.7 LÍNEA ESTRATÉGICA: PARTICIPACIÓN Y DESCENTRALIZACIÓN"/>
    <s v="10.7.3 PROGRAMA: POLÍTICAS PÚBLICAS INTERSECTORIALES Y CON VISIÓN INTEGRAL DE ENFOQUES BASADOS EN DERECHOS HUMANOS "/>
    <s v="2,3,4599,1000,2021130010177"/>
    <s v="850"/>
    <s v="1,3,3,3,17-93-124 RB IMPUESTO DE TRANSPORTE POR OLEODUCTOS Y GASODUCTOS"/>
    <s v="INV"/>
    <s v="NO"/>
    <s v="ASISTENCIA TECNICA AL DISE?O DE POLITICAS PUBLICAS INTERSECTORIALES Y CON VISION INTEGRAL DE ENFOQUES BASADOS EN DERECHOS HUMANOS EN EL DISTRITO DE CARTAGENA DE INDIAS"/>
    <s v="2021130010177 ASISTENCIA TECNICA AL DISE?O DE POLITICAS PUBLICAS INTERSECTORIALES Y CON VISION INTEGRAL DE ENFOQUES BASADOS EN DERECHOS HUMANOS EN EL DISTRITO DE CARTAGENA DE INDIAS"/>
    <s v="06"/>
    <s v="00"/>
    <n v="0"/>
    <n v="41701028"/>
    <n v="41701028"/>
    <n v="41701028"/>
    <n v="0"/>
    <n v="41701028"/>
    <n v="100"/>
    <n v="0"/>
    <n v="0"/>
    <n v="0"/>
    <n v="0"/>
  </r>
  <r>
    <n v="2022"/>
    <n v="100"/>
    <x v="15"/>
    <s v="SECRETARIA DE PLANEACION"/>
    <s v="09 SECRETARIA DE PLANEACION"/>
    <n v="2021130010177"/>
    <s v="10. PILAR: CARTAGENA TRANSPARENTE"/>
    <s v="10.7 LÍNEA ESTRATÉGICA: PARTICIPACIÓN Y DESCENTRALIZACIÓN"/>
    <s v="10.7.3 PROGRAMA: POLÍTICAS PÚBLICAS INTERSECTORIALES Y CON VISIÓN INTEGRAL DE ENFOQUES BASADOS EN DERECHOS HUMANOS "/>
    <s v="2,3,4599,1000,2021130010177"/>
    <s v="851"/>
    <s v="1,3,3,3,17-93-126 RB IMPUESTO DE TRANSPORTE POR OLEODUCTOS Y GASODUCTOS"/>
    <s v="INV"/>
    <s v="NO"/>
    <s v="ASISTENCIA TECNICA AL DISE?O DE POLITICAS PUBLICAS INTERSECTORIALES Y CON VISION INTEGRAL DE ENFOQUES BASADOS EN DERECHOS HUMANOS EN EL DISTRITO DE CARTAGENA DE INDIAS"/>
    <s v="2021130010177 ASISTENCIA TECNICA AL DISE?O DE POLITICAS PUBLICAS INTERSECTORIALES Y CON VISION INTEGRAL DE ENFOQUES BASADOS EN DERECHOS HUMANOS EN EL DISTRITO DE CARTAGENA DE INDIAS"/>
    <s v="06"/>
    <s v="00"/>
    <n v="0"/>
    <n v="79398870"/>
    <n v="79398870"/>
    <n v="9398870"/>
    <n v="70000000"/>
    <n v="9398870"/>
    <n v="11.84"/>
    <n v="0"/>
    <n v="0"/>
    <n v="70000000"/>
    <n v="0"/>
  </r>
  <r>
    <n v="2022"/>
    <n v="100"/>
    <x v="15"/>
    <s v="SECRETARIA DE PLANEACION"/>
    <s v="09 SECRETARIA DE PLANEACION"/>
    <n v="2021130010177"/>
    <s v="10. PILAR: CARTAGENA TRANSPARENTE"/>
    <s v="10.7 LÍNEA ESTRATÉGICA: PARTICIPACIÓN Y DESCENTRALIZACIÓN"/>
    <s v="10.7.3 PROGRAMA: POLÍTICAS PÚBLICAS INTERSECTORIALES Y CON VISIÓN INTEGRAL DE ENFOQUES BASADOS EN DERECHOS HUMANOS "/>
    <s v="2,3,4599,1000,2021130010177"/>
    <s v="922"/>
    <s v="1,3,3,8,03-95-070 R,B, SGP-PROPOSITO GENERAL-PROPOSITO GENERAL LIBRE INVERSION"/>
    <s v="INV"/>
    <s v="NO"/>
    <s v="ASISTENCIA TECNICA AL DISE?O DE POLITICAS PUBLICAS INTERSECTORIALES Y CON VISION INTEGRAL DE ENFOQUES BASADOS EN DERECHOS HUMANOS EN EL DISTRITO DE CARTAGENA DE INDIAS"/>
    <s v="2021130010177 ASISTENCIA TECNICA AL DISE?O DE POLITICAS PUBLICAS INTERSECTORIALES Y CON VISION INTEGRAL DE ENFOQUES BASADOS EN DERECHOS HUMANOS EN EL DISTRITO DE CARTAGENA DE INDIAS"/>
    <s v="06"/>
    <s v="00"/>
    <n v="0"/>
    <n v="677361476"/>
    <n v="677361476"/>
    <n v="677361476"/>
    <n v="0"/>
    <n v="677361476"/>
    <n v="100"/>
    <n v="0"/>
    <n v="0"/>
    <n v="0"/>
    <n v="0"/>
  </r>
  <r>
    <n v="2022"/>
    <n v="100"/>
    <x v="15"/>
    <s v="SECRETARIA DE PLANEACION"/>
    <s v="09 SECRETARIA DE PLANEACION"/>
    <n v="2021130010177"/>
    <s v="10. PILAR: CARTAGENA TRANSPARENTE"/>
    <s v="10.7 LÍNEA ESTRATÉGICA: PARTICIPACIÓN Y DESCENTRALIZACIÓN"/>
    <s v="10.7.3 PROGRAMA: POLÍTICAS PÚBLICAS INTERSECTORIALES Y CON VISIÓN INTEGRAL DE ENFOQUES BASADOS EN DERECHOS HUMANOS "/>
    <s v="2,3,4599,1000,2021130010177"/>
    <s v="001"/>
    <s v="1,2,1,0,00-001 - ICLD"/>
    <s v="INV"/>
    <s v="NO"/>
    <s v="ASISTENCIA TECNICA AL DISE?O DE POLITICAS PUBLICAS INTERSECTORIALES Y CON VISION INTEGRAL DE ENFOQUES BASADOS EN DERECHOS HUMANOS EN EL DISTRITO DE  CARTAGENA DE INDIAS"/>
    <s v="2021130010177 ASISTENCIA TECNICA AL DISE?O DE POLITICAS PUBLICAS INTERSECTORIALES Y CON VISION INTEGRAL DE ENFOQUES BASADOS EN DERECHOS HUMANOS EN EL DISTRITO DE  CARTAGENA DE INDIAS"/>
    <s v="06"/>
    <s v="00"/>
    <n v="88000000"/>
    <n v="0"/>
    <n v="88000000"/>
    <n v="85200000"/>
    <n v="2800000"/>
    <n v="67200000"/>
    <n v="76.36"/>
    <n v="67200000"/>
    <n v="76.36"/>
    <n v="20800000"/>
    <n v="67200000"/>
  </r>
  <r>
    <n v="2022"/>
    <n v="100"/>
    <x v="13"/>
    <s v="SECRETARIA GENERAL"/>
    <s v="05 SECRETARIA GENERAL"/>
    <n v="2021130010178"/>
    <s v="10. PILAR: CARTAGENA TRANSPARENTE"/>
    <s v="10.1 LÍNEA ESTRATÉGICA GESTIÓN Y DESEMPEÑO INSTITUCIONAL PARA LA GOBERNANZA"/>
    <s v="10.1.1 PROGRAMA: GESTIÓN PÚBLICA INTEGRADA Y TRANSPARENTE"/>
    <s v="2,3,4599,1000,2021130010178"/>
    <s v="001"/>
    <s v="1,2,1,0,00-001 - ICLD"/>
    <s v="INV"/>
    <s v="NO"/>
    <s v="GESTION DOCUMENTAL, MEDIANTE EL AVANCE EN LA IMPLEMENTACION DEL PLAN INSTITUCIONAL DE ARCHIVO-PINAR, PARA AUMENTAR LA EFICIENCIA Y EFICACIA EN LOS PROCESOS DOCUMENTALES"/>
    <s v="2021130010178 GESTION DOCUMENTAL, MEDIANTE EL AVANCE EN LA IMPLEMENTACION DEL PLAN INSTITUCIONAL DE ARCHIVO-PINAR, PARA AUMENTAR LA EFICIENCIA Y EFICACIA EN LOS PROCESOS DOCUMENTALES"/>
    <s v="06"/>
    <s v="00"/>
    <n v="8000000000"/>
    <n v="-231500000"/>
    <n v="7768500000"/>
    <n v="7768500000"/>
    <n v="0"/>
    <n v="7707652960"/>
    <n v="99.22"/>
    <n v="722352960"/>
    <n v="9.3000000000000007"/>
    <n v="60847040"/>
    <n v="642852960"/>
  </r>
  <r>
    <n v="2022"/>
    <n v="100"/>
    <x v="15"/>
    <s v="SECRETARIA DE PLANEACION"/>
    <s v="09 SECRETARIA DE PLANEACION"/>
    <n v="2021130010179"/>
    <s v="08. PILAR CARTAGENA INCLUYENTE"/>
    <s v="8.6 LÍNEA ESTRATÉGICA PLANEACIÓN SOCIAL DEL TERRITORIO"/>
    <s v="8.6.1 PROGRAMA: INSTRUMENTOS DE PLANIFICACIÓN SOCIAL DEL TERRITORIO"/>
    <s v="2,3,0401,1003,2021130010179"/>
    <s v="857"/>
    <s v="1,3,3,4,03-93-006 R,B, OTRAS CONTRIBUCIONES - ESTRATIFICACION"/>
    <s v="INV"/>
    <s v="NO"/>
    <s v="FORTALECIMIENTO DEL PROCESO DE ESTRATIFICACION SOCIOECONOMICA EN EL DISTRITO DE  CARTAGENA DE INDIAS"/>
    <s v="2021130010179 FORTALECIMIENTO DEL PROCESO DE ESTRATIFICACION SOCIOECONOMICA EN EL DISTRITO DE  CARTAGENA DE INDIAS"/>
    <s v="06"/>
    <s v="00"/>
    <n v="0"/>
    <n v="179783523.66"/>
    <n v="179783523.66"/>
    <n v="23358525"/>
    <n v="156424998.66"/>
    <n v="19621161"/>
    <n v="10.91"/>
    <n v="19621161"/>
    <n v="10.91"/>
    <n v="160162362.66"/>
    <n v="16818138"/>
  </r>
  <r>
    <n v="2022"/>
    <n v="100"/>
    <x v="15"/>
    <s v="SECRETARIA DE PLANEACION"/>
    <s v="09 SECRETARIA DE PLANEACION"/>
    <n v="2021130010179"/>
    <s v="08. PILAR CARTAGENA INCLUYENTE"/>
    <s v="8.6 LÍNEA ESTRATÉGICA PLANEACIÓN SOCIAL DEL TERRITORIO"/>
    <s v="8.6.1 PROGRAMA: INSTRUMENTOS DE PLANIFICACIÓN SOCIAL DEL TERRITORIO"/>
    <s v="2,3,0401,1003,2021130010179"/>
    <s v="173"/>
    <s v="1,3,2,1,02-173 - RF CONTRIBUCION ESTRATIFICACION"/>
    <s v="INV"/>
    <s v="NO"/>
    <s v="FORTALECIMIENTO DEL PROCESO DE ESTRATIFICACION SOCIOECONOMICA EN EL DISTRITO DE  CARTAGENA DE INDIAS"/>
    <s v="2021130010179 FORTALECIMIENTO DEL PROCESO DE ESTRATIFICACION SOCIOECONOMICA EN EL DISTRITO DE  CARTAGENA DE INDIAS"/>
    <s v="06"/>
    <s v="00"/>
    <n v="1"/>
    <n v="0"/>
    <n v="1"/>
    <n v="0"/>
    <n v="1"/>
    <n v="0"/>
    <n v="0"/>
    <n v="0"/>
    <n v="0"/>
    <n v="1"/>
    <n v="0"/>
  </r>
  <r>
    <n v="2022"/>
    <n v="100"/>
    <x v="15"/>
    <s v="SECRETARIA DE PLANEACION"/>
    <s v="09 SECRETARIA DE PLANEACION"/>
    <n v="2021130010179"/>
    <s v="08. PILAR CARTAGENA INCLUYENTE"/>
    <s v="8.6 LÍNEA ESTRATÉGICA PLANEACIÓN SOCIAL DEL TERRITORIO"/>
    <s v="8.6.1 PROGRAMA: INSTRUMENTOS DE PLANIFICACIÓN SOCIAL DEL TERRITORIO"/>
    <s v="2,3,0401,1003,2021130010179"/>
    <s v="006"/>
    <s v="1,2,3,2,02-006 - OTRAS CONTRIBUCIONES - ESTRATIFICACION"/>
    <s v="INV"/>
    <s v="NO"/>
    <s v="FORTALECIMIENTO DEL PROCESO DE ESTRATIFICACION SOCIOECONOMICA EN EL DISTRITO DE  CARTAGENA DE INDIAS"/>
    <s v="2021130010179 FORTALECIMIENTO DEL PROCESO DE ESTRATIFICACION SOCIOECONOMICA EN EL DISTRITO DE  CARTAGENA DE INDIAS"/>
    <s v="06"/>
    <s v="00"/>
    <n v="375966665"/>
    <n v="0"/>
    <n v="375966665"/>
    <n v="299452711.66000003"/>
    <n v="76513953.340000004"/>
    <n v="293798460.77999997"/>
    <n v="78.14"/>
    <n v="293735220.77999997"/>
    <n v="78.13"/>
    <n v="82168204.219999999"/>
    <n v="289935220.77999997"/>
  </r>
  <r>
    <n v="2022"/>
    <n v="100"/>
    <x v="15"/>
    <s v="SECRETARIA DE PLANEACION"/>
    <s v="09 SECRETARIA DE PLANEACION"/>
    <n v="2021130010179"/>
    <s v="08. PILAR CARTAGENA INCLUYENTE"/>
    <s v="8.6 LÍNEA ESTRATÉGICA PLANEACIÓN SOCIAL DEL TERRITORIO"/>
    <s v="8.6.1 PROGRAMA: INSTRUMENTOS DE PLANIFICACIÓN SOCIAL DEL TERRITORIO"/>
    <s v="2,3,0401,1003,2021130010179"/>
    <s v="001"/>
    <s v="1,2,1,0,00-001 - ICLD"/>
    <s v="INV"/>
    <s v="NO"/>
    <s v="FORTALECIMIENTO DEL PROCESO DE ESTRATIFICACION SOCIOECONOMICA EN EL DISTRITO DE  CARTAGENA DE INDIAS"/>
    <s v="2021130010179 FORTALECIMIENTO DEL PROCESO DE ESTRATIFICACION SOCIOECONOMICA EN EL DISTRITO DE  CARTAGENA DE INDIAS"/>
    <s v="06"/>
    <s v="00"/>
    <n v="76953334"/>
    <n v="0"/>
    <n v="76953334"/>
    <n v="56108231"/>
    <n v="20845103"/>
    <n v="56108231"/>
    <n v="72.91"/>
    <n v="56108231"/>
    <n v="72.91"/>
    <n v="20845103"/>
    <n v="56108231"/>
  </r>
  <r>
    <n v="2022"/>
    <n v="100"/>
    <x v="15"/>
    <s v="SECRETARIA DE PLANEACION"/>
    <s v="09 SECRETARIA DE PLANEACION"/>
    <n v="2021130010179"/>
    <s v="08. PILAR CARTAGENA INCLUYENTE"/>
    <s v="8.6 LÍNEA ESTRATÉGICA PLANEACIÓN SOCIAL DEL TERRITORIO"/>
    <s v="8.6.1 PROGRAMA: INSTRUMENTOS DE PLANIFICACIÓN SOCIAL DEL TERRITORIO"/>
    <s v="2,3,0401,1003,2021130010179"/>
    <s v="860"/>
    <s v="1,3,3,4,03-95-006 R,B, OTRAS CONTRIBUCIONES - ESTRATIFICACION"/>
    <s v="INV"/>
    <s v="NO"/>
    <s v="FORTALECIMIENTO DEL PROCESO DE ESTRATIFICACION SOCIOECONOMICA EN EL DISTRITO DE  CARTAGENA DE INDIAS"/>
    <s v="2021130010179 FORTALECIMIENTO DEL PROCESO DE ESTRATIFICACION SOCIOECONOMICA EN EL DISTRITO DE  CARTAGENA DE INDIAS"/>
    <s v="06"/>
    <s v="00"/>
    <n v="0"/>
    <n v="258882259.99000001"/>
    <n v="258882259.99000001"/>
    <n v="0"/>
    <n v="258882259.99000001"/>
    <n v="0"/>
    <n v="0"/>
    <n v="0"/>
    <n v="0"/>
    <n v="258882259.99000001"/>
    <n v="0"/>
  </r>
  <r>
    <n v="2022"/>
    <n v="100"/>
    <x v="19"/>
    <s v="DISTRISEGURIDAD"/>
    <s v="22 DISTRISEGURIDAD"/>
    <n v="2021130010180"/>
    <s v="10. PILAR: CARTAGENA TRANSPARENTE"/>
    <s v="10.3 LÍNEA ESTRATÉGICA: CONVIVENCIA Y SEGURIDAD PARA LA GOBERNABILIDAD"/>
    <s v="10.3.8 PROGRAMA: IMPLEMENTACION Y SOSTENIMIENTO DE HERRAMIENTAS TECNOLOGICAS PARA SEGURIDAD Y SOCORRO."/>
    <s v="2,3,4501,1000,2021130010180"/>
    <s v="939"/>
    <s v="1,3,1,1,02-01 - EXCEDENTES DISTRISEGURIDAD"/>
    <s v="INV"/>
    <s v="NO"/>
    <s v="IMPLEMENTACION Y SOSTENIMIENTO DE HERRAMIENTAS TECCNOLOGICAS PARA SEGURIDAD Y SOCORRO EN CARTAGENA DE INDIAS"/>
    <s v="2021130010180 IMPLEMENTACION Y SOSTENIMIENTO DE HERRAMIENTAS TECCNOLOGICAS PARA SEGURIDAD Y SOCORRO EN CARTAGENA DE INDIAS"/>
    <s v="06"/>
    <s v="00"/>
    <n v="0"/>
    <n v="1765904776"/>
    <n v="1765904776"/>
    <n v="0"/>
    <n v="1765904776"/>
    <n v="0"/>
    <n v="0"/>
    <n v="0"/>
    <n v="0"/>
    <n v="1765904776"/>
    <n v="0"/>
  </r>
  <r>
    <n v="2022"/>
    <n v="100"/>
    <x v="19"/>
    <s v="DISTRISEGURIDAD"/>
    <s v="22 DISTRISEGURIDAD"/>
    <n v="2021130010180"/>
    <s v="10. PILAR: CARTAGENA TRANSPARENTE"/>
    <s v="10.3 LÍNEA ESTRATÉGICA: CONVIVENCIA Y SEGURIDAD PARA LA GOBERNABILIDAD"/>
    <s v="10.3.8 PROGRAMA: IMPLEMENTACION Y SOSTENIMIENTO DE HERRAMIENTAS TECNOLOGICAS PARA SEGURIDAD Y SOCORRO."/>
    <s v="2,3,4501,1000,2021130010180"/>
    <s v="085"/>
    <s v="1,2,2,0,00-085 - ICDE DISTRISEGURIDAD 10% DELINEACION URBANA"/>
    <s v="INV"/>
    <s v="NO"/>
    <s v="IMPLEMENTACION Y SOSTENIMIENTO DE HERRAMIENTAS TECNOLOGICAS PARA LA SEGURIDAD Y SOCORRO EN"/>
    <s v="2021130010180 IMPLEMENTACION Y SOSTENIMIENTO DE HERRAMIENTAS TECNOLOGICAS PARA LA SEGURIDAD Y SOCORRO EN"/>
    <s v="06"/>
    <s v="00"/>
    <n v="305165968"/>
    <n v="0"/>
    <n v="305165968"/>
    <n v="305165968"/>
    <n v="0"/>
    <n v="305165968"/>
    <n v="100"/>
    <n v="305165968"/>
    <n v="100"/>
    <n v="0"/>
    <n v="305165968"/>
  </r>
  <r>
    <n v="2022"/>
    <n v="100"/>
    <x v="19"/>
    <s v="DISTRISEGURIDAD"/>
    <s v="22 DISTRISEGURIDAD"/>
    <n v="2021130010180"/>
    <s v="10. PILAR: CARTAGENA TRANSPARENTE"/>
    <s v="10.3 LÍNEA ESTRATÉGICA: CONVIVENCIA Y SEGURIDAD PARA LA GOBERNABILIDAD"/>
    <s v="10.3.8 PROGRAMA: IMPLEMENTACION Y SOSTENIMIENTO DE HERRAMIENTAS TECNOLOGICAS PARA SEGURIDAD Y SOCORRO."/>
    <s v="2,3,4501,1000,2021130010180"/>
    <s v="084"/>
    <s v="1,3,2,3,05-084 - OTROS RENDIMIENTOS FINANCIEROS DISTRISEGURIDAD"/>
    <s v="INV"/>
    <s v="NO"/>
    <s v="IMPLEMENTACION Y SOSTENIMIENTO DE HERRAMIENTAS TECNOLOGICAS PARA LA SEGURIDAD Y SOCORRO EN"/>
    <s v="2021130010180 IMPLEMENTACION Y SOSTENIMIENTO DE HERRAMIENTAS TECNOLOGICAS PARA LA SEGURIDAD Y SOCORRO EN"/>
    <s v="06"/>
    <s v="00"/>
    <n v="1307002"/>
    <n v="0"/>
    <n v="1307002"/>
    <n v="0"/>
    <n v="1307002"/>
    <n v="0"/>
    <n v="0"/>
    <n v="0"/>
    <n v="0"/>
    <n v="1307002"/>
    <n v="0"/>
  </r>
  <r>
    <n v="2022"/>
    <n v="100"/>
    <x v="19"/>
    <s v="DISTRISEGURIDAD"/>
    <s v="22 DISTRISEGURIDAD"/>
    <n v="2021130010180"/>
    <s v="10. PILAR: CARTAGENA TRANSPARENTE"/>
    <s v="10.3 LÍNEA ESTRATÉGICA: CONVIVENCIA Y SEGURIDAD PARA LA GOBERNABILIDAD"/>
    <s v="10.3.8 PROGRAMA: IMPLEMENTACION Y SOSTENIMIENTO DE HERRAMIENTAS TECNOLOGICAS PARA SEGURIDAD Y SOCORRO."/>
    <s v="2,3,4501,1000,2021130010180"/>
    <s v="051"/>
    <s v="1,2,2,0,00-051 - ICDE DISTRISEGURIDAD 1% IPU"/>
    <s v="INV"/>
    <s v="NO"/>
    <s v="IMPLEMENTACION Y SOSTENIMIENTO DE HERRAMIENTAS TECNOLOGICAS PARA LA SEGURIDAD Y SOCORRO EN"/>
    <s v="2021130010180 IMPLEMENTACION Y SOSTENIMIENTO DE HERRAMIENTAS TECNOLOGICAS PARA LA SEGURIDAD Y SOCORRO EN"/>
    <s v="06"/>
    <s v="00"/>
    <n v="1722633834"/>
    <n v="0"/>
    <n v="1722633834"/>
    <n v="1695087552.96"/>
    <n v="27546281.039999999"/>
    <n v="1695087552.96"/>
    <n v="98.4"/>
    <n v="1695087552.96"/>
    <n v="98.4"/>
    <n v="27546281.039999999"/>
    <n v="1695087552.96"/>
  </r>
  <r>
    <n v="2022"/>
    <n v="100"/>
    <x v="19"/>
    <s v="DISTRISEGURIDAD"/>
    <s v="22 DISTRISEGURIDAD"/>
    <n v="2021130010180"/>
    <s v="10. PILAR: CARTAGENA TRANSPARENTE"/>
    <s v="10.3 LÍNEA ESTRATÉGICA: CONVIVENCIA Y SEGURIDAD PARA LA GOBERNABILIDAD"/>
    <s v="10.3.8 PROGRAMA: IMPLEMENTACION Y SOSTENIMIENTO DE HERRAMIENTAS TECNOLOGICAS PARA SEGURIDAD Y SOCORRO."/>
    <s v="2,3,4501,1000,2021130010180"/>
    <s v="037"/>
    <s v="1,3,2,3,05-037 - OTROS RENDIMIENTOS FINANCIEROS ICLD"/>
    <s v="INV"/>
    <s v="NO"/>
    <s v="IMPLEMENTACION Y SOSTENIMIENTO DE HERRAMIENTAS TECNOLOGICAS PARA LA SEGURIDAD Y SOCORRO EN"/>
    <s v="2021130010180 IMPLEMENTACION Y SOSTENIMIENTO DE HERRAMIENTAS TECNOLOGICAS PARA LA SEGURIDAD Y SOCORRO EN"/>
    <s v="06"/>
    <s v="00"/>
    <n v="500000000"/>
    <n v="0"/>
    <n v="500000000"/>
    <n v="500000000"/>
    <n v="0"/>
    <n v="500000000"/>
    <n v="100"/>
    <n v="500000000"/>
    <n v="100"/>
    <n v="0"/>
    <n v="500000000"/>
  </r>
  <r>
    <n v="2022"/>
    <n v="100"/>
    <x v="15"/>
    <s v="SECRETARIA DE PLANEACION"/>
    <s v="09 SECRETARIA DE PLANEACION"/>
    <n v="2021130010181"/>
    <s v="07. PILAR CARTAGENA RESILIENTE"/>
    <s v="7.7 LÍNEA ESTRATÉGICA INSTRUMENTOS DE ORDENAMIENTO TERRITORIAL."/>
    <s v="7.7.3 ORDENACIÓN TERRITORIAL Y  RECUPERACIÓN SOCIAL, AMBIENTAL Y URBANA DE LA CIÉNAGA DE LA VIRGEN."/>
    <s v="2,3,2410,0600,2021130010181"/>
    <s v="813"/>
    <s v="1,3,3,11,03-93-138 R,B, DIVIDENDOS SOCIEDAD PORTUARIA"/>
    <s v="INV"/>
    <s v="NO"/>
    <s v="ASISTENCIA TECNICA AL PROYECTO DE ELABORACION DE ESTUDIOS Y DISE?OS AJUSTADOS DE LA VIA PERIMETRAL EN EL MARCO DEL PROGRAMA ORDENACION TERRITORIAL RECUPERACION SOCIAL AMBIENTAL URBANA DE LA CIENAGA DE LA VIRGEN DISTRITO DE CARTAGENA DE INDIAS"/>
    <s v="2021130010181 ASISTENCIA TECNICA AL PROYECTO DE ELABORACION DE ESTUDIOS Y DISE?OS AJUSTADOS DE LA VIA PERIMETRAL EN EL MARCO DEL PROGRAMA ORDENACION TERRITORIAL RECUPERACION SOCIAL AMBIENTAL URBANA DE LA CIENAGA DE LA VIRGEN DISTRITO DE CARTAGENA DE INDIAS"/>
    <s v="06"/>
    <s v="00"/>
    <n v="0"/>
    <n v="0"/>
    <n v="0"/>
    <n v="0"/>
    <n v="0"/>
    <n v="0"/>
    <n v="0"/>
    <n v="0"/>
    <n v="0"/>
    <n v="0"/>
    <n v="0"/>
  </r>
  <r>
    <n v="2022"/>
    <n v="100"/>
    <x v="15"/>
    <s v="SECRETARIA DE PLANEACION"/>
    <s v="09 SECRETARIA DE PLANEACION"/>
    <n v="2021130010181"/>
    <s v="07. PILAR CARTAGENA RESILIENTE"/>
    <s v="7.7 LÍNEA ESTRATÉGICA INSTRUMENTOS DE ORDENAMIENTO TERRITORIAL."/>
    <s v="7.7.3 ORDENACIÓN TERRITORIAL Y  RECUPERACIÓN SOCIAL, AMBIENTAL Y URBANA DE LA CIÉNAGA DE LA VIRGEN."/>
    <s v="2,3,2410,0600,2021130010181"/>
    <s v="001"/>
    <s v="1,2,1,0,00-001 - ICLD"/>
    <s v="INV"/>
    <s v="NO"/>
    <s v="ASISTENCIA TECNICA AL PROYECTO DE ELABORACION DE ESTUDIOS Y DISE?OS AJUSTADOS DE LA VIA PERIMETRAL EN EL MARCO DEL PROGRAMA ORDENACION TERRITORIAL RECUPERACION SOCIAL AMBIENTAL URBANA DE LA CIENAGA DE LA VIRGEN DISTRITO DE CARTAGENA DE INDIAS"/>
    <s v="2021130010181 ASISTENCIA TECNICA AL PROYECTO DE ELABORACION DE ESTUDIOS Y DISE?OS AJUSTADOS DE LA VIA PERIMETRAL EN EL MARCO DEL PROGRAMA ORDENACION TERRITORIAL RECUPERACION SOCIAL AMBIENTAL URBANA DE LA CIENAGA DE LA VIRGEN DISTRITO DE CARTAGENA DE INDIAS"/>
    <s v="06"/>
    <s v="00"/>
    <n v="320100000"/>
    <n v="0"/>
    <n v="320100000"/>
    <n v="320100000"/>
    <n v="0"/>
    <n v="320100000"/>
    <n v="100"/>
    <n v="315700000"/>
    <n v="98.63"/>
    <n v="0"/>
    <n v="307700000"/>
  </r>
  <r>
    <n v="2022"/>
    <n v="100"/>
    <x v="9"/>
    <s v="SECRETARIA DE PARTICIPACION Y DESARROLLO SOCIAL"/>
    <s v="08 SECRETARIA DE PARTICIPACION Y DESARROLLO SOCIAL"/>
    <n v="2021130010182"/>
    <s v="07. PILAR CARTAGENA RESILIENTE"/>
    <s v="7.1 LÍNEA ESTRATÉGICA: “SALVEMOS JUNTOS NUESTRO PATRIMONIO NATURAL”"/>
    <s v="7.1.8 BIENESTAR Y PROTECCIÓN ANIMAL"/>
    <s v="2,3,4501,1000,2021130010182"/>
    <s v="001"/>
    <s v="1,2,1,0,00-001 - ICLD"/>
    <s v="INV"/>
    <s v="NO"/>
    <s v="SERVICIO DE ESTERILIZACION DE CANINOS Y FELINOS EN EL DISTRITO DE CARTAGENA-0 CARTAGENA DE INDIAS"/>
    <s v="2021130010182 SERVICIO DE ESTERILIZACION DE CANINOS Y FELINOS EN EL DISTRITO DE CARTAGENA-0 CARTAGENA DE INDIAS"/>
    <s v="06"/>
    <s v="00"/>
    <n v="105000000"/>
    <n v="0"/>
    <n v="105000000"/>
    <n v="104600000"/>
    <n v="400000"/>
    <n v="104231000"/>
    <n v="99.27"/>
    <n v="52045000"/>
    <n v="49.57"/>
    <n v="769000"/>
    <n v="52045000"/>
  </r>
  <r>
    <n v="2022"/>
    <n v="100"/>
    <x v="9"/>
    <s v="SECRETARIA DE PARTICIPACION Y DESARROLLO SOCIAL"/>
    <s v="08 SECRETARIA DE PARTICIPACION Y DESARROLLO SOCIAL"/>
    <n v="2021130010183"/>
    <s v="09. PILAR CARTAGENA CONTINGENTE"/>
    <s v="9.2 LÍNEA ESTRATÉGICA: COMPETITIVIDAD E INNOVACIÓN"/>
    <s v="9.2.3 PROGRAMA: CARTAGENA FOMENTA LA CIENCIA, TECNOLOGÍA E INNOVACIÓN : JUNTOS POR LA EXTENSIÓN AGROPECUARIA A PEQUEÑOS PRODUCTORES."/>
    <s v="2,3,1708,1100,2021130010183"/>
    <s v="001"/>
    <s v="1,2,1,0,00-001 - ICLD"/>
    <s v="INV"/>
    <s v="NO"/>
    <s v="PRESTACION DEL SERVICIO DE EXTENSION RURAL AGROPECUARIA A LOS PEQUE?OS PRODUCTORES ASENTADOS EN LA ZONA RURAL DEL DISTRITO DE CARTAGENA DE INDIAS "/>
    <s v="2021130010183 PRESTACION DEL SERVICIO DE EXTENSION RURAL AGROPECUARIA A LOS PEQUE?OS PRODUCTORES ASENTADOS EN LA ZONA RURAL DEL DISTRITO DE CARTAGENA DE INDIAS "/>
    <s v="06"/>
    <s v="00"/>
    <n v="247796854"/>
    <n v="0"/>
    <n v="247796854"/>
    <n v="243834692"/>
    <n v="3962162"/>
    <n v="204650875"/>
    <n v="82.59"/>
    <n v="204650875"/>
    <n v="82.59"/>
    <n v="43145979"/>
    <n v="204650875"/>
  </r>
  <r>
    <n v="2022"/>
    <n v="100"/>
    <x v="17"/>
    <s v="SECRETARIA DE INFRAESTRUCTURA"/>
    <s v="06 SECRETARIA DE INFRAESTRUCTURA"/>
    <n v="2021130010184"/>
    <s v="07. PILAR CARTAGENA RESILIENTE"/>
    <s v="7.3 LÍNEA ESTRATÉGICA DESARROLLO URBANO"/>
    <s v="7.3.5 INTEGRAL DE CAÑOS, LAGOS Y CIÉNAGAS DE CARTAGENA DE INDIAS"/>
    <s v="2,3,3204,0900,2021130010184"/>
    <s v="863"/>
    <s v="1,3,3,4,16-93-002 R,B, OTRAS TASAS Y DERECHOS ADMINISTRATIVOS SOBRETASA ALCANTARILLADO"/>
    <s v="INV"/>
    <s v="NO"/>
    <s v="RECUPERACION Y APROVECHAMIENTO INTEGRAL DEL SISTEMA INTEGRAL DE CA?OS, LAGOS Y CIENAGAS DEL DISTRITO DE CARTAGENA DE INDIAS "/>
    <s v="2021130010184 RECUPERACION Y APROVECHAMIENTO INTEGRAL DEL SISTEMA INTEGRAL DE CA?OS, LAGOS Y CIENAGAS DEL DISTRITO DE CARTAGENA DE INDIAS "/>
    <s v="06"/>
    <s v="00"/>
    <n v="0"/>
    <n v="797434.61"/>
    <n v="797434.61"/>
    <n v="797434"/>
    <n v="0.61"/>
    <n v="0"/>
    <n v="0"/>
    <n v="0"/>
    <n v="0"/>
    <n v="797434.61"/>
    <n v="0"/>
  </r>
  <r>
    <n v="2022"/>
    <n v="100"/>
    <x v="17"/>
    <s v="SECRETARIA DE INFRAESTRUCTURA"/>
    <s v="06 SECRETARIA DE INFRAESTRUCTURA"/>
    <n v="2021130010184"/>
    <s v="07. PILAR CARTAGENA RESILIENTE"/>
    <s v="7.3 LÍNEA ESTRATÉGICA DESARROLLO URBANO"/>
    <s v="7.3.5 INTEGRAL DE CAÑOS, LAGOS Y CIÉNAGAS DE CARTAGENA DE INDIAS"/>
    <s v="2,3,3204,0900,2021130010184"/>
    <s v="869"/>
    <s v="1,3,3,4,16-95-053 RB  OTRAS TASAS Y DERECHOS ADMINISTRATIVOS CONTRAPRESTACION PORTUARIA"/>
    <s v="INV"/>
    <s v="NO"/>
    <s v="RECUPERACION Y APROVECHAMIENTO INTEGRAL DEL SISTEMA INTEGRAL DE CA?OS, LAGOS Y CIENAGAS DEL DISTRITO DE CARTAGENA DE INDIAS"/>
    <s v="2021130010184 RECUPERACION Y APROVECHAMIENTO INTEGRAL DEL SISTEMA INTEGRAL DE CA?OS, LAGOS Y CIENAGAS DEL DISTRITO DE CARTAGENA DE INDIAS"/>
    <s v="06"/>
    <s v="00"/>
    <n v="0"/>
    <n v="644031299"/>
    <n v="644031299"/>
    <n v="644031299"/>
    <n v="0"/>
    <n v="0"/>
    <n v="0"/>
    <n v="0"/>
    <n v="0"/>
    <n v="644031299"/>
    <n v="0"/>
  </r>
  <r>
    <n v="2022"/>
    <n v="100"/>
    <x v="17"/>
    <s v="SECRETARIA DE INFRAESTRUCTURA"/>
    <s v="06 SECRETARIA DE INFRAESTRUCTURA"/>
    <n v="2021130010184"/>
    <s v="07. PILAR CARTAGENA RESILIENTE"/>
    <s v="7.3 LÍNEA ESTRATÉGICA DESARROLLO URBANO"/>
    <s v="7.3.5 INTEGRAL DE CAÑOS, LAGOS Y CIÉNAGAS DE CARTAGENA DE INDIAS"/>
    <s v="2,3,3204,0900,2021130010184"/>
    <s v="814"/>
    <s v="1,3,3,11,03-95-062 - RB DIVIDENDOS ACUACAR"/>
    <s v="INV"/>
    <s v="NO"/>
    <s v="RECUPERACION Y APROVECHAMIENTO INTEGRAL DEL SISTEMA INTEGRAL DE CA?OS, LAGOS Y CIENAGAS DEL DISTRITO DE CARTAGENA DE INDIAS "/>
    <s v="2021130010184 RECUPERACION Y APROVECHAMIENTO INTEGRAL DEL SISTEMA INTEGRAL DE CA?OS, LAGOS Y CIENAGAS DEL DISTRITO DE CARTAGENA DE INDIAS "/>
    <s v="06"/>
    <s v="00"/>
    <n v="0"/>
    <n v="567844209"/>
    <n v="567844209"/>
    <n v="567844209"/>
    <n v="0"/>
    <n v="0"/>
    <n v="0"/>
    <n v="0"/>
    <n v="0"/>
    <n v="567844209"/>
    <n v="0"/>
  </r>
  <r>
    <n v="2022"/>
    <n v="100"/>
    <x v="17"/>
    <s v="SECRETARIA DE INFRAESTRUCTURA"/>
    <s v="06 SECRETARIA DE INFRAESTRUCTURA"/>
    <n v="2021130010184"/>
    <s v="07. PILAR CARTAGENA RESILIENTE"/>
    <s v="7.3 LÍNEA ESTRATÉGICA DESARROLLO URBANO"/>
    <s v="7.3.5 INTEGRAL DE CAÑOS, LAGOS Y CIÉNAGAS DE CARTAGENA DE INDIAS"/>
    <s v="2,3,3204,0900,2021130010184"/>
    <s v="818"/>
    <s v="1,3,3,11,05-91-018 R,B, RECURSOS DE CREDITO INTERNO"/>
    <s v="INV"/>
    <s v="NO"/>
    <s v="RECUPERACION Y APROVECHAMIENTO INTEGRAL DEL SISTEMA INTEGRAL DE CA?OS, LAGOS Y CIENAGAS DEL DISTRITO DE CARTAGENA DE INDIAS "/>
    <s v="2021130010184 RECUPERACION Y APROVECHAMIENTO INTEGRAL DEL SISTEMA INTEGRAL DE CA?OS, LAGOS Y CIENAGAS DEL DISTRITO DE CARTAGENA DE INDIAS "/>
    <s v="06"/>
    <s v="00"/>
    <n v="0"/>
    <n v="14999983683"/>
    <n v="14999983683"/>
    <n v="14999983683"/>
    <n v="0"/>
    <n v="14999983683"/>
    <n v="100"/>
    <n v="9918779967"/>
    <n v="66.13"/>
    <n v="0"/>
    <n v="9918779967"/>
  </r>
  <r>
    <n v="2022"/>
    <n v="100"/>
    <x v="17"/>
    <s v="SECRETARIA DE INFRAESTRUCTURA"/>
    <s v="06 SECRETARIA DE INFRAESTRUCTURA"/>
    <n v="2021130010184"/>
    <s v="07. PILAR CARTAGENA RESILIENTE"/>
    <s v="7.3 LÍNEA ESTRATÉGICA DESARROLLO URBANO"/>
    <s v="7.3.5 INTEGRAL DE CAÑOS, LAGOS Y CIÉNAGAS DE CARTAGENA DE INDIAS"/>
    <s v="2,3,3204,0900,2021130010184"/>
    <s v="138"/>
    <s v="1,3,1,1,03-138 - DIVIDENDOS SOCIEDAD PORTUARIA"/>
    <s v="INV"/>
    <s v="NO"/>
    <s v="RECUPERACION Y APROVECHAMIENTO INTEGRAL DEL SISTEMA INTEGRAL DE CA?OS, LAGOS Y CIENAGAS DEL DISTRITO DE CARTAGENA DE INDIAS "/>
    <s v="2021130010184 RECUPERACION Y APROVECHAMIENTO INTEGRAL DEL SISTEMA INTEGRAL DE CA?OS, LAGOS Y CIENAGAS DEL DISTRITO DE CARTAGENA DE INDIAS "/>
    <s v="06"/>
    <s v="00"/>
    <n v="1000000000"/>
    <n v="-400000000"/>
    <n v="600000000"/>
    <n v="600000000"/>
    <n v="0"/>
    <n v="932158"/>
    <n v="0.16"/>
    <n v="932158"/>
    <n v="0.16"/>
    <n v="599067842"/>
    <n v="932158"/>
  </r>
  <r>
    <n v="2022"/>
    <n v="100"/>
    <x v="17"/>
    <s v="SECRETARIA DE INFRAESTRUCTURA"/>
    <s v="06 SECRETARIA DE INFRAESTRUCTURA"/>
    <n v="2021130010184"/>
    <s v="07. PILAR CARTAGENA RESILIENTE"/>
    <s v="7.3 LÍNEA ESTRATÉGICA DESARROLLO URBANO"/>
    <s v="7.3.5 INTEGRAL DE CAÑOS, LAGOS Y CIÉNAGAS DE CARTAGENA DE INDIAS"/>
    <s v="2,3,3204,0900,2021130010184"/>
    <s v="001"/>
    <s v="1,2,1,0,00-001 - ICLD"/>
    <s v="INV"/>
    <s v="NO"/>
    <s v="RECUPERACION Y APROVECHAMIENTO INTEGRAL DEL SISTEMA INTEGRAL DE CA?OS, LAGOS Y CIENAGAS DEL DISTRITO DE CARTAGENA DE INDIAS "/>
    <s v="2021130010184 RECUPERACION Y APROVECHAMIENTO INTEGRAL DEL SISTEMA INTEGRAL DE CA?OS, LAGOS Y CIENAGAS DEL DISTRITO DE CARTAGENA DE INDIAS "/>
    <s v="06"/>
    <s v="00"/>
    <n v="1000000000"/>
    <n v="171652768"/>
    <n v="1171652768"/>
    <n v="1171652767.3399999"/>
    <n v="0.66"/>
    <n v="863252936.00999999"/>
    <n v="73.680000000000007"/>
    <n v="519237074.00999999"/>
    <n v="44.32"/>
    <n v="308399831.99000001"/>
    <n v="511287074.00999999"/>
  </r>
  <r>
    <n v="2022"/>
    <n v="100"/>
    <x v="17"/>
    <s v="SECRETARIA DE INFRAESTRUCTURA"/>
    <s v="06 SECRETARIA DE INFRAESTRUCTURA"/>
    <n v="2021130010184"/>
    <s v="07. PILAR CARTAGENA RESILIENTE"/>
    <s v="7.3 LÍNEA ESTRATÉGICA DESARROLLO URBANO"/>
    <s v="7.3.5 INTEGRAL DE CAÑOS, LAGOS Y CIÉNAGAS DE CARTAGENA DE INDIAS"/>
    <s v="2,3,3204,0900,2021130010184"/>
    <s v="867"/>
    <s v="1,3,3,4,16-95-002 R,B, OTRAS TASAS Y DERECHOS ADMINISTRATIVOS SOBRETASA ALCANTARILLADO"/>
    <s v="INV"/>
    <s v="NO"/>
    <s v="RECUPERACION Y APROVECHAMIENTO INTEGRAL DEL SISTEMA INTEGRAL DE CA?OS, LAGOS Y CIENAGAS DEL DISTRITO DE CARTAGENA DE INDIAS "/>
    <s v="2021130010184 RECUPERACION Y APROVECHAMIENTO INTEGRAL DEL SISTEMA INTEGRAL DE CA?OS, LAGOS Y CIENAGAS DEL DISTRITO DE CARTAGENA DE INDIAS "/>
    <s v="06"/>
    <s v="00"/>
    <n v="0"/>
    <n v="106911"/>
    <n v="106911"/>
    <n v="106911"/>
    <n v="0"/>
    <n v="0"/>
    <n v="0"/>
    <n v="0"/>
    <n v="0"/>
    <n v="106911"/>
    <n v="0"/>
  </r>
  <r>
    <n v="2022"/>
    <n v="100"/>
    <x v="9"/>
    <s v="SECRETARIA DE PARTICIPACION Y DESARROLLO SOCIAL"/>
    <s v="08 SECRETARIA DE PARTICIPACION Y DESARROLLO SOCIAL"/>
    <n v="2021130010185"/>
    <s v="07. PILAR CARTAGENA RESILIENTE"/>
    <s v="7.1 LÍNEA ESTRATÉGICA: “SALVEMOS JUNTOS NUESTRO PATRIMONIO NATURAL”"/>
    <s v="7.1.8 BIENESTAR Y PROTECCIÓN ANIMAL"/>
    <s v="2,3,4501,1000,2021130010185"/>
    <s v="001"/>
    <s v="1,2,1,0,00-001 - ICLD"/>
    <s v="INV"/>
    <s v="NO"/>
    <s v="IMPLEMENTACION PROYECTO DE ATENCION Y PROTECCION ANIMAL - VEHICULOS DE TRACCION ANIMAL CARTAGENA DE INDIAS"/>
    <s v="2021130010185 IMPLEMENTACION PROYECTO DE ATENCION Y PROTECCION ANIMAL - VEHICULOS DE TRACCION ANIMAL CARTAGENA DE INDIAS"/>
    <s v="06"/>
    <s v="00"/>
    <n v="350000000"/>
    <n v="0"/>
    <n v="350000000"/>
    <n v="349790107"/>
    <n v="209893"/>
    <n v="342758966.19"/>
    <n v="97.93"/>
    <n v="246495149.19"/>
    <n v="70.430000000000007"/>
    <n v="7241033.8099999996"/>
    <n v="205245149.19"/>
  </r>
  <r>
    <n v="2022"/>
    <n v="100"/>
    <x v="9"/>
    <s v="SECRETARIA DE PARTICIPACION Y DESARROLLO SOCIAL"/>
    <s v="08 SECRETARIA DE PARTICIPACION Y DESARROLLO SOCIAL"/>
    <n v="2021130010186"/>
    <s v="09. PILAR CARTAGENA CONTINGENTE"/>
    <s v="9.1 LÍNEA ESTRATÉGICA: DESARROLLO ECONÓMICO Y EMPLEABILIDAD"/>
    <s v="9.1.10 PROGRAMA: CARTAGENA EMPRENDEDORA PARA PEQUEÑOS PRODUCTORES RURALES"/>
    <s v="2,3,1702,1100,2021130010186"/>
    <s v="001"/>
    <s v="1,2,1,0,00-001 - ICLD"/>
    <s v="INV"/>
    <s v="NO"/>
    <s v="ASISTENCIA CARTAGENA EMPRENDEDORA PARA PEQUE?OS PRODUCTORES RURALES CARTAGENA DE INDIAS"/>
    <s v="2021130010186 ASISTENCIA CARTAGENA EMPRENDEDORA PARA PEQUE?OS PRODUCTORES RURALES CARTAGENA DE INDIAS"/>
    <s v="06"/>
    <s v="00"/>
    <n v="95000000"/>
    <n v="0"/>
    <n v="95000000"/>
    <n v="90000000"/>
    <n v="5000000"/>
    <n v="87500000"/>
    <n v="92.11"/>
    <n v="15000000"/>
    <n v="15.79"/>
    <n v="7500000"/>
    <n v="15000000"/>
  </r>
  <r>
    <n v="2022"/>
    <n v="100"/>
    <x v="9"/>
    <s v="SECRETARIA DE PARTICIPACION Y DESARROLLO SOCIAL"/>
    <s v="08 SECRETARIA DE PARTICIPACION Y DESARROLLO SOCIAL"/>
    <n v="2021130010187"/>
    <s v="11. EJE TRANSVERSAL: CARTAGENA CON ATENCION Y GARANTIA DE DERECHOS A POBLACION DIFERENCIAL."/>
    <s v="11.1 LÍNEA ESTRATÉGICA PARA LA EQUIDAD E INCLUSIÓN DE LOS NEGROS, AFROS, PALENQUEROS E INDÍGENA."/>
    <s v="11.1.2 FORTALECIMIENTO E INCLUSIÓN PRODUCTIVA PARA POBLACIÓN NEGRA, AFROCOLOMBIANA, RAIZAL Y PALENQUERA EN EL DISTRITO DE CARTAGENA"/>
    <s v="2,3,1702,1100,2021130010187"/>
    <s v="001"/>
    <s v="1,2,1,0,00-001 - ICLD"/>
    <s v="INV"/>
    <s v="NO"/>
    <s v="FORTALECIMIENTO DOTACION Y CAPACITACION A ORGANIZADORES DE PESCADORES PERTENECIENTES A GRUPOS ETNICOS AFRO CARTAGENA DE INDIAS "/>
    <s v="2021130010187 FORTALECIMIENTO DOTACION Y CAPACITACION A ORGANIZADORES DE PESCADORES PERTENECIENTES A GRUPOS ETNICOS AFRO CARTAGENA DE INDIAS "/>
    <s v="06"/>
    <s v="00"/>
    <n v="64000000"/>
    <n v="0"/>
    <n v="64000000"/>
    <n v="64000000"/>
    <n v="0"/>
    <n v="64000000"/>
    <n v="100"/>
    <n v="64000000"/>
    <n v="100"/>
    <n v="0"/>
    <n v="64000000"/>
  </r>
  <r>
    <n v="2022"/>
    <n v="100"/>
    <x v="9"/>
    <s v="SECRETARIA DE PARTICIPACION Y DESARROLLO SOCIAL"/>
    <s v="08 SECRETARIA DE PARTICIPACION Y DESARROLLO SOCIAL"/>
    <n v="2021130010188"/>
    <s v="11. EJE TRANSVERSAL: CARTAGENA CON ATENCION Y GARANTIA DE DERECHOS A POBLACION DIFERENCIAL."/>
    <s v="11.7 LÍNEA ESTRATÉGICA TRATO HUMANITARIO AL HABITANTE DE CALLE"/>
    <s v="11.7.1 PROGRAMA: HABITANTE DE CALLE CON DESARROLLO HUMANO INTEGRAL"/>
    <s v="2,3,4104,1500,2021130010188"/>
    <s v="001"/>
    <s v="1,2,1,0,00-001 - ICLD"/>
    <s v="INV"/>
    <s v="NO"/>
    <s v="APOYO INTEGRAL PARA EL DESARROLLO HUMANO A LAS PERSONAS HABITANTES DE CALLE EN CARTAGENA DE INDIAS"/>
    <s v="2021130010188 APOYO INTEGRAL PARA EL DESARROLLO HUMANO A LAS PERSONAS HABITANTES DE CALLE EN CARTAGENA DE INDIAS"/>
    <s v="06"/>
    <s v="00"/>
    <n v="500000000"/>
    <n v="0"/>
    <n v="500000000"/>
    <n v="485155964"/>
    <n v="14844036"/>
    <n v="443562200"/>
    <n v="88.71"/>
    <n v="442512200"/>
    <n v="88.5"/>
    <n v="56437800"/>
    <n v="327328000"/>
  </r>
  <r>
    <n v="2022"/>
    <n v="100"/>
    <x v="13"/>
    <s v="SECRETARIA GENERAL"/>
    <s v="05 SECRETARIA GENERAL"/>
    <n v="2021130010189"/>
    <s v="10. PILAR: CARTAGENA TRANSPARENTE"/>
    <s v="10.2 LÍNEA ESTRATÉGICA: CARTAGENA INTELIGENTE CON TODOS Y PARA TODOS"/>
    <s v="10.2.1 PROGRAMA: CARTAGENA INTELIGENTE CON TODOS Y PARA TODOS"/>
    <s v="2,3,4599,1000,2021130010189"/>
    <s v="001"/>
    <s v="1,2,1,0,00-001 - ICLD"/>
    <s v="INV"/>
    <s v="NO"/>
    <s v="TRANSFORMACION DIGITAL PARA UNA CARTAGENA INTELIGENTE CON TODOS Y PARA TODOS CARTAGENA DE INDIAS"/>
    <s v="2021130010189 TRANSFORMACION DIGITAL PARA UNA CARTAGENA INTELIGENTE CON TODOS Y PARA TODOS CARTAGENA DE INDIAS"/>
    <s v="06"/>
    <s v="00"/>
    <n v="615384616"/>
    <n v="0"/>
    <n v="615384616"/>
    <n v="608918000"/>
    <n v="6466616"/>
    <n v="538865005"/>
    <n v="87.57"/>
    <n v="363166333"/>
    <n v="59.01"/>
    <n v="76519611"/>
    <n v="325033000"/>
  </r>
  <r>
    <n v="2022"/>
    <n v="100"/>
    <x v="13"/>
    <s v="SECRETARIA GENERAL"/>
    <s v="05 SECRETARIA GENERAL"/>
    <n v="2021130010190"/>
    <s v="09. PILAR CARTAGENA CONTINGENTE"/>
    <s v="9.1 LÍNEA ESTRATÉGICA: DESARROLLO ECONÓMICO Y EMPLEABILIDAD"/>
    <s v="9.1.11 PROGRAMA: SISTEMAS DE MERCADOS PÚBLICOS"/>
    <s v="2,3,4599,1000,2021130010190"/>
    <s v="883"/>
    <s v="1,3,3,4,21-93-041 R,B, VENTA DE SERVICIOS MERCADO BAZURTO"/>
    <s v="INV"/>
    <s v="NO"/>
    <s v="FORTALECIMIENTO DEL SISTEMA INTEGRADO DE MERCADOS PUBLICOS MEDIANTE EL DESARROLLO DE ACTIVIDADES Y/O ACTUACIONES ADMINISTRATIVAS, OPERATIVAS, JURIDICAS, CONTRACTUALES Y AMBIENTALES EN EL DISTRITO DE CARTAGENA DE INDIAS"/>
    <s v="2021130010190 FORTALECIMIENTO DEL SISTEMA INTEGRADO DE MERCADOS PUBLICOS MEDIANTE EL DESARROLLO DE ACTIVIDADES Y/O ACTUACIONES ADMINISTRATIVAS, OPERATIVAS, JURIDICAS, CONTRACTUALES Y AMBIENTALES EN EL DISTRITO DE CARTAGENA DE INDIAS"/>
    <s v="06"/>
    <s v="00"/>
    <n v="0"/>
    <n v="10544269.199999999"/>
    <n v="10544269.199999999"/>
    <n v="10544269"/>
    <n v="0.2"/>
    <n v="0"/>
    <n v="0"/>
    <n v="0"/>
    <n v="0"/>
    <n v="10544269.199999999"/>
    <n v="0"/>
  </r>
  <r>
    <n v="2022"/>
    <n v="100"/>
    <x v="13"/>
    <s v="SECRETARIA GENERAL"/>
    <s v="05 SECRETARIA GENERAL"/>
    <n v="2021130010190"/>
    <s v="09. PILAR CARTAGENA CONTINGENTE"/>
    <s v="9.1 LÍNEA ESTRATÉGICA: DESARROLLO ECONÓMICO Y EMPLEABILIDAD"/>
    <s v="9.1.11 PROGRAMA: SISTEMAS DE MERCADOS PÚBLICOS"/>
    <s v="2,3,4599,1000,2021130010190"/>
    <s v="887"/>
    <s v="1,3,3,4,21-95-041 R,B, VENTA DE SERVICIOS MERCADO BAZURTO"/>
    <s v="INV"/>
    <s v="NO"/>
    <s v="FORTALECIMIENTO DEL SISTEMA INTEGRADO DE MERCADOS PUBLICOS MEDIANTE EL DESARROLLO DE ACTIVIDADES Y/O ACTUACIONES ADMINISTRATIVAS, OPERATIVAS, JURIDICAS, CONTRACTUALES Y AMBIENTALES EN EL DISTRITO DE CARTAGENA DE INDIAS"/>
    <s v="2021130010190 FORTALECIMIENTO DEL SISTEMA INTEGRADO DE MERCADOS PUBLICOS MEDIANTE EL DESARROLLO DE ACTIVIDADES Y/O ACTUACIONES ADMINISTRATIVAS, OPERATIVAS, JURIDICAS, CONTRACTUALES Y AMBIENTALES EN EL DISTRITO DE CARTAGENA DE INDIAS"/>
    <s v="06"/>
    <s v="00"/>
    <n v="0"/>
    <n v="22316024.690000001"/>
    <n v="22316024.690000001"/>
    <n v="22316024.690000001"/>
    <n v="0"/>
    <n v="0"/>
    <n v="0"/>
    <n v="0"/>
    <n v="0"/>
    <n v="22316024.690000001"/>
    <n v="0"/>
  </r>
  <r>
    <n v="2022"/>
    <n v="100"/>
    <x v="13"/>
    <s v="SECRETARIA GENERAL"/>
    <s v="05 SECRETARIA GENERAL"/>
    <n v="2021130010190"/>
    <s v="09. PILAR CARTAGENA CONTINGENTE"/>
    <s v="9.1 LÍNEA ESTRATÉGICA: DESARROLLO ECONÓMICO Y EMPLEABILIDAD"/>
    <s v="9.1.11 PROGRAMA: SISTEMAS DE MERCADOS PÚBLICOS"/>
    <s v="2,3,4599,1000,2021130010190"/>
    <s v="922"/>
    <s v="1,3,3,8,03-95-070 R,B, SGP-PROPOSITO GENERAL-PROPOSITO GENERAL LIBRE INVERSION"/>
    <s v="INV"/>
    <s v="NO"/>
    <s v="FORTALECIMIENTO DEL SISTEMA INTEGRADO DE MERCADOS PUBLICOS MEDIANTE EL DESARROLLO DE ACTIVIDADES Y/O ACTUACIONES ADMINISTRATIVAS, OPERATIVAS, JURIDICAS, CONTRACTUALES Y AMBIENTALES EN EL DISTRITO DE CARTAGENA DE INDIAS"/>
    <s v="2021130010190 FORTALECIMIENTO DEL SISTEMA INTEGRADO DE MERCADOS PUBLICOS MEDIANTE EL DESARROLLO DE ACTIVIDADES Y/O ACTUACIONES ADMINISTRATIVAS, OPERATIVAS, JURIDICAS, CONTRACTUALES Y AMBIENTALES EN EL DISTRITO DE CARTAGENA DE INDIAS"/>
    <s v="06"/>
    <s v="00"/>
    <n v="0"/>
    <n v="2694835"/>
    <n v="2694835"/>
    <n v="0"/>
    <n v="2694835"/>
    <n v="0"/>
    <n v="0"/>
    <n v="0"/>
    <n v="0"/>
    <n v="2694835"/>
    <n v="0"/>
  </r>
  <r>
    <n v="2022"/>
    <n v="100"/>
    <x v="13"/>
    <s v="SECRETARIA GENERAL"/>
    <s v="05 SECRETARIA GENERAL"/>
    <n v="2021130010190"/>
    <s v="09. PILAR CARTAGENA CONTINGENTE"/>
    <s v="9.1 LÍNEA ESTRATÉGICA: DESARROLLO ECONÓMICO Y EMPLEABILIDAD"/>
    <s v="9.1.11 PROGRAMA: SISTEMAS DE MERCADOS PÚBLICOS"/>
    <s v="2,3,4599,1000,2021130010190"/>
    <s v="070"/>
    <s v="1,2,4,3,03-070 - SGP LIBRE INVERSION"/>
    <s v="INV"/>
    <s v="NO"/>
    <s v="FORTALECIMIENTO DEL SISTEMA INTEGRADO DE MERCADOS PUBLICOS MEDIANTE EL DESARROLLO DE ACTIVIDADES Y/O ACTUACIONES ADMINISTRATIVAS, OPERATIVAS, JURIDICAS, CONTRACTUALES Y AMBIENTALES EN EL DISTRITO DE CARTAGENA DE INDIAS"/>
    <s v="2021130010190 FORTALECIMIENTO DEL SISTEMA INTEGRADO DE MERCADOS PUBLICOS MEDIANTE EL DESARROLLO DE ACTIVIDADES Y/O ACTUACIONES ADMINISTRATIVAS, OPERATIVAS, JURIDICAS, CONTRACTUALES Y AMBIENTALES EN EL DISTRITO DE CARTAGENA DE INDIAS"/>
    <s v="06"/>
    <s v="00"/>
    <n v="1026000000"/>
    <n v="0"/>
    <n v="1026000000"/>
    <n v="1017277335.3099999"/>
    <n v="8722664.6899999995"/>
    <n v="983605805"/>
    <n v="95.87"/>
    <n v="756619850"/>
    <n v="73.739999999999995"/>
    <n v="42394195"/>
    <n v="680957865"/>
  </r>
  <r>
    <n v="2022"/>
    <n v="100"/>
    <x v="13"/>
    <s v="SECRETARIA GENERAL"/>
    <s v="05 SECRETARIA GENERAL"/>
    <n v="2021130010190"/>
    <s v="09. PILAR CARTAGENA CONTINGENTE"/>
    <s v="9.1 LÍNEA ESTRATÉGICA: DESARROLLO ECONÓMICO Y EMPLEABILIDAD"/>
    <s v="9.1.11 PROGRAMA: SISTEMAS DE MERCADOS PÚBLICOS"/>
    <s v="2,3,4599,1000,2021130010190"/>
    <s v="001"/>
    <s v="1,2,1,0,00-001 - ICLD"/>
    <s v="INV"/>
    <s v="NO"/>
    <s v="FORTALECIMIENTO DEL SISTEMA INTEGRADO DE MERCADOS PUBLICOS MEDIANTE EL DESARROLLO DE ACTIVIDADES Y/O ACTUACIONES ADMINISTRATIVAS, OPERATIVAS, JURIDICAS, CONTRACTUALES Y AMBIENTALES EN EL DISTRITO DE CARTAGENA DE INDIAS"/>
    <s v="2021130010190 FORTALECIMIENTO DEL SISTEMA INTEGRADO DE MERCADOS PUBLICOS MEDIANTE EL DESARROLLO DE ACTIVIDADES Y/O ACTUACIONES ADMINISTRATIVAS, OPERATIVAS, JURIDICAS, CONTRACTUALES Y AMBIENTALES EN EL DISTRITO DE CARTAGENA DE INDIAS"/>
    <s v="06"/>
    <s v="00"/>
    <n v="1100000000"/>
    <n v="0"/>
    <n v="1100000000"/>
    <n v="1100000000"/>
    <n v="0"/>
    <n v="1041583333"/>
    <n v="94.69"/>
    <n v="1032583333"/>
    <n v="93.87"/>
    <n v="58416667"/>
    <n v="1022913333"/>
  </r>
  <r>
    <n v="2022"/>
    <n v="100"/>
    <x v="11"/>
    <s v="ESTABLECIMIENTO PUBLICO AMBIENTAL-EPA"/>
    <s v="21 ESTABLECIMIENTO PUBLICO AMBIENTAL-EPA"/>
    <n v="2021130010191"/>
    <s v="07. PILAR CARTAGENA RESILIENTE"/>
    <s v="7.1 LÍNEA ESTRATÉGICA: “SALVEMOS JUNTOS NUESTRO PATRIMONIO NATURAL”"/>
    <s v="7.1.1 RECUPERAR Y RESTAURAR NUESTRAS ÁREAS NATURALES (BOSQUES Y BIODIVERSIDAD Y SERVICIOS ECO SISTÉMICOS)"/>
    <s v="2,3,3202,0900,2021130010191"/>
    <s v="935"/>
    <s v="1,3,3,4,02-93-031- R,B, CONTRIBUCION DEL SECTOR ELECTRICO"/>
    <s v="INV"/>
    <s v="NO"/>
    <s v="IMPLEMENTACION DE UN SISTEMA DE ARBOLADO URBANO EN LA CIUDAD DE CARTAGENA DE INDIAS,"/>
    <s v="2021130010191 IMPLEMENTACION DE UN SISTEMA DE ARBOLADO URBANO EN LA CIUDAD DE CARTAGENA DE INDIAS,"/>
    <s v="06"/>
    <s v="00"/>
    <n v="0"/>
    <n v="320944284.29000002"/>
    <n v="320944284.29000002"/>
    <n v="0"/>
    <n v="320944284.29000002"/>
    <n v="0"/>
    <n v="0"/>
    <n v="0"/>
    <n v="0"/>
    <n v="320944284.29000002"/>
    <n v="0"/>
  </r>
  <r>
    <n v="2022"/>
    <n v="100"/>
    <x v="11"/>
    <s v="ESTABLECIMIENTO PUBLICO AMBIENTAL-EPA"/>
    <s v="21 ESTABLECIMIENTO PUBLICO AMBIENTAL-EPA"/>
    <n v="2021130010191"/>
    <s v="07. PILAR CARTAGENA RESILIENTE"/>
    <s v="7.1 LÍNEA ESTRATÉGICA: “SALVEMOS JUNTOS NUESTRO PATRIMONIO NATURAL”"/>
    <s v="7.1.1 RECUPERAR Y RESTAURAR NUESTRAS ÁREAS NATURALES (BOSQUES Y BIODIVERSIDAD Y SERVICIOS ECO SISTÉMICOS)"/>
    <s v="2,3,3202,0900,2021130010191"/>
    <s v="001"/>
    <s v="1,2,1,0,00-001 - ICLD"/>
    <s v="INV"/>
    <s v="NO"/>
    <s v="IMPLEMENTACION DE UN SISTEMA DE ARBOLADO URBANO EN LA CIUDAD DE  CARTAGENA DE INDIAS"/>
    <s v="2021130010191 IMPLEMENTACION DE UN SISTEMA DE ARBOLADO URBANO EN LA CIUDAD DE  CARTAGENA DE INDIAS"/>
    <s v="06"/>
    <s v="00"/>
    <n v="1000000000"/>
    <n v="0"/>
    <n v="1000000000"/>
    <n v="1000000000"/>
    <n v="0"/>
    <n v="1000000000"/>
    <n v="100"/>
    <n v="1000000000"/>
    <n v="100"/>
    <n v="0"/>
    <n v="1000000000"/>
  </r>
  <r>
    <n v="2022"/>
    <n v="100"/>
    <x v="19"/>
    <s v="DISTRISEGURIDAD"/>
    <s v="22 DISTRISEGURIDAD"/>
    <n v="2021130010192"/>
    <s v="10. PILAR: CARTAGENA TRANSPARENTE"/>
    <s v="10.3 LÍNEA ESTRATÉGICA: CONVIVENCIA Y SEGURIDAD PARA LA GOBERNABILIDAD"/>
    <s v="10.3.9 PROGRAMA: OPTIMIZACIÓN DE LA INFRAESTRUCTURA Y MOVILIDAD DE LOS ORGANISMOS DE SEGURIDAD Y SOCORRO"/>
    <s v="2,3,4501,1000,2021130010192"/>
    <s v="932"/>
    <s v="1,3,3,1,00-95-001 RB DE LIBRE DESTINACION"/>
    <s v="INV"/>
    <s v="NO"/>
    <s v="FORTALECIMIENTO LOGISTICO PARA LA SEGURIDAD, CONVIVENCIA, JUSTICIA Y SOCORRO EN CARTAGENA DE INDIAS"/>
    <s v="2021130010192 FORTALECIMIENTO LOGISTICO PARA LA SEGURIDAD, CONVIVENCIA, JUSTICIA Y SOCORRO EN CARTAGENA DE INDIAS"/>
    <s v="06"/>
    <s v="00"/>
    <n v="0"/>
    <n v="25100000"/>
    <n v="25100000"/>
    <n v="0"/>
    <n v="25100000"/>
    <n v="0"/>
    <n v="0"/>
    <n v="0"/>
    <n v="0"/>
    <n v="25100000"/>
    <n v="0"/>
  </r>
  <r>
    <n v="2022"/>
    <n v="100"/>
    <x v="19"/>
    <s v="DISTRISEGURIDAD"/>
    <s v="22 DISTRISEGURIDAD"/>
    <n v="2021130010192"/>
    <s v="10. PILAR: CARTAGENA TRANSPARENTE"/>
    <s v="10.3 LÍNEA ESTRATÉGICA: CONVIVENCIA Y SEGURIDAD PARA LA GOBERNABILIDAD"/>
    <s v="10.3.9 PROGRAMA: OPTIMIZACIÓN DE LA INFRAESTRUCTURA Y MOVILIDAD DE LOS ORGANISMOS DE SEGURIDAD Y SOCORRO"/>
    <s v="2,3,4501,1000,2021130010192"/>
    <s v="838"/>
    <s v="1,3,3,2,00-95-051 RB ICDE DISTRISEGURIDAD 1% IPU"/>
    <s v="INV"/>
    <s v="NO"/>
    <s v="FORTALECIMIENTO LOGISTICO PARA LA SEGURIDAD, CONVIVENCIA, JUSTICIA Y SOCORRO EN CARTAGENA DE INDIAS"/>
    <s v="2021130010192 FORTALECIMIENTO LOGISTICO PARA LA SEGURIDAD, CONVIVENCIA, JUSTICIA Y SOCORRO EN CARTAGENA DE INDIAS"/>
    <s v="06"/>
    <s v="00"/>
    <n v="0"/>
    <n v="61574978"/>
    <n v="61574978"/>
    <n v="0"/>
    <n v="61574978"/>
    <n v="0"/>
    <n v="0"/>
    <n v="0"/>
    <n v="0"/>
    <n v="61574978"/>
    <n v="0"/>
  </r>
  <r>
    <n v="2022"/>
    <n v="100"/>
    <x v="19"/>
    <s v="DISTRISEGURIDAD"/>
    <s v="22 DISTRISEGURIDAD"/>
    <n v="2021130010192"/>
    <s v="10. PILAR: CARTAGENA TRANSPARENTE"/>
    <s v="10.3 LÍNEA ESTRATÉGICA: CONVIVENCIA Y SEGURIDAD PARA LA GOBERNABILIDAD"/>
    <s v="10.3.9 PROGRAMA: OPTIMIZACIÓN DE LA INFRAESTRUCTURA Y MOVILIDAD DE LOS ORGANISMOS DE SEGURIDAD Y SOCORRO"/>
    <s v="2,3,4501,1000,2021130010192"/>
    <s v="836"/>
    <s v="1,3,3,2,00-95-037 RECURSOS DEL BALANCE DE DESTINACION ESPECIFICA POR ACTO ADMINISTRATIVO RF ICLD"/>
    <s v="INV"/>
    <s v="NO"/>
    <s v="FORTALECIMIENTO LOGISTICO PARA LA SEGURIDAD, CONVIVENCIA, JUSTICIA Y SOCORRO EN CARTAGENA DE INDIAS CARTAGENA DE INDIAS"/>
    <s v="2021130010192 FORTALECIMIENTO LOGISTICO PARA LA SEGURIDAD, CONVIVENCIA, JUSTICIA Y SOCORRO EN CARTAGENA DE INDIAS CARTAGENA DE INDIAS"/>
    <s v="06"/>
    <s v="00"/>
    <n v="0"/>
    <n v="1813487101"/>
    <n v="1813487101"/>
    <n v="1813487101"/>
    <n v="0"/>
    <n v="1813487101"/>
    <n v="100"/>
    <n v="1813487101"/>
    <n v="100"/>
    <n v="0"/>
    <n v="1813487101"/>
  </r>
  <r>
    <n v="2022"/>
    <n v="100"/>
    <x v="19"/>
    <s v="DISTRISEGURIDAD"/>
    <s v="22 DISTRISEGURIDAD"/>
    <n v="2021130010192"/>
    <s v="10. PILAR: CARTAGENA TRANSPARENTE"/>
    <s v="10.3 LÍNEA ESTRATÉGICA: CONVIVENCIA Y SEGURIDAD PARA LA GOBERNABILIDAD"/>
    <s v="10.3.9 PROGRAMA: OPTIMIZACIÓN DE LA INFRAESTRUCTURA Y MOVILIDAD DE LOS ORGANISMOS DE SEGURIDAD Y SOCORRO"/>
    <s v="2,3,4501,1000,2021130010192"/>
    <s v="816"/>
    <s v="1,3,3,11,03-95-138 R,B, DIVIDENDOS SOCIEDAD PORTUARIA"/>
    <s v="INV"/>
    <s v="NO"/>
    <s v="FORTALECIMIENTO LOGISTICO PARA LA SEGURIDAD, CONVIVENCIA, JUSTICIA Y SOCORRO EN CARTAGENA DE INDIAS"/>
    <s v="2021130010192 FORTALECIMIENTO LOGISTICO PARA LA SEGURIDAD, CONVIVENCIA, JUSTICIA Y SOCORRO EN CARTAGENA DE INDIAS"/>
    <s v="06"/>
    <s v="00"/>
    <n v="0"/>
    <n v="1123458631"/>
    <n v="1123458631"/>
    <n v="0"/>
    <n v="1123458631"/>
    <n v="0"/>
    <n v="0"/>
    <n v="0"/>
    <n v="0"/>
    <n v="1123458631"/>
    <n v="0"/>
  </r>
  <r>
    <n v="2022"/>
    <n v="100"/>
    <x v="19"/>
    <s v="DISTRISEGURIDAD"/>
    <s v="22 DISTRISEGURIDAD"/>
    <n v="2021130010192"/>
    <s v="10. PILAR: CARTAGENA TRANSPARENTE"/>
    <s v="10.3 LÍNEA ESTRATÉGICA: CONVIVENCIA Y SEGURIDAD PARA LA GOBERNABILIDAD"/>
    <s v="10.3.9 PROGRAMA: OPTIMIZACIÓN DE LA INFRAESTRUCTURA Y MOVILIDAD DE LOS ORGANISMOS DE SEGURIDAD Y SOCORRO"/>
    <s v="2,3,4501,1000,2021130010192"/>
    <s v="085"/>
    <s v="1,2,2,0,00-085 - ICDE DISTRISEGURIDAD 10% DELINEACION URBANA"/>
    <s v="INV"/>
    <s v="NO"/>
    <s v="FORTALECIMIENTO LOGISTICO PARA LA SEGURIDAD, CONVIVENCIA, JUSTICIA Y SOCORRO EN  CARTAGENA DE INDIAS  CARTAGENA DE INDIAS"/>
    <s v="2021130010192 FORTALECIMIENTO LOGISTICO PARA LA SEGURIDAD, CONVIVENCIA, JUSTICIA Y SOCORRO EN  CARTAGENA DE INDIAS  CARTAGENA DE INDIAS"/>
    <s v="06"/>
    <s v="00"/>
    <n v="218458917"/>
    <n v="0"/>
    <n v="218458917"/>
    <n v="218458917"/>
    <n v="0"/>
    <n v="218458917"/>
    <n v="100"/>
    <n v="218458917"/>
    <n v="100"/>
    <n v="0"/>
    <n v="218458917"/>
  </r>
  <r>
    <n v="2022"/>
    <n v="100"/>
    <x v="19"/>
    <s v="DISTRISEGURIDAD"/>
    <s v="22 DISTRISEGURIDAD"/>
    <n v="2021130010192"/>
    <s v="10. PILAR: CARTAGENA TRANSPARENTE"/>
    <s v="10.3 LÍNEA ESTRATÉGICA: CONVIVENCIA Y SEGURIDAD PARA LA GOBERNABILIDAD"/>
    <s v="10.3.9 PROGRAMA: OPTIMIZACIÓN DE LA INFRAESTRUCTURA Y MOVILIDAD DE LOS ORGANISMOS DE SEGURIDAD Y SOCORRO"/>
    <s v="2,3,4501,1000,2021130010192"/>
    <s v="051"/>
    <s v="1,2,2,0,00-051 - ICDE DISTRISEGURIDAD 1% IPU"/>
    <s v="INV"/>
    <s v="NO"/>
    <s v="FORTALECIMIENTO LOGISTICO PARA LA SEGURIDAD, CONVIVENCIA, JUSTICIA Y SOCORRO EN  CARTAGENA DE INDIAS  CARTAGENA DE INDIAS"/>
    <s v="2021130010192 FORTALECIMIENTO LOGISTICO PARA LA SEGURIDAD, CONVIVENCIA, JUSTICIA Y SOCORRO EN  CARTAGENA DE INDIAS  CARTAGENA DE INDIAS"/>
    <s v="06"/>
    <s v="00"/>
    <n v="672057018"/>
    <n v="0"/>
    <n v="672057018"/>
    <n v="519662073.18000001"/>
    <n v="152394944.81999999"/>
    <n v="517159093.57999998"/>
    <n v="76.95"/>
    <n v="517159093.57999998"/>
    <n v="76.95"/>
    <n v="154897924.41999999"/>
    <n v="517159093.57999998"/>
  </r>
  <r>
    <n v="2022"/>
    <n v="100"/>
    <x v="19"/>
    <s v="DISTRISEGURIDAD"/>
    <s v="22 DISTRISEGURIDAD"/>
    <n v="2021130010192"/>
    <s v="10. PILAR: CARTAGENA TRANSPARENTE"/>
    <s v="10.3 LÍNEA ESTRATÉGICA: CONVIVENCIA Y SEGURIDAD PARA LA GOBERNABILIDAD"/>
    <s v="10.3.9 PROGRAMA: OPTIMIZACIÓN DE LA INFRAESTRUCTURA Y MOVILIDAD DE LOS ORGANISMOS DE SEGURIDAD Y SOCORRO"/>
    <s v="2,3,4501,1000,2021130010192"/>
    <s v="037"/>
    <s v="1,3,2,3,05-037 - OTROS RENDIMIENTOS FINANCIEROS ICLD"/>
    <s v="INV"/>
    <s v="NO"/>
    <s v="FORTALECIMIENTO LOGISTICO PARA LA SEGURIDAD, CONVIVENCIA, JUSTICIA Y SOCORRO EN  CARTAGENA DE INDIAS  CARTAGENA DE INDIAS"/>
    <s v="2021130010192 FORTALECIMIENTO LOGISTICO PARA LA SEGURIDAD, CONVIVENCIA, JUSTICIA Y SOCORRO EN  CARTAGENA DE INDIAS  CARTAGENA DE INDIAS"/>
    <s v="06"/>
    <s v="00"/>
    <n v="767651528"/>
    <n v="0"/>
    <n v="767651528"/>
    <n v="767651518.04999995"/>
    <n v="9.9499999999999993"/>
    <n v="767651518.04999995"/>
    <n v="100"/>
    <n v="767651518.04999995"/>
    <n v="100"/>
    <n v="9.9499999999999993"/>
    <n v="767651518.04999995"/>
  </r>
  <r>
    <n v="2022"/>
    <n v="100"/>
    <x v="13"/>
    <s v="SECRETARIA GENERAL"/>
    <s v="05 SECRETARIA GENERAL"/>
    <n v="2021130010193"/>
    <s v="09. PILAR CARTAGENA CONTINGENTE"/>
    <s v="9.1 LÍNEA ESTRATÉGICA: DESARROLLO ECONÓMICO Y EMPLEABILIDAD"/>
    <s v="9.1.12 PROGRAMA: MAS COOPERACIÓN INTERNACIONAL"/>
    <s v="2,3,4599,1000,2021130010193"/>
    <s v="001"/>
    <s v="1,2,1,0,00-001 - ICLD"/>
    <s v="INV"/>
    <s v="NO"/>
    <s v="FORMULACION PLAN DE INTERNACIONALIZACION DE CARTAGENA DE INDIAS"/>
    <s v="2021130010193 FORMULACION PLAN DE INTERNACIONALIZACION DE CARTAGENA DE INDIAS"/>
    <s v="06"/>
    <s v="00"/>
    <n v="11974651"/>
    <n v="0"/>
    <n v="11974651"/>
    <n v="10000000"/>
    <n v="1974651"/>
    <n v="0"/>
    <n v="0"/>
    <n v="0"/>
    <n v="0"/>
    <n v="11974651"/>
    <n v="0"/>
  </r>
  <r>
    <n v="2022"/>
    <n v="100"/>
    <x v="15"/>
    <s v="SECRETARIA DE PLANEACION"/>
    <s v="09 SECRETARIA DE PLANEACION"/>
    <n v="2021130010194"/>
    <s v="07. PILAR CARTAGENA RESILIENTE"/>
    <s v="7.3 LÍNEA ESTRATÉGICA DESARROLLO URBANO"/>
    <s v="7.3.5 INTEGRAL DE CAÑOS, LAGOS Y CIÉNAGAS DE CARTAGENA DE INDIAS"/>
    <s v="2,3,3205,0900,2021130010194"/>
    <s v="816"/>
    <s v="1,3,3,11,03-95-138 R,B, DIVIDENDOS SOCIEDAD PORTUARIA"/>
    <s v="INV"/>
    <s v="NO"/>
    <s v="ASISTENCIA NUEVO PROYECTO DE CA?OS LAGOS LAGUNAS Y CIENAGAS DEL DISTRITO DE  CARTAGENA DE INDIAS"/>
    <s v="2021130010194 ASISTENCIA NUEVO PROYECTO DE CA?OS LAGOS LAGUNAS Y CIENAGAS DEL DISTRITO DE  CARTAGENA DE INDIAS"/>
    <s v="06"/>
    <s v="00"/>
    <n v="0"/>
    <n v="0.44"/>
    <n v="0.44"/>
    <n v="0"/>
    <n v="0.44"/>
    <n v="0"/>
    <n v="0"/>
    <n v="0"/>
    <n v="0"/>
    <n v="0.44"/>
    <n v="0"/>
  </r>
  <r>
    <n v="2022"/>
    <n v="100"/>
    <x v="15"/>
    <s v="SECRETARIA DE PLANEACION"/>
    <s v="09 SECRETARIA DE PLANEACION"/>
    <n v="2021130010194"/>
    <s v="07. PILAR CARTAGENA RESILIENTE"/>
    <s v="7.3 LÍNEA ESTRATÉGICA DESARROLLO URBANO"/>
    <s v="7.3.5 INTEGRAL DE CAÑOS, LAGOS Y CIÉNAGAS DE CARTAGENA DE INDIAS"/>
    <s v="2,3,3205,0900,2021130010194"/>
    <s v="070"/>
    <s v="1,2,4,3,03-070 - SGP LIBRE INVERSION"/>
    <s v="INV"/>
    <s v="NO"/>
    <s v="ASISTENCIA NUEVO PROYECTO DE CA?OS LAGOS LAGUNAS Y CIENAGAS DEL DISTRITO DE  CARTAGENA DE INDIAS"/>
    <s v="2021130010194 ASISTENCIA NUEVO PROYECTO DE CA?OS LAGOS LAGUNAS Y CIENAGAS DEL DISTRITO DE  CARTAGENA DE INDIAS"/>
    <s v="06"/>
    <s v="00"/>
    <n v="5369584259"/>
    <n v="-69584258"/>
    <n v="5300000001"/>
    <n v="2000000000"/>
    <n v="3300000001"/>
    <n v="2000000000"/>
    <n v="37.74"/>
    <n v="0"/>
    <n v="0"/>
    <n v="3300000001"/>
    <n v="0"/>
  </r>
  <r>
    <n v="2022"/>
    <n v="100"/>
    <x v="15"/>
    <s v="SECRETARIA DE PLANEACION"/>
    <s v="09 SECRETARIA DE PLANEACION"/>
    <n v="2021130010194"/>
    <s v="07. PILAR CARTAGENA RESILIENTE"/>
    <s v="7.3 LÍNEA ESTRATÉGICA DESARROLLO URBANO"/>
    <s v="7.3.5 INTEGRAL DE CAÑOS, LAGOS Y CIÉNAGAS DE CARTAGENA DE INDIAS"/>
    <s v="2,3,3205,0900,2021130010194"/>
    <s v="001"/>
    <s v="1,2,1,0,00-001 - ICLD"/>
    <s v="INV"/>
    <s v="NO"/>
    <s v="ASISTENCIA NUEVO PROYECTO DE CA?OS LAGOS LAGUNAS Y CIENAGAS DEL DISTRITO DE  CARTAGENA DE INDIAS"/>
    <s v="2021130010194 ASISTENCIA NUEVO PROYECTO DE CA?OS LAGOS LAGUNAS Y CIENAGAS DEL DISTRITO DE  CARTAGENA DE INDIAS"/>
    <s v="06"/>
    <s v="00"/>
    <n v="2086215741"/>
    <n v="-1850815741"/>
    <n v="235400000"/>
    <n v="194200000"/>
    <n v="41200000"/>
    <n v="194200000"/>
    <n v="82.5"/>
    <n v="188400000"/>
    <n v="80.03"/>
    <n v="41200000"/>
    <n v="176800000"/>
  </r>
  <r>
    <n v="2022"/>
    <n v="100"/>
    <x v="13"/>
    <s v="SECRETARIA GENERAL"/>
    <s v="05 SECRETARIA GENERAL"/>
    <n v="2021130010195"/>
    <s v="07. PILAR CARTAGENA RESILIENTE"/>
    <s v="7.6 LÍNEA ESTRATÉGICA SERVICIOS PÚBLICOS BÁSICOS DEL DISTRITO DE CARTAGENA DE INDIAS: “TODOS CON TODO”"/>
    <s v="7.6.2 ENERGÍA ASEQUIBLE, CONFIABLE SOSTENIBLE Y MODERNA PARA TODOS."/>
    <s v="2,3,2102,1900,2021130010195"/>
    <s v="162"/>
    <s v="1,3,2,3,05-162 - OTROS RENDIMIENTOS FINANCIEROS ALUMBRADO PUBLICO"/>
    <s v="INV"/>
    <s v="NO"/>
    <s v="IMPLEMENTACION DE LA OPTIMIZACION DEL SERVICIO DE ALUMBRADO PUBLICO Y EL SUMINISTRO DE ENERGIA PARA EL SISTEMA, EN EL DISTRITO DE CARTAGENA DE INDIAS"/>
    <s v="2021130010195 IMPLEMENTACION DE LA OPTIMIZACION DEL SERVICIO DE ALUMBRADO PUBLICO Y EL SUMINISTRO DE ENERGIA PARA EL SISTEMA, EN EL DISTRITO DE CARTAGENA DE INDIAS"/>
    <s v="06"/>
    <s v="00"/>
    <n v="1"/>
    <n v="0"/>
    <n v="1"/>
    <n v="0"/>
    <n v="1"/>
    <n v="0"/>
    <n v="0"/>
    <n v="0"/>
    <n v="0"/>
    <n v="1"/>
    <n v="0"/>
  </r>
  <r>
    <n v="2022"/>
    <n v="100"/>
    <x v="13"/>
    <s v="SECRETARIA GENERAL"/>
    <s v="05 SECRETARIA GENERAL"/>
    <n v="2021130010195"/>
    <s v="07. PILAR CARTAGENA RESILIENTE"/>
    <s v="7.6 LÍNEA ESTRATÉGICA SERVICIOS PÚBLICOS BÁSICOS DEL DISTRITO DE CARTAGENA DE INDIAS: “TODOS CON TODO”"/>
    <s v="7.6.2 ENERGÍA ASEQUIBLE, CONFIABLE SOSTENIBLE Y MODERNA PARA TODOS."/>
    <s v="2,3,2102,1900,2021130010195"/>
    <s v="900"/>
    <s v="1,3,3,3,14-95-121 R,B, IMPUESTO DE ALUMBRADO PUBLICO"/>
    <s v="INV"/>
    <s v="NO"/>
    <s v="IMPLEMENTACION DE LA OPTIMIZACION DEL SERVICIO DE ALUMBRADO PUBLICO Y EL SUMINISTRO DE ENERGIA PARA EL SISTEMA, EN EL DISTRITO DE CARTAGENA DE INDIAS "/>
    <s v="2021130010195 IMPLEMENTACION DE LA OPTIMIZACION DEL SERVICIO DE ALUMBRADO PUBLICO Y EL SUMINISTRO DE ENERGIA PARA EL SISTEMA, EN EL DISTRITO DE CARTAGENA DE INDIAS "/>
    <s v="06"/>
    <s v="00"/>
    <n v="0"/>
    <n v="8628392708.4300003"/>
    <n v="8628392708.4300003"/>
    <n v="8628392708.2600002"/>
    <n v="0.17"/>
    <n v="8628392708.2600002"/>
    <n v="100"/>
    <n v="5072959648.2600002"/>
    <n v="58.79"/>
    <n v="0.17"/>
    <n v="5072959648.2600002"/>
  </r>
  <r>
    <n v="2022"/>
    <n v="100"/>
    <x v="13"/>
    <s v="SECRETARIA GENERAL"/>
    <s v="05 SECRETARIA GENERAL"/>
    <n v="2021130010195"/>
    <s v="07. PILAR CARTAGENA RESILIENTE"/>
    <s v="7.6 LÍNEA ESTRATÉGICA SERVICIOS PÚBLICOS BÁSICOS DEL DISTRITO DE CARTAGENA DE INDIAS: “TODOS CON TODO”"/>
    <s v="7.6.2 ENERGÍA ASEQUIBLE, CONFIABLE SOSTENIBLE Y MODERNA PARA TODOS."/>
    <s v="2,3,2102,1900,2021130010195"/>
    <s v="121"/>
    <s v="1,2,3,1,14-121 - IMPUESTO DE ALUMBRADO PUBLICO"/>
    <s v="INV"/>
    <s v="NO"/>
    <s v="IMPLEMENTACION DE LA OPTIMIZACION DEL SERVICIO DE ALUMBRADO PUBLICO Y EL SUMINISTRO DE ENERGIA PARA EL SISTEMA, EN EL DISTRITO DE CARTAGENA DE INDIAS"/>
    <s v="2021130010195 IMPLEMENTACION DE LA OPTIMIZACION DEL SERVICIO DE ALUMBRADO PUBLICO Y EL SUMINISTRO DE ENERGIA PARA EL SISTEMA, EN EL DISTRITO DE CARTAGENA DE INDIAS"/>
    <s v="06"/>
    <s v="00"/>
    <n v="42938198436"/>
    <n v="22641269780"/>
    <n v="65579468216"/>
    <n v="52860936876"/>
    <n v="12718531340"/>
    <n v="52796742504.739998"/>
    <n v="80.510000000000005"/>
    <n v="45448250211.739998"/>
    <n v="69.3"/>
    <n v="12782725711.26"/>
    <n v="40299757918.739998"/>
  </r>
  <r>
    <n v="2022"/>
    <n v="100"/>
    <x v="13"/>
    <s v="SECRETARIA GENERAL"/>
    <s v="05 SECRETARIA GENERAL"/>
    <n v="2021130010196"/>
    <s v="07. PILAR CARTAGENA RESILIENTE"/>
    <s v="7.6 LÍNEA ESTRATÉGICA SERVICIOS PÚBLICOS BÁSICOS DEL DISTRITO DE CARTAGENA DE INDIAS: “TODOS CON TODO”"/>
    <s v="7.6.1 DE AHORRO Y USO EFICIENTE DE LOS SERVICIOS PÚBLICOS, &quot;AGUA Y SANEAMIENTO BÁSICO PARA TODOS&quot;"/>
    <s v="2,3,4003,1400,2021130010196"/>
    <s v="180"/>
    <s v="1,2,3,1,18-180 - SOBRETASA DE SOLIDARIDAD SERVICIOS PUBLICOS ACUEDUCTO, ASEO Y ALCANTARILLADO"/>
    <s v="INV"/>
    <s v="NO"/>
    <s v="ADMINISTRACION DEL FONDO DE SOLIDARIDAD Y REDISTRIBUCION DEL INGRESOS PARA LOS SERVICIOS PUBLICOS DOMICILIARIOS DE ACUEDUCTO, ALCANTARILLADO Y ASEO EN EL DISTRITO DE CARTAGENA DE INDIAS"/>
    <s v="2021130010196 ADMINISTRACION DEL FONDO DE SOLIDARIDAD Y REDISTRIBUCION DEL INGRESOS PARA LOS SERVICIOS PUBLICOS DOMICILIARIOS DE ACUEDUCTO, ALCANTARILLADO Y ASEO EN EL DISTRITO DE CARTAGENA DE INDIAS"/>
    <s v="06"/>
    <s v="00"/>
    <n v="71585470658"/>
    <n v="0"/>
    <n v="71585470658"/>
    <n v="71585470657.259995"/>
    <n v="0.74"/>
    <n v="71585470656.350006"/>
    <n v="100"/>
    <n v="61669298108.639999"/>
    <n v="86.15"/>
    <n v="1.65"/>
    <n v="61669298108.639999"/>
  </r>
  <r>
    <n v="2022"/>
    <n v="100"/>
    <x v="13"/>
    <s v="SECRETARIA GENERAL"/>
    <s v="05 SECRETARIA GENERAL"/>
    <n v="2021130010196"/>
    <s v="07. PILAR CARTAGENA RESILIENTE"/>
    <s v="7.6 LÍNEA ESTRATÉGICA SERVICIOS PÚBLICOS BÁSICOS DEL DISTRITO DE CARTAGENA DE INDIAS: “TODOS CON TODO”"/>
    <s v="7.6.1 DE AHORRO Y USO EFICIENTE DE LOS SERVICIOS PÚBLICOS, &quot;AGUA Y SANEAMIENTO BÁSICO PARA TODOS&quot;"/>
    <s v="2,3,4003,1400,2021130010196"/>
    <s v="804"/>
    <s v="1,3,1,1,11-001 - REINTEGRO ICLD"/>
    <s v="INV"/>
    <s v="NO"/>
    <s v="ADMINISTRACION DEL FONDO DE SOLIDARIDAD Y REDISTRIBUCION DEL INGRESOS PARA LOS SERVICIOS PUBLICOS DOMICILIARIOS DE ACUEDUCTO, ALCANTARILLADO Y ASEO EN EL DISTRITO DE CARTAGENA DE INDIAS"/>
    <s v="2021130010196 ADMINISTRACION DEL FONDO DE SOLIDARIDAD Y REDISTRIBUCION DEL INGRESOS PARA LOS SERVICIOS PUBLICOS DOMICILIARIOS DE ACUEDUCTO, ALCANTARILLADO Y ASEO EN EL DISTRITO DE CARTAGENA DE INDIAS"/>
    <s v="06"/>
    <s v="00"/>
    <n v="0"/>
    <n v="8609950282"/>
    <n v="8609950282"/>
    <n v="8609950282"/>
    <n v="0"/>
    <n v="8609950282"/>
    <n v="100"/>
    <n v="8609950282"/>
    <n v="100"/>
    <n v="0"/>
    <n v="8609950282"/>
  </r>
  <r>
    <n v="2022"/>
    <n v="100"/>
    <x v="13"/>
    <s v="SECRETARIA GENERAL"/>
    <s v="05 SECRETARIA GENERAL"/>
    <n v="2021130010196"/>
    <s v="07. PILAR CARTAGENA RESILIENTE"/>
    <s v="7.6 LÍNEA ESTRATÉGICA SERVICIOS PÚBLICOS BÁSICOS DEL DISTRITO DE CARTAGENA DE INDIAS: “TODOS CON TODO”"/>
    <s v="7.6.1 DE AHORRO Y USO EFICIENTE DE LOS SERVICIOS PÚBLICOS, &quot;AGUA Y SANEAMIENTO BÁSICO PARA TODOS&quot;"/>
    <s v="2,3,4003,1400,2021130010196"/>
    <s v="805"/>
    <s v="1,3,3,1,00-93-001 RB DE LIBRE DESTINACION"/>
    <s v="INV"/>
    <s v="NO"/>
    <s v="ADMINISTRACION DEL FONDO DE SOLIDARIDAD Y REDISTRIBUCION DEL INGRESOS PARA LOS SERVICIOS PUBLICOS DOMICILIARIOS DE ACUEDUCTO, ALCANTARILLADO Y ASEO EN EL DISTRITO DE CARTAGENA DE INDIAS"/>
    <s v="2021130010196 ADMINISTRACION DEL FONDO DE SOLIDARIDAD Y REDISTRIBUCION DEL INGRESOS PARA LOS SERVICIOS PUBLICOS DOMICILIARIOS DE ACUEDUCTO, ALCANTARILLADO Y ASEO EN EL DISTRITO DE CARTAGENA DE INDIAS"/>
    <s v="06"/>
    <s v="00"/>
    <n v="0"/>
    <n v="8470702815.7600002"/>
    <n v="8470702815.7600002"/>
    <n v="8470702815.7600002"/>
    <n v="0"/>
    <n v="8470702815.7600002"/>
    <n v="100"/>
    <n v="8470702815.7600002"/>
    <n v="100"/>
    <n v="0"/>
    <n v="8470702815.7600002"/>
  </r>
  <r>
    <n v="2022"/>
    <n v="100"/>
    <x v="13"/>
    <s v="SECRETARIA GENERAL"/>
    <s v="05 SECRETARIA GENERAL"/>
    <n v="2021130010196"/>
    <s v="07. PILAR CARTAGENA RESILIENTE"/>
    <s v="7.6 LÍNEA ESTRATÉGICA SERVICIOS PÚBLICOS BÁSICOS DEL DISTRITO DE CARTAGENA DE INDIAS: “TODOS CON TODO”"/>
    <s v="7.6.1 DE AHORRO Y USO EFICIENTE DE LOS SERVICIOS PÚBLICOS, &quot;AGUA Y SANEAMIENTO BÁSICO PARA TODOS&quot;"/>
    <s v="2,3,4003,1400,2021130010196"/>
    <s v="808"/>
    <s v="1,3,3,10,00-95-055 RB  SGP APSB"/>
    <s v="INV"/>
    <s v="NO"/>
    <s v="ADMINISTRACION DEL FONDO DE SOLIDARIDAD Y REDISTRIBUCION DEL INGRESOS PARA LOS SERVICIOS PUBLICOS DOMICILIARIOS DE ACUEDUCTO, ALCANTARILLADO Y ASEO EN EL DISTRITO DE CARTAGENA DE INDIAS"/>
    <s v="2021130010196 ADMINISTRACION DEL FONDO DE SOLIDARIDAD Y REDISTRIBUCION DEL INGRESOS PARA LOS SERVICIOS PUBLICOS DOMICILIARIOS DE ACUEDUCTO, ALCANTARILLADO Y ASEO EN EL DISTRITO DE CARTAGENA DE INDIAS"/>
    <s v="06"/>
    <s v="00"/>
    <n v="0"/>
    <n v="1959270324.03"/>
    <n v="1959270324.03"/>
    <n v="1959270324"/>
    <n v="0.03"/>
    <n v="1959270324"/>
    <n v="100"/>
    <n v="1959270324"/>
    <n v="100"/>
    <n v="0.03"/>
    <n v="1959270324"/>
  </r>
  <r>
    <n v="2022"/>
    <n v="100"/>
    <x v="13"/>
    <s v="SECRETARIA GENERAL"/>
    <s v="05 SECRETARIA GENERAL"/>
    <n v="2021130010196"/>
    <s v="07. PILAR CARTAGENA RESILIENTE"/>
    <s v="7.6 LÍNEA ESTRATÉGICA SERVICIOS PÚBLICOS BÁSICOS DEL DISTRITO DE CARTAGENA DE INDIAS: “TODOS CON TODO”"/>
    <s v="7.6.1 DE AHORRO Y USO EFICIENTE DE LOS SERVICIOS PÚBLICOS, &quot;AGUA Y SANEAMIENTO BÁSICO PARA TODOS&quot;"/>
    <s v="2,3,4003,1400,2021130010196"/>
    <s v="809"/>
    <s v="1,3,3,10,00-95-111 RB  SGP APSB"/>
    <s v="INV"/>
    <s v="NO"/>
    <s v="ADMINISTRACION DEL FONDO DE SOLIDARIDAD Y REDISTRIBUCION DEL INGRESOS PARA LOS SERVICIOS PUBLICOS DOMICILIARIOS DE ACUEDUCTO, ALCANTARILLADO Y ASEO EN EL DISTRITO DE CARTAGENA DE INDIAS"/>
    <s v="2021130010196 ADMINISTRACION DEL FONDO DE SOLIDARIDAD Y REDISTRIBUCION DEL INGRESOS PARA LOS SERVICIOS PUBLICOS DOMICILIARIOS DE ACUEDUCTO, ALCANTARILLADO Y ASEO EN EL DISTRITO DE CARTAGENA DE INDIAS"/>
    <s v="06"/>
    <s v="00"/>
    <n v="0"/>
    <n v="70343770"/>
    <n v="70343770"/>
    <n v="70343770"/>
    <n v="0"/>
    <n v="70343770"/>
    <n v="100"/>
    <n v="70343770"/>
    <n v="100"/>
    <n v="0"/>
    <n v="70343770"/>
  </r>
  <r>
    <n v="2022"/>
    <n v="100"/>
    <x v="13"/>
    <s v="SECRETARIA GENERAL"/>
    <s v="05 SECRETARIA GENERAL"/>
    <n v="2021130010196"/>
    <s v="07. PILAR CARTAGENA RESILIENTE"/>
    <s v="7.6 LÍNEA ESTRATÉGICA SERVICIOS PÚBLICOS BÁSICOS DEL DISTRITO DE CARTAGENA DE INDIAS: “TODOS CON TODO”"/>
    <s v="7.6.1 DE AHORRO Y USO EFICIENTE DE LOS SERVICIOS PÚBLICOS, &quot;AGUA Y SANEAMIENTO BÁSICO PARA TODOS&quot;"/>
    <s v="2,3,4003,1400,2021130010196"/>
    <s v="055"/>
    <s v="1,2,4,6,00-055 - SGP APSB"/>
    <s v="INV"/>
    <s v="NO"/>
    <s v="ADMINISTRACION DEL FONDO DE SOLIDARIDAD Y REDISTRIBUCION DEL INGRESOS PARA LOS SERVICIOS PUBLICOS DOMICILIARIOS DE ACUEDUCTO, ALCANTARILLADO Y ASEO EN EL DISTRITO DE CARTAGENA DE INDIAS"/>
    <s v="2021130010196 ADMINISTRACION DEL FONDO DE SOLIDARIDAD Y REDISTRIBUCION DEL INGRESOS PARA LOS SERVICIOS PUBLICOS DOMICILIARIOS DE ACUEDUCTO, ALCANTARILLADO Y ASEO EN EL DISTRITO DE CARTAGENA DE INDIAS"/>
    <s v="06"/>
    <s v="00"/>
    <n v="30872593416"/>
    <n v="-169445132"/>
    <n v="30703148284"/>
    <n v="28000674983"/>
    <n v="2702473301"/>
    <n v="27313076879"/>
    <n v="88.96"/>
    <n v="23926330089"/>
    <n v="77.930000000000007"/>
    <n v="3390071405"/>
    <n v="22434230074"/>
  </r>
  <r>
    <n v="2022"/>
    <n v="100"/>
    <x v="13"/>
    <s v="SECRETARIA GENERAL"/>
    <s v="05 SECRETARIA GENERAL"/>
    <n v="2021130010196"/>
    <s v="07. PILAR CARTAGENA RESILIENTE"/>
    <s v="7.6 LÍNEA ESTRATÉGICA SERVICIOS PÚBLICOS BÁSICOS DEL DISTRITO DE CARTAGENA DE INDIAS: “TODOS CON TODO”"/>
    <s v="7.6.1 DE AHORRO Y USO EFICIENTE DE LOS SERVICIOS PÚBLICOS, &quot;AGUA Y SANEAMIENTO BÁSICO PARA TODOS&quot;"/>
    <s v="2,3,4003,1400,2021130010196"/>
    <s v="062"/>
    <s v="1,3,1,1,03-062 - DIVIDENDOS ACUACAR"/>
    <s v="INV"/>
    <s v="NO"/>
    <s v="ADMINISTRACION DEL FONDO DE SOLIDARIDAD Y REDISTRIBUCION DEL INGRESOS PARA LOS SERVICIOS PUBLICOS DOMICILIARIOS DE ACUEDUCTO, ALCANTARILLADO Y ASEO EN EL DISTRITO DE CARTAGENA DE INDIAS"/>
    <s v="2021130010196 ADMINISTRACION DEL FONDO DE SOLIDARIDAD Y REDISTRIBUCION DEL INGRESOS PARA LOS SERVICIOS PUBLICOS DOMICILIARIOS DE ACUEDUCTO, ALCANTARILLADO Y ASEO EN EL DISTRITO DE CARTAGENA DE INDIAS"/>
    <s v="06"/>
    <s v="00"/>
    <n v="8662789238"/>
    <n v="0"/>
    <n v="8662789238"/>
    <n v="8487891697"/>
    <n v="174897541"/>
    <n v="8487891697"/>
    <n v="97.98"/>
    <n v="8487891697"/>
    <n v="97.98"/>
    <n v="174897541"/>
    <n v="8074088656"/>
  </r>
  <r>
    <n v="2022"/>
    <n v="100"/>
    <x v="13"/>
    <s v="SECRETARIA GENERAL"/>
    <s v="05 SECRETARIA GENERAL"/>
    <n v="2021130010196"/>
    <s v="07. PILAR CARTAGENA RESILIENTE"/>
    <s v="7.6 LÍNEA ESTRATÉGICA SERVICIOS PÚBLICOS BÁSICOS DEL DISTRITO DE CARTAGENA DE INDIAS: “TODOS CON TODO”"/>
    <s v="7.6.1 DE AHORRO Y USO EFICIENTE DE LOS SERVICIOS PÚBLICOS, &quot;AGUA Y SANEAMIENTO BÁSICO PARA TODOS&quot;"/>
    <s v="2,3,4003,1400,2021130010196"/>
    <s v="111"/>
    <s v="1,3,2,2,13-111 - RF SGP APSB"/>
    <s v="INV"/>
    <s v="NO"/>
    <s v="ADMINISTRACION DEL FONDO DE SOLIDARIDAD Y REDISTRIBUCION DEL INGRESOS PARA LOS SERVICIOS PUBLICOS DOMICILIARIOS DE ACUEDUCTO, ALCANTARILLADO Y ASEO EN EL DISTRITO DE CARTAGENA DE INDIAS"/>
    <s v="2021130010196 ADMINISTRACION DEL FONDO DE SOLIDARIDAD Y REDISTRIBUCION DEL INGRESOS PARA LOS SERVICIOS PUBLICOS DOMICILIARIOS DE ACUEDUCTO, ALCANTARILLADO Y ASEO EN EL DISTRITO DE CARTAGENA DE INDIAS"/>
    <s v="06"/>
    <s v="00"/>
    <n v="89171393"/>
    <n v="0"/>
    <n v="89171393"/>
    <n v="0"/>
    <n v="89171393"/>
    <n v="0"/>
    <n v="0"/>
    <n v="0"/>
    <n v="0"/>
    <n v="89171393"/>
    <n v="0"/>
  </r>
  <r>
    <n v="2022"/>
    <n v="100"/>
    <x v="13"/>
    <s v="SECRETARIA GENERAL"/>
    <s v="05 SECRETARIA GENERAL"/>
    <n v="2021130010196"/>
    <s v="07. PILAR CARTAGENA RESILIENTE"/>
    <s v="7.6 LÍNEA ESTRATÉGICA SERVICIOS PÚBLICOS BÁSICOS DEL DISTRITO DE CARTAGENA DE INDIAS: “TODOS CON TODO”"/>
    <s v="7.6.1 DE AHORRO Y USO EFICIENTE DE LOS SERVICIOS PÚBLICOS, &quot;AGUA Y SANEAMIENTO BÁSICO PARA TODOS&quot;"/>
    <s v="2,3,4003,1400,2021130010196"/>
    <s v="001"/>
    <s v="1,2,1,0,00-001 - ICLD"/>
    <s v="INV"/>
    <s v="NO"/>
    <s v="ADMINISTRACION DEL FONDO DE SOLIDARIDAD Y REDISTRIBUCION DEL INGRESOS PARA LOS SERVICIOS PUBLICOS DOMICILIARIOS DE ACUEDUCTO, ALCANTARILLADO Y ASEO EN EL DISTRITO DE CARTAGENA DE INDIAS"/>
    <s v="2021130010196 ADMINISTRACION DEL FONDO DE SOLIDARIDAD Y REDISTRIBUCION DEL INGRESOS PARA LOS SERVICIOS PUBLICOS DOMICILIARIOS DE ACUEDUCTO, ALCANTARILLADO Y ASEO EN EL DISTRITO DE CARTAGENA DE INDIAS"/>
    <s v="06"/>
    <s v="00"/>
    <n v="4196469199"/>
    <n v="14977479880.32"/>
    <n v="19173949079.32"/>
    <n v="19173949079.32"/>
    <n v="0"/>
    <n v="19173949079.32"/>
    <n v="100"/>
    <n v="13964053695.27"/>
    <n v="72.83"/>
    <n v="0"/>
    <n v="13964053695.27"/>
  </r>
  <r>
    <n v="2022"/>
    <n v="100"/>
    <x v="11"/>
    <s v="ESTABLECIMIENTO PUBLICO AMBIENTAL-EPA"/>
    <s v="21 ESTABLECIMIENTO PUBLICO AMBIENTAL-EPA"/>
    <n v="2021130010197"/>
    <s v="07. PILAR CARTAGENA RESILIENTE"/>
    <s v="7.1 LÍNEA ESTRATÉGICA: “SALVEMOS JUNTOS NUESTRO PATRIMONIO NATURAL”"/>
    <s v="7.1.1 RECUPERAR Y RESTAURAR NUESTRAS ÁREAS NATURALES (BOSQUES Y BIODIVERSIDAD Y SERVICIOS ECO SISTÉMICOS)"/>
    <s v="2,3,3202,0900,2021130010197"/>
    <s v="935"/>
    <s v="1,3,3,4,02-93-031- R,B, CONTRIBUCION DEL SECTOR ELECTRICO"/>
    <s v="INV"/>
    <s v="NO"/>
    <s v="RECUPERACION DE AREAS AMBIENTALES DEGRADADAS CARTAGENA DE INDIAS"/>
    <s v="2021130010197 RECUPERACION DE AREAS AMBIENTALES DEGRADADAS CARTAGENA DE INDIAS"/>
    <s v="06"/>
    <s v="00"/>
    <n v="0"/>
    <n v="40000000"/>
    <n v="40000000"/>
    <n v="0"/>
    <n v="40000000"/>
    <n v="0"/>
    <n v="0"/>
    <n v="0"/>
    <n v="0"/>
    <n v="40000000"/>
    <n v="0"/>
  </r>
  <r>
    <n v="2022"/>
    <n v="100"/>
    <x v="11"/>
    <s v="ESTABLECIMIENTO PUBLICO AMBIENTAL-EPA"/>
    <s v="21 ESTABLECIMIENTO PUBLICO AMBIENTAL-EPA"/>
    <n v="2021130010197"/>
    <s v="07. PILAR CARTAGENA RESILIENTE"/>
    <s v="7.1 LÍNEA ESTRATÉGICA: “SALVEMOS JUNTOS NUESTRO PATRIMONIO NATURAL”"/>
    <s v="7.1.1 RECUPERAR Y RESTAURAR NUESTRAS ÁREAS NATURALES (BOSQUES Y BIODIVERSIDAD Y SERVICIOS ECO SISTÉMICOS)"/>
    <s v="2,3,3202,0900,2021130010197"/>
    <s v="001"/>
    <s v="1,2,1,0,00-001 - ICLD"/>
    <s v="INV"/>
    <s v="NO"/>
    <s v="RECUPERACION DE AREAS AMBIENTALMENTE DEGRADADAS  CARTAGENA DE INDIAS"/>
    <s v="2021130010197 RECUPERACION DE AREAS AMBIENTALMENTE DEGRADADAS  CARTAGENA DE INDIAS"/>
    <s v="06"/>
    <s v="00"/>
    <n v="1000000000"/>
    <n v="0"/>
    <n v="1000000000"/>
    <n v="1000000000"/>
    <n v="0"/>
    <n v="1000000000"/>
    <n v="100"/>
    <n v="1000000000"/>
    <n v="100"/>
    <n v="0"/>
    <n v="1000000000"/>
  </r>
  <r>
    <n v="2022"/>
    <n v="100"/>
    <x v="11"/>
    <s v="ESTABLECIMIENTO PUBLICO AMBIENTAL-EPA"/>
    <s v="21 ESTABLECIMIENTO PUBLICO AMBIENTAL-EPA"/>
    <n v="2021130010198"/>
    <s v="07. PILAR CARTAGENA RESILIENTE"/>
    <s v="7.1 LÍNEA ESTRATÉGICA: “SALVEMOS JUNTOS NUESTRO PATRIMONIO NATURAL”"/>
    <s v="7.1.5 SALVEMOS JUNTOS NUESTRO RECURSO HÍDRICO (GESTION INTEGRAL RECURSOS HÍDRICOS)"/>
    <s v="2,3,3203,0900,2021130010198"/>
    <s v="935"/>
    <s v="1,3,3,4,02-93-031- R,B, CONTRIBUCION DEL SECTOR ELECTRICO"/>
    <s v="INV"/>
    <s v="NO"/>
    <s v="IMPLEMENTACION DE LA GESTION INTEGRAL DEL RECUSROS HIDRICO CARTAGENA DE INDIAS"/>
    <s v="2021130010198 IMPLEMENTACION DE LA GESTION INTEGRAL DEL RECUSROS HIDRICO CARTAGENA DE INDIAS"/>
    <s v="06"/>
    <s v="00"/>
    <n v="0"/>
    <n v="1171112281.8499999"/>
    <n v="1171112281.8499999"/>
    <n v="0"/>
    <n v="1171112281.8499999"/>
    <n v="0"/>
    <n v="0"/>
    <n v="0"/>
    <n v="0"/>
    <n v="1171112281.8499999"/>
    <n v="0"/>
  </r>
  <r>
    <n v="2022"/>
    <n v="100"/>
    <x v="11"/>
    <s v="ESTABLECIMIENTO PUBLICO AMBIENTAL-EPA"/>
    <s v="21 ESTABLECIMIENTO PUBLICO AMBIENTAL-EPA"/>
    <n v="2021130010198"/>
    <s v="07. PILAR CARTAGENA RESILIENTE"/>
    <s v="7.1 LÍNEA ESTRATÉGICA: “SALVEMOS JUNTOS NUESTRO PATRIMONIO NATURAL”"/>
    <s v="7.1.5 SALVEMOS JUNTOS NUESTRO RECURSO HÍDRICO (GESTION INTEGRAL RECURSOS HÍDRICOS)"/>
    <s v="2,3,3203,0900,2021130010198"/>
    <s v="014"/>
    <s v="1,2,3,2,03-014 - TASA RETRIBUTIVA"/>
    <s v="INV"/>
    <s v="NO"/>
    <s v="IMPLEMENTACION DE LA GESTION INTEGRAL DEL RECURSO HIDRICO  CARTAGENA DE INDIAS"/>
    <s v="2021130010198 IMPLEMENTACION DE LA GESTION INTEGRAL DEL RECURSO HIDRICO  CARTAGENA DE INDIAS"/>
    <s v="06"/>
    <s v="00"/>
    <n v="1"/>
    <n v="0"/>
    <n v="1"/>
    <n v="0"/>
    <n v="1"/>
    <n v="0"/>
    <n v="0"/>
    <n v="0"/>
    <n v="0"/>
    <n v="1"/>
    <n v="0"/>
  </r>
  <r>
    <n v="2022"/>
    <n v="100"/>
    <x v="11"/>
    <s v="ESTABLECIMIENTO PUBLICO AMBIENTAL-EPA"/>
    <s v="21 ESTABLECIMIENTO PUBLICO AMBIENTAL-EPA"/>
    <n v="2021130010198"/>
    <s v="07. PILAR CARTAGENA RESILIENTE"/>
    <s v="7.1 LÍNEA ESTRATÉGICA: “SALVEMOS JUNTOS NUESTRO PATRIMONIO NATURAL”"/>
    <s v="7.1.5 SALVEMOS JUNTOS NUESTRO RECURSO HÍDRICO (GESTION INTEGRAL RECURSOS HÍDRICOS)"/>
    <s v="2,3,3203,0900,2021130010198"/>
    <s v="031"/>
    <s v="1,2,3,2,12-031 - CONTRIBUCCION DEL SECTOR ELECTRICO - GENERAL "/>
    <s v="INV"/>
    <s v="NO"/>
    <s v="IMPLEMENTACION DE LA GESTION INTEGRAL DEL RECURSO HIDRICO  CARTAGENA DE INDIAS"/>
    <s v="2021130010198 IMPLEMENTACION DE LA GESTION INTEGRAL DEL RECURSO HIDRICO  CARTAGENA DE INDIAS"/>
    <s v="06"/>
    <s v="00"/>
    <n v="900000000"/>
    <n v="0"/>
    <n v="900000000"/>
    <n v="0"/>
    <n v="900000000"/>
    <n v="0"/>
    <n v="0"/>
    <n v="0"/>
    <n v="0"/>
    <n v="900000000"/>
    <n v="0"/>
  </r>
  <r>
    <n v="2022"/>
    <n v="100"/>
    <x v="11"/>
    <s v="ESTABLECIMIENTO PUBLICO AMBIENTAL-EPA"/>
    <s v="21 ESTABLECIMIENTO PUBLICO AMBIENTAL-EPA"/>
    <n v="2021130010198"/>
    <s v="07. PILAR CARTAGENA RESILIENTE"/>
    <s v="7.1 LÍNEA ESTRATÉGICA: “SALVEMOS JUNTOS NUESTRO PATRIMONIO NATURAL”"/>
    <s v="7.1.5 SALVEMOS JUNTOS NUESTRO RECURSO HÍDRICO (GESTION INTEGRAL RECURSOS HÍDRICOS)"/>
    <s v="2,3,3203,0900,2021130010198"/>
    <s v="094"/>
    <s v="1,2,3,2,05-094 - OTRAS TASAS Y DERECHOS ADMINISTRATIVOS SOBRETASA PEAJE"/>
    <s v="INV"/>
    <s v="NO"/>
    <s v="IMPLEMENTACION DE LA GESTION INTEGRAL DEL RECURSO HIDRICO  CARTAGENA DE INDIAS"/>
    <s v="2021130010198 IMPLEMENTACION DE LA GESTION INTEGRAL DEL RECURSO HIDRICO  CARTAGENA DE INDIAS"/>
    <s v="06"/>
    <s v="00"/>
    <n v="500000000"/>
    <n v="0"/>
    <n v="500000000"/>
    <n v="0"/>
    <n v="500000000"/>
    <n v="0"/>
    <n v="0"/>
    <n v="0"/>
    <n v="0"/>
    <n v="500000000"/>
    <n v="0"/>
  </r>
  <r>
    <n v="2022"/>
    <n v="100"/>
    <x v="13"/>
    <s v="SECRETARIA GENERAL"/>
    <s v="05 SECRETARIA GENERAL"/>
    <n v="2021130010199"/>
    <s v="10. PILAR: CARTAGENA TRANSPARENTE"/>
    <s v="10.2 LÍNEA ESTRATÉGICA: CARTAGENA INTELIGENTE CON TODOS Y PARA TODOS"/>
    <s v="10.2.3 PROGRAMA: CARTAGENA HACIA LA MODERNIDAD"/>
    <s v="2,3,4599,1000,2021130010199"/>
    <s v="001"/>
    <s v="1,2,1,0,00-001 - ICLD"/>
    <s v="INV"/>
    <s v="NO"/>
    <s v="MODERNIZACION CARTAGENA HACIA LA MODERNIDAD  CARTAGENA DE INDIAS"/>
    <s v="2021130010199 MODERNIZACION CARTAGENA HACIA LA MODERNIDAD  CARTAGENA DE INDIAS"/>
    <s v="06"/>
    <s v="00"/>
    <n v="640000000"/>
    <n v="-46000000"/>
    <n v="594000000"/>
    <n v="594000000"/>
    <n v="0"/>
    <n v="593866668"/>
    <n v="99.98"/>
    <n v="593866668"/>
    <n v="99.98"/>
    <n v="133332"/>
    <n v="575366668"/>
  </r>
  <r>
    <n v="2022"/>
    <n v="100"/>
    <x v="11"/>
    <s v="ESTABLECIMIENTO PUBLICO AMBIENTAL-EPA"/>
    <s v="21 ESTABLECIMIENTO PUBLICO AMBIENTAL-EPA"/>
    <n v="2021130010200"/>
    <s v="07. PILAR CARTAGENA RESILIENTE"/>
    <s v="7.1 LÍNEA ESTRATÉGICA: “SALVEMOS JUNTOS NUESTRO PATRIMONIO NATURAL”"/>
    <s v="7.1.2 ORDENAMIENTO AMBIENTAL Y ADAPTACIÓN AL CAMBIO CLIMÁTICO PARA LA SOSTENIBILIDAD AMBIENTAL. (MITIGACIÓN Y GESTIÓN DEL RIESGO AMBIENTAL)"/>
    <s v="2,3,3202,0900,2021130010200"/>
    <s v="001"/>
    <s v="1,2,1,0,00-001 - ICLD"/>
    <s v="INV"/>
    <s v="NO"/>
    <s v="IMPLEMENTACION DE UN ORDENAMIENTO PARA EL DESARROLLO AMBIENTAL EN EL AREA DE JURISDICCION DEL ESTABLECIMIENTO PUBLICO AMBIENTAL DE   CARTAGENA DE INDIAS"/>
    <s v="2021130010200 IMPLEMENTACION DE UN ORDENAMIENTO PARA EL DESARROLLO AMBIENTAL EN EL AREA DE JURISDICCION DEL ESTABLECIMIENTO PUBLICO AMBIENTAL DE   CARTAGENA DE INDIAS"/>
    <s v="06"/>
    <s v="00"/>
    <n v="250000000"/>
    <n v="0"/>
    <n v="250000000"/>
    <n v="183000000"/>
    <n v="67000000"/>
    <n v="183000000"/>
    <n v="73.2"/>
    <n v="183000000"/>
    <n v="73.2"/>
    <n v="67000000"/>
    <n v="183000000"/>
  </r>
  <r>
    <n v="2022"/>
    <n v="100"/>
    <x v="11"/>
    <s v="ESTABLECIMIENTO PUBLICO AMBIENTAL-EPA"/>
    <s v="21 ESTABLECIMIENTO PUBLICO AMBIENTAL-EPA"/>
    <n v="2021130010201"/>
    <s v="07. PILAR CARTAGENA RESILIENTE"/>
    <s v="7.1 LÍNEA ESTRATÉGICA: “SALVEMOS JUNTOS NUESTRO PATRIMONIO NATURAL”"/>
    <s v="7.1.2 ORDENAMIENTO AMBIENTAL Y ADAPTACIÓN AL CAMBIO CLIMÁTICO PARA LA SOSTENIBILIDAD AMBIENTAL. (MITIGACIÓN Y GESTIÓN DEL RIESGO AMBIENTAL)"/>
    <s v="2,3,3206,0900,2021130010201"/>
    <s v="001"/>
    <s v="1,2,1,0,00-001 - ICLD"/>
    <s v="INV"/>
    <s v="NO"/>
    <s v="FORMULACION Y ADOPCION DEL PLAN INTEGRAL DE GESTION DEL CAMBIO CLIMATICO PIACC DEL DISTRITO DE CARTAGENA DE INDIAS EN EL MARCO DE LO DISPUESTO POR LA LEY 1931 DEL 2018 BOLIVAR"/>
    <s v="2021130010201 FORMULACION Y ADOPCION DEL PLAN INTEGRAL DE GESTION DEL CAMBIO CLIMATICO PIACC DEL DISTRITO DE CARTAGENA DE INDIAS EN EL MARCO DE LO DISPUESTO POR LA LEY 1931 DEL 2018 BOLIVAR"/>
    <s v="06"/>
    <s v="00"/>
    <n v="178834818"/>
    <n v="0"/>
    <n v="178834818"/>
    <n v="178834818"/>
    <n v="0"/>
    <n v="178834818"/>
    <n v="100"/>
    <n v="178834818"/>
    <n v="100"/>
    <n v="0"/>
    <n v="178834818"/>
  </r>
  <r>
    <n v="2022"/>
    <n v="100"/>
    <x v="13"/>
    <s v="SECRETARIA GENERAL"/>
    <s v="05 SECRETARIA GENERAL"/>
    <n v="2021130010202"/>
    <s v="07. PILAR CARTAGENA RESILIENTE"/>
    <s v="7.6 LÍNEA ESTRATÉGICA SERVICIOS PÚBLICOS BÁSICOS DEL DISTRITO DE CARTAGENA DE INDIAS: “TODOS CON TODO”"/>
    <s v="7.6.2 ENERGÍA ASEQUIBLE, CONFIABLE SOSTENIBLE Y MODERNA PARA TODOS."/>
    <s v="2,3,2102,1900,2021130010202"/>
    <s v="001"/>
    <s v="1,2,1,0,00-001 - ICLD"/>
    <s v="INV"/>
    <s v="NO"/>
    <s v="IMPLEMENTACION DE LA GARANTIA AL ACCESO A UNA ENERGIA LIMPIA, ASEQUIBLE, SEGURA, SOSTENIBLE, MODERNA Y EFICIENTE PARA LAS ZONAS RURAL E INSULAR DE CARTAGENA DE INDIAS"/>
    <s v="2021130010202 IMPLEMENTACION DE LA GARANTIA AL ACCESO A UNA ENERGIA LIMPIA, ASEQUIBLE, SEGURA, SOSTENIBLE, MODERNA Y EFICIENTE PARA LAS ZONAS RURAL E INSULAR DE CARTAGENA DE INDIAS"/>
    <s v="06"/>
    <s v="00"/>
    <n v="200000000"/>
    <n v="-200000000"/>
    <n v="0"/>
    <n v="0"/>
    <n v="0"/>
    <n v="0"/>
    <n v="0"/>
    <n v="0"/>
    <n v="0"/>
    <n v="0"/>
    <n v="0"/>
  </r>
  <r>
    <n v="2022"/>
    <n v="100"/>
    <x v="13"/>
    <s v="SECRETARIA GENERAL"/>
    <s v="05 SECRETARIA GENERAL"/>
    <n v="2021130010203"/>
    <s v="09. PILAR CARTAGENA CONTINGENTE"/>
    <s v="9.3 LÍNEA ESTRATÉGICA: TURISMO, MOTOR DE REACTIVACIÓN ECONÓMICA PARA CARTAGENA DE INDIAS"/>
    <s v="9.3.3 PROGRAMA: TURISMO COMPETITIVO Y SOSTENIBLE"/>
    <s v="2,3,3502,0200,2021130010203"/>
    <s v="001"/>
    <s v="1,2,1,0,00-001 - ICLD"/>
    <s v="INV"/>
    <s v="NO"/>
    <s v="DESARROLLO DEL TURISMO COMPETITIVO Y SOSTENIBLE PARA CARTAGENA DE INDIAS"/>
    <s v="2021130010203 DESARROLLO DEL TURISMO COMPETITIVO Y SOSTENIBLE PARA CARTAGENA DE INDIAS"/>
    <s v="06"/>
    <s v="00"/>
    <n v="102600000"/>
    <n v="0"/>
    <n v="102600000"/>
    <n v="102600000"/>
    <n v="0"/>
    <n v="102600000"/>
    <n v="100"/>
    <n v="0"/>
    <n v="0"/>
    <n v="0"/>
    <n v="0"/>
  </r>
  <r>
    <n v="2022"/>
    <n v="100"/>
    <x v="13"/>
    <s v="SECRETARIA GENERAL"/>
    <s v="05 SECRETARIA GENERAL"/>
    <n v="2021130010204"/>
    <s v="09. PILAR CARTAGENA CONTINGENTE"/>
    <s v="9.3 LÍNEA ESTRATÉGICA: TURISMO, MOTOR DE REACTIVACIÓN ECONÓMICA PARA CARTAGENA DE INDIAS"/>
    <s v="9.3.1 PROGRAMA: PROMOCIÓN NACIONAL E INTERNACIONAL DE CARTAGENA DE INDIAS"/>
    <s v="2,3,3502,0200,2021130010204"/>
    <s v="001"/>
    <s v="1,2,1,0,00-001 - ICLD"/>
    <s v="INV"/>
    <s v="NO"/>
    <s v="CONSOLIDACION DE LA CONECTIVIDAD PARA CARTAGENA DE INDIAS"/>
    <s v="2021130010204 CONSOLIDACION DE LA CONECTIVIDAD PARA CARTAGENA DE INDIAS"/>
    <s v="06"/>
    <s v="00"/>
    <n v="51300000"/>
    <n v="0"/>
    <n v="51300000"/>
    <n v="51300000"/>
    <n v="0"/>
    <n v="51300000"/>
    <n v="100"/>
    <n v="0"/>
    <n v="0"/>
    <n v="0"/>
    <n v="0"/>
  </r>
  <r>
    <n v="2022"/>
    <n v="100"/>
    <x v="13"/>
    <s v="SECRETARIA GENERAL"/>
    <s v="05 SECRETARIA GENERAL"/>
    <n v="2021130010205"/>
    <s v="09. PILAR CARTAGENA CONTINGENTE"/>
    <s v="9.3 LÍNEA ESTRATÉGICA: TURISMO, MOTOR DE REACTIVACIÓN ECONÓMICA PARA CARTAGENA DE INDIAS"/>
    <s v="9.3.2 PROGRAMA: CONECTIVIDAD"/>
    <s v="2,3,3502,0200,2021130010205"/>
    <s v="001"/>
    <s v="1,2,1,0,00-001 - ICLD"/>
    <s v="INV"/>
    <s v="NO"/>
    <s v="CONSOLIDACION DE LA PROMOCION NACIONAL E INTERNACIONAL DE CARTAGENA DE INDIAS"/>
    <s v="2021130010205 CONSOLIDACION DE LA PROMOCION NACIONAL E INTERNACIONAL DE CARTAGENA DE INDIAS"/>
    <s v="06"/>
    <s v="00"/>
    <n v="102600000"/>
    <n v="0"/>
    <n v="102600000"/>
    <n v="102600000"/>
    <n v="0"/>
    <n v="102600000"/>
    <n v="100"/>
    <n v="0"/>
    <n v="0"/>
    <n v="0"/>
    <n v="0"/>
  </r>
  <r>
    <n v="2022"/>
    <n v="100"/>
    <x v="13"/>
    <s v="SECRETARIA GENERAL"/>
    <s v="05 SECRETARIA GENERAL"/>
    <n v="2021130010208"/>
    <s v="07. PILAR CARTAGENA RESILIENTE"/>
    <s v="7.6 LÍNEA ESTRATÉGICA SERVICIOS PÚBLICOS BÁSICOS DEL DISTRITO DE CARTAGENA DE INDIAS: “TODOS CON TODO”"/>
    <s v="7.6.1 DE AHORRO Y USO EFICIENTE DE LOS SERVICIOS PÚBLICOS, &quot;AGUA Y SANEAMIENTO BÁSICO PARA TODOS&quot;"/>
    <s v="2,3,4003,1400,2021130010208"/>
    <s v="816"/>
    <s v="1,3,3,11,03-95-138 R,B, DIVIDENDOS SOCIEDAD PORTUARIA"/>
    <s v="INV"/>
    <s v="NO"/>
    <s v=" ACTUALIZACION EXTENSION DE REDES DE ACUEDUCTO EN EL DISTRITO DE CARTAGENA  DE INDIAS"/>
    <s v="2021130010208  ACTUALIZACION EXTENSION DE REDES DE ACUEDUCTO EN EL DISTRITO DE CARTAGENA  DE INDIAS"/>
    <s v="06"/>
    <s v="00"/>
    <n v="0"/>
    <n v="250000000"/>
    <n v="250000000"/>
    <n v="0"/>
    <n v="250000000"/>
    <n v="0"/>
    <n v="0"/>
    <n v="0"/>
    <n v="0"/>
    <n v="250000000"/>
    <n v="0"/>
  </r>
  <r>
    <n v="2022"/>
    <n v="100"/>
    <x v="13"/>
    <s v="SECRETARIA GENERAL"/>
    <s v="05 SECRETARIA GENERAL"/>
    <n v="2021130010208"/>
    <s v="07. PILAR CARTAGENA RESILIENTE"/>
    <s v="7.6 LÍNEA ESTRATÉGICA SERVICIOS PÚBLICOS BÁSICOS DEL DISTRITO DE CARTAGENA DE INDIAS: “TODOS CON TODO”"/>
    <s v="7.6.1 DE AHORRO Y USO EFICIENTE DE LOS SERVICIOS PÚBLICOS, &quot;AGUA Y SANEAMIENTO BÁSICO PARA TODOS&quot;"/>
    <s v="2,3,4003,1400,2021130010208"/>
    <s v="055"/>
    <s v="1,2,4,6,00-055 - SGP APSB"/>
    <s v="INV"/>
    <s v="NO"/>
    <s v=" ACTUALIZACION EXTENSION DE REDES DE ACUEDUCTO EN EL DISTRITO DE CARTAGENA CARTAGENA DE INDIAS"/>
    <s v="2021130010208  ACTUALIZACION EXTENSION DE REDES DE ACUEDUCTO EN EL DISTRITO DE CARTAGENA CARTAGENA DE INDIAS"/>
    <s v="06"/>
    <s v="00"/>
    <n v="567275082"/>
    <n v="-467275082"/>
    <n v="100000000"/>
    <n v="0"/>
    <n v="100000000"/>
    <n v="0"/>
    <n v="0"/>
    <n v="0"/>
    <n v="0"/>
    <n v="100000000"/>
    <n v="0"/>
  </r>
  <r>
    <n v="2022"/>
    <n v="100"/>
    <x v="9"/>
    <s v="SECRETARIA DE PARTICIPACION Y DESARROLLO SOCIAL"/>
    <s v="08 SECRETARIA DE PARTICIPACION Y DESARROLLO SOCIAL"/>
    <n v="2021130010209"/>
    <s v="11. EJE TRANSVERSAL: CARTAGENA CON ATENCION Y GARANTIA DE DERECHOS A POBLACION DIFERENCIAL."/>
    <s v="11.6 LÍNEA ESTRATÉGICA: TODOS POR LA PROTECCIÓN SOCIAL DE LAS PERSONAS CON DISCAPACIDAD: “RECONOCIDAS, EMPODERADAS Y RESPETADAS”."/>
    <s v="11.6.1 PROGRAMA: GESTIÓN SOCIAL INTEGRAL Y ARTICULADORA POR LA PROTECCIÓN DE LAS PERSONAS CON DISCAPACIDAD Y/O SU FAMILIA O CUIDADOR."/>
    <s v="2,3,4104,1500,2021130010209"/>
    <s v="001"/>
    <s v="1,2,1,0,00-001 - ICLD"/>
    <s v="INV"/>
    <s v="NO"/>
    <s v="ASISTENCIA EN LA GESTION SOCIAL INTEGRAL Y ARTICULADORA POR LA PROTECCION DE LAS PERSONAS CON DISCAPACIDAD Y/O SU FAMILIA O CUIDADOR-0 CARTAGENA DE INDIAS"/>
    <s v="2021130010209 ASISTENCIA EN LA GESTION SOCIAL INTEGRAL Y ARTICULADORA POR LA PROTECCION DE LAS PERSONAS CON DISCAPACIDAD Y/O SU FAMILIA O CUIDADOR-0 CARTAGENA DE INDIAS"/>
    <s v="06"/>
    <s v="00"/>
    <n v="300000000"/>
    <n v="0"/>
    <n v="300000000"/>
    <n v="277015243"/>
    <n v="22984757"/>
    <n v="254883100.74000001"/>
    <n v="84.96"/>
    <n v="159492600.74000001"/>
    <n v="53.16"/>
    <n v="45116899.259999998"/>
    <n v="124860600.73999999"/>
  </r>
  <r>
    <n v="2022"/>
    <n v="100"/>
    <x v="9"/>
    <s v="SECRETARIA DE PARTICIPACION Y DESARROLLO SOCIAL"/>
    <s v="08 SECRETARIA DE PARTICIPACION Y DESARROLLO SOCIAL"/>
    <n v="2021130010210"/>
    <s v="11. EJE TRANSVERSAL: CARTAGENA CON ATENCION Y GARANTIA DE DERECHOS A POBLACION DIFERENCIAL."/>
    <s v="11.6 LÍNEA ESTRATÉGICA: TODOS POR LA PROTECCIÓN SOCIAL DE LAS PERSONAS CON DISCAPACIDAD: “RECONOCIDAS, EMPODERADAS Y RESPETADAS”."/>
    <s v="11.6.3 PROGRAMA: DESARROLLO LOCAL INCLUSIVO DE LAS PERSONAS CON DISCAPACIDAD: RECONOCIMIENTO DE CAPACIDADES, DIFERENCIAS Y DIVERSIDAD."/>
    <s v="2,3,4502,1000,2021130010210"/>
    <s v="001"/>
    <s v="1,2,1,0,00-001 - ICLD"/>
    <s v="INV"/>
    <s v="NO"/>
    <s v="DESARROLLO LOCAL INCLUSIVO DE LAS PERSONAS CON DISCAPACIDAD: RECONOCIMIENTO DE CAPACIDADES, DIFERENCIAS Y DIVERSIDAD EN CARTAGENA DE INDIAS"/>
    <s v="2021130010210 DESARROLLO LOCAL INCLUSIVO DE LAS PERSONAS CON DISCAPACIDAD: RECONOCIMIENTO DE CAPACIDADES, DIFERENCIAS Y DIVERSIDAD EN CARTAGENA DE INDIAS"/>
    <s v="06"/>
    <s v="00"/>
    <n v="150000000"/>
    <n v="59400000"/>
    <n v="209400000"/>
    <n v="203100000"/>
    <n v="6300000"/>
    <n v="197200000"/>
    <n v="94.17"/>
    <n v="87700000"/>
    <n v="41.88"/>
    <n v="12200000"/>
    <n v="87700000"/>
  </r>
  <r>
    <n v="2022"/>
    <n v="100"/>
    <x v="9"/>
    <s v="SECRETARIA DE PARTICIPACION Y DESARROLLO SOCIAL"/>
    <s v="08 SECRETARIA DE PARTICIPACION Y DESARROLLO SOCIAL"/>
    <n v="2021130010211"/>
    <s v="11. EJE TRANSVERSAL: CARTAGENA CON ATENCION Y GARANTIA DE DERECHOS A POBLACION DIFERENCIAL."/>
    <s v="11.6 LÍNEA ESTRATÉGICA: TODOS POR LA PROTECCIÓN SOCIAL DE LAS PERSONAS CON DISCAPACIDAD: “RECONOCIDAS, EMPODERADAS Y RESPETADAS”."/>
    <s v="11.6.2 PROGRAMA: PACTO O ALIANZA POR LA INCLUSIÓN SOCIAL Y PRODUCTIVA DE LAS PERSONAS CON DISCAPACIDAD."/>
    <s v="2,3,4502,1000,2021130010211"/>
    <s v="001"/>
    <s v="1,2,1,0,00-001 - ICLD"/>
    <s v="INV"/>
    <s v="NO"/>
    <s v="CONTRIBUCION PACTO O ALIANZA POR LA INCLUSION SOCIAL Y PRODUCTIVA DE LAS PERSONAS CON DISCAPACIDAD EN CARTAGENA DE INDIA"/>
    <s v="2021130010211 CONTRIBUCION PACTO O ALIANZA POR LA INCLUSION SOCIAL Y PRODUCTIVA DE LAS PERSONAS CON DISCAPACIDAD EN CARTAGENA DE INDIA"/>
    <s v="06"/>
    <s v="00"/>
    <n v="300000000"/>
    <n v="-59400000"/>
    <n v="240600000"/>
    <n v="219099943"/>
    <n v="21500057"/>
    <n v="212999943"/>
    <n v="88.53"/>
    <n v="140000000"/>
    <n v="58.19"/>
    <n v="27600057"/>
    <n v="140000000"/>
  </r>
  <r>
    <n v="2022"/>
    <n v="100"/>
    <x v="13"/>
    <s v="SECRETARIA GENERAL"/>
    <s v="05 SECRETARIA GENERAL"/>
    <n v="2021130010212"/>
    <s v="07. PILAR CARTAGENA RESILIENTE"/>
    <s v="7.6 LÍNEA ESTRATÉGICA SERVICIOS PÚBLICOS BÁSICOS DEL DISTRITO DE CARTAGENA DE INDIAS: “TODOS CON TODO”"/>
    <s v="7.6.3 GESTIÓN INTEGRAL DE RESIDUOS SÓLIDOS &quot;CULTURA CIUDADANA PARA EL RECICLAJE INCLUSIVO Y LA ECONOMÍA CIRCULAR&quot;"/>
    <s v="2,3,4003,1400,2021130010212"/>
    <s v="B185"/>
    <s v="1,3,3,4,16-185 - RB INCENTIVO AL APROVECHAMIENTO Y TRATAMIENTO DE RESIDUOS SOLIDOS (IAT)"/>
    <s v="INV"/>
    <s v="NO"/>
    <s v="ACTUALIZACION IMPLEMENTACION DEL PLAN DE GESTION INTEGRAL DE RESIDUOS SOLIDOS (PGIRS) EN EL DISTRITO DE CARTAGENA DE INDIAS CARTAGENA DE INDIAS"/>
    <s v="2021130010212 ACTUALIZACION IMPLEMENTACION DEL PLAN DE GESTION INTEGRAL DE RESIDUOS SOLIDOS (PGIRS) EN EL DISTRITO DE CARTAGENA DE INDIAS CARTAGENA DE INDIAS"/>
    <s v="06"/>
    <s v="00"/>
    <n v="0"/>
    <n v="1072119702"/>
    <n v="1072119702"/>
    <n v="1071014716"/>
    <n v="1104986"/>
    <n v="1071014716"/>
    <n v="99.9"/>
    <n v="0"/>
    <n v="0"/>
    <n v="1104986"/>
    <n v="0"/>
  </r>
  <r>
    <n v="2022"/>
    <n v="100"/>
    <x v="13"/>
    <s v="SECRETARIA GENERAL"/>
    <s v="05 SECRETARIA GENERAL"/>
    <n v="2021130010212"/>
    <s v="07. PILAR CARTAGENA RESILIENTE"/>
    <s v="7.6 LÍNEA ESTRATÉGICA SERVICIOS PÚBLICOS BÁSICOS DEL DISTRITO DE CARTAGENA DE INDIAS: “TODOS CON TODO”"/>
    <s v="7.6.3 GESTIÓN INTEGRAL DE RESIDUOS SÓLIDOS &quot;CULTURA CIUDADANA PARA EL RECICLAJE INCLUSIVO Y LA ECONOMÍA CIRCULAR&quot;"/>
    <s v="2,3,4003,1400,2021130010212"/>
    <s v="B195"/>
    <s v="1,3,3,4,16-195 - RB RF INCENTIVO AL APROVECHAMIENTO Y TRATAMIENTO DE RESIDUOS SOLIDOS (IAT)"/>
    <s v="INV"/>
    <s v="NO"/>
    <s v="ACTUALIZACION IMPLEMENTACION DEL PLAN DE GESTION INTEGRAL DE RESIDUOS SOLIDOS (PGIRS) EN EL DISTRITO DE CARTAGENA DE INDIAS CARTAGENA DE INDIAS"/>
    <s v="2021130010212 ACTUALIZACION IMPLEMENTACION DEL PLAN DE GESTION INTEGRAL DE RESIDUOS SOLIDOS (PGIRS) EN EL DISTRITO DE CARTAGENA DE INDIAS CARTAGENA DE INDIAS"/>
    <s v="06"/>
    <s v="00"/>
    <n v="0"/>
    <n v="60021.68"/>
    <n v="60021.68"/>
    <n v="0"/>
    <n v="60021.68"/>
    <n v="0"/>
    <n v="0"/>
    <n v="0"/>
    <n v="0"/>
    <n v="60021.68"/>
    <n v="0"/>
  </r>
  <r>
    <n v="2022"/>
    <n v="100"/>
    <x v="13"/>
    <s v="SECRETARIA GENERAL"/>
    <s v="05 SECRETARIA GENERAL"/>
    <n v="2021130010212"/>
    <s v="07. PILAR CARTAGENA RESILIENTE"/>
    <s v="7.6 LÍNEA ESTRATÉGICA SERVICIOS PÚBLICOS BÁSICOS DEL DISTRITO DE CARTAGENA DE INDIAS: “TODOS CON TODO”"/>
    <s v="7.6.3 GESTIÓN INTEGRAL DE RESIDUOS SÓLIDOS &quot;CULTURA CIUDADANA PARA EL RECICLAJE INCLUSIVO Y LA ECONOMÍA CIRCULAR&quot;"/>
    <s v="2,3,4003,1400,2021130010212"/>
    <s v="185"/>
    <s v="1,2,3,2,22-185 - INCENTIVO AL APROVECHAMIENTO Y TRATAMIENTO DE RESIDUOS SOLIDOS (IAT)"/>
    <s v="INV"/>
    <s v="NO"/>
    <s v="ACTUALIZACION IMPLEMENTACION DEL PLAN DE GESTION INTEGRAL DE RESIDUOS SOLIDOS (PGIRS) EN EL DISTRITO DE CARTAGENA DE INDIAS CARTAGENA DE INDIAS"/>
    <s v="2021130010212 ACTUALIZACION IMPLEMENTACION DEL PLAN DE GESTION INTEGRAL DE RESIDUOS SOLIDOS (PGIRS) EN EL DISTRITO DE CARTAGENA DE INDIAS CARTAGENA DE INDIAS"/>
    <s v="06"/>
    <s v="00"/>
    <n v="0"/>
    <n v="2598985152"/>
    <n v="2598985152"/>
    <n v="2598985152"/>
    <n v="0"/>
    <n v="2598985152"/>
    <n v="100"/>
    <n v="0"/>
    <n v="0"/>
    <n v="0"/>
    <n v="0"/>
  </r>
  <r>
    <n v="2022"/>
    <n v="100"/>
    <x v="13"/>
    <s v="SECRETARIA GENERAL"/>
    <s v="05 SECRETARIA GENERAL"/>
    <n v="2021130010212"/>
    <s v="07. PILAR CARTAGENA RESILIENTE"/>
    <s v="7.6 LÍNEA ESTRATÉGICA SERVICIOS PÚBLICOS BÁSICOS DEL DISTRITO DE CARTAGENA DE INDIAS: “TODOS CON TODO”"/>
    <s v="7.6.3 GESTIÓN INTEGRAL DE RESIDUOS SÓLIDOS &quot;CULTURA CIUDADANA PARA EL RECICLAJE INCLUSIVO Y LA ECONOMÍA CIRCULAR&quot;"/>
    <s v="2,3,4003,1400,2021130010212"/>
    <s v="195"/>
    <s v="1,3,2,1,22-195 - RF INCENTIVO AL APROVECHAMIENTO Y TRATAMIENTO DE RESIDUOS SOLIDOS (IAT)"/>
    <s v="INV"/>
    <s v="NO"/>
    <s v="ACTUALIZACION IMPLEMENTACION DEL PLAN DE GESTION INTEGRAL DE RESIDUOS SOLIDOS (PGIRS) EN EL DISTRITO DE CARTAGENA DE INDIAS CARTAGENA DE INDIAS"/>
    <s v="2021130010212 ACTUALIZACION IMPLEMENTACION DEL PLAN DE GESTION INTEGRAL DE RESIDUOS SOLIDOS (PGIRS) EN EL DISTRITO DE CARTAGENA DE INDIAS CARTAGENA DE INDIAS"/>
    <s v="06"/>
    <s v="00"/>
    <n v="0"/>
    <n v="157562.45000000001"/>
    <n v="157562.45000000001"/>
    <n v="0"/>
    <n v="157562.45000000001"/>
    <n v="0"/>
    <n v="0"/>
    <n v="0"/>
    <n v="0"/>
    <n v="157562.45000000001"/>
    <n v="0"/>
  </r>
  <r>
    <n v="2022"/>
    <n v="100"/>
    <x v="13"/>
    <s v="SECRETARIA GENERAL"/>
    <s v="05 SECRETARIA GENERAL"/>
    <n v="2021130010212"/>
    <s v="07. PILAR CARTAGENA RESILIENTE"/>
    <s v="7.6 LÍNEA ESTRATÉGICA SERVICIOS PÚBLICOS BÁSICOS DEL DISTRITO DE CARTAGENA DE INDIAS: “TODOS CON TODO”"/>
    <s v="7.6.3 GESTIÓN INTEGRAL DE RESIDUOS SÓLIDOS &quot;CULTURA CIUDADANA PARA EL RECICLAJE INCLUSIVO Y LA ECONOMÍA CIRCULAR&quot;"/>
    <s v="2,3,4003,1400,2021130010212"/>
    <s v="001"/>
    <s v="1,2,1,0,00-001 - ICLD"/>
    <s v="INV"/>
    <s v="NO"/>
    <s v="ACTUALIZACION IMPLEMENTACION DEL PLAN DE GESTION INTEGRAL DE RESIDUOS SOLIDOS (PGIRS) EN EL DISTRITO DE CARTAGENA DE INDIAS CARTAGENA DE INDIAS"/>
    <s v="2021130010212 ACTUALIZACION IMPLEMENTACION DEL PLAN DE GESTION INTEGRAL DE RESIDUOS SOLIDOS (PGIRS) EN EL DISTRITO DE CARTAGENA DE INDIAS CARTAGENA DE INDIAS"/>
    <s v="06"/>
    <s v="00"/>
    <n v="1000000000"/>
    <n v="90000000"/>
    <n v="1090000000"/>
    <n v="1090000000"/>
    <n v="0"/>
    <n v="1087300000"/>
    <n v="99.75"/>
    <n v="963500000"/>
    <n v="88.39"/>
    <n v="2700000"/>
    <n v="963500000"/>
  </r>
  <r>
    <n v="2022"/>
    <n v="100"/>
    <x v="9"/>
    <s v="SECRETARIA DE PARTICIPACION Y DESARROLLO SOCIAL"/>
    <s v="08 SECRETARIA DE PARTICIPACION Y DESARROLLO SOCIAL"/>
    <n v="2021130010213"/>
    <s v="11. EJE TRANSVERSAL: CARTAGENA CON ATENCION Y GARANTIA DE DERECHOS A POBLACION DIFERENCIAL."/>
    <s v="11.2 LÍNEA ESTRATÉGICA MUJERES CARTAGENERAS POR SUS DERECHOS."/>
    <s v="11.2.1 PROGRAMA: LAS MUJERES DECIDIMOS SOBRE EL EJERCICIO DEL PODER"/>
    <s v="2,3,4502,1000,2021130010213"/>
    <s v="001"/>
    <s v="1,2,1,0,00-001 - ICLD"/>
    <s v="INV"/>
    <s v="NO"/>
    <s v="ACTUALIZACION LAS MUJERES DECIDIMOS SOBRE EL EJERCICIO DEL PODER CARTAGENA DE INDIAS"/>
    <s v="2021130010213 ACTUALIZACION LAS MUJERES DECIDIMOS SOBRE EL EJERCICIO DEL PODER CARTAGENA DE INDIAS"/>
    <s v="06"/>
    <s v="00"/>
    <n v="65000000"/>
    <n v="0"/>
    <n v="65000000"/>
    <n v="64996600"/>
    <n v="3400"/>
    <n v="64995485"/>
    <n v="99.99"/>
    <n v="56400000"/>
    <n v="86.77"/>
    <n v="4515"/>
    <n v="56400000"/>
  </r>
  <r>
    <n v="2022"/>
    <n v="100"/>
    <x v="9"/>
    <s v="SECRETARIA DE PARTICIPACION Y DESARROLLO SOCIAL"/>
    <s v="08 SECRETARIA DE PARTICIPACION Y DESARROLLO SOCIAL"/>
    <n v="2021130010214"/>
    <s v="11. EJE TRANSVERSAL: CARTAGENA CON ATENCION Y GARANTIA DE DERECHOS A POBLACION DIFERENCIAL."/>
    <s v="11.2 LÍNEA ESTRATÉGICA MUJERES CARTAGENERAS POR SUS DERECHOS."/>
    <s v="11.2.1 PROGRAMA: LAS MUJERES DECIDIMOS SOBRE EL EJERCICIO DEL PODER"/>
    <s v="2,3,4502,1000,2021130010214"/>
    <s v="001"/>
    <s v="1,2,1,0,00-001 - ICLD"/>
    <s v="INV"/>
    <s v="NO"/>
    <s v="ACTUALIZACION Y REFORMULACION DE LA POLITICA PUBLICA DE MUJER CARTAGENA DE INDIAS"/>
    <s v="2021130010214 ACTUALIZACION Y REFORMULACION DE LA POLITICA PUBLICA DE MUJER CARTAGENA DE INDIAS"/>
    <s v="06"/>
    <s v="00"/>
    <n v="25000000"/>
    <n v="-25000000"/>
    <n v="0"/>
    <n v="0"/>
    <n v="0"/>
    <n v="0"/>
    <n v="0"/>
    <n v="0"/>
    <n v="0"/>
    <n v="0"/>
    <n v="0"/>
  </r>
  <r>
    <n v="2022"/>
    <n v="100"/>
    <x v="17"/>
    <s v="SECRETARIA DE INFRAESTRUCTURA"/>
    <s v="06 SECRETARIA DE INFRAESTRUCTURA"/>
    <n v="2021130010215"/>
    <s v="07. PILAR CARTAGENA RESILIENTE"/>
    <s v="7.3 LÍNEA ESTRATÉGICA DESARROLLO URBANO"/>
    <s v="7.3.1 CARTAGENA SE MUEVE "/>
    <s v="2,3,4503,1000,2021130010215"/>
    <s v="124"/>
    <s v="1,2,3,1,17-124 - IMPUESTO DE TRANSPORTE POR OLEODUCTOS Y GASODUCTOS"/>
    <s v="INV"/>
    <s v="NO"/>
    <s v="ESTUDIOS TECNICOS, DISE?OS Y OBRAS CONTINGENTES DERIVADAS DE SENTENCIAS JUDICIALES Y OBRAS DE EMERGENCIA EN INFRAESTRUCTURA DIFERENTES A VIAS EN EL DISTRITO DE CARTAGENA DE INDIAS"/>
    <s v="2021130010215 ESTUDIOS TECNICOS, DISE?OS Y OBRAS CONTINGENTES DERIVADAS DE SENTENCIAS JUDICIALES Y OBRAS DE EMERGENCIA EN INFRAESTRUCTURA DIFERENTES A VIAS EN EL DISTRITO DE CARTAGENA DE INDIAS"/>
    <s v="06"/>
    <s v="00"/>
    <n v="0"/>
    <n v="296615906"/>
    <n v="296615906"/>
    <n v="296615905"/>
    <n v="1"/>
    <n v="296615905"/>
    <n v="100"/>
    <n v="0"/>
    <n v="0"/>
    <n v="1"/>
    <n v="0"/>
  </r>
  <r>
    <n v="2022"/>
    <n v="100"/>
    <x v="17"/>
    <s v="SECRETARIA DE INFRAESTRUCTURA"/>
    <s v="06 SECRETARIA DE INFRAESTRUCTURA"/>
    <n v="2021130010215"/>
    <s v="07. PILAR CARTAGENA RESILIENTE"/>
    <s v="7.3 LÍNEA ESTRATÉGICA DESARROLLO URBANO"/>
    <s v="7.3.1 CARTAGENA SE MUEVE "/>
    <s v="2,3,4503,1000,2021130010215"/>
    <s v="001"/>
    <s v="1,2,1,0,00-001 - ICLD"/>
    <s v="INV"/>
    <s v="NO"/>
    <s v="ESTUDIOS TECNICOS, DISE?OS Y OBRAS CONTINGENTES DERIVADAS DE SENTENCIAS JUDICIALES Y OBRAS DE EMERGENCIA EN INFRAESTRUCTURA DIFERENTES A VIAS EN EL DISTRITO DE CARTAGENA DE INDIAS"/>
    <s v="2021130010215 ESTUDIOS TECNICOS, DISE?OS Y OBRAS CONTINGENTES DERIVADAS DE SENTENCIAS JUDICIALES Y OBRAS DE EMERGENCIA EN INFRAESTRUCTURA DIFERENTES A VIAS EN EL DISTRITO DE CARTAGENA DE INDIAS"/>
    <s v="06"/>
    <s v="00"/>
    <n v="0"/>
    <n v="2384290325.2800002"/>
    <n v="2384290325.2800002"/>
    <n v="2384290325.2399998"/>
    <n v="0.04"/>
    <n v="2365699549.2399998"/>
    <n v="99.22"/>
    <n v="2190528151.8000002"/>
    <n v="91.87"/>
    <n v="18590776.039999999"/>
    <n v="2190528151.8000002"/>
  </r>
  <r>
    <n v="2022"/>
    <n v="100"/>
    <x v="13"/>
    <s v="SECRETARIA GENERAL"/>
    <s v="05 SECRETARIA GENERAL"/>
    <n v="2021130010216"/>
    <s v="09. PILAR CARTAGENA CONTINGENTE"/>
    <s v="9.1 LÍNEA ESTRATÉGICA: DESARROLLO ECONÓMICO Y EMPLEABILIDAD"/>
    <s v="9.1.12 PROGRAMA: MAS COOPERACIÓN INTERNACIONAL"/>
    <s v="2,3,4599,1000,2021130010216"/>
    <s v="001"/>
    <s v="1,2,1,0,00-001 - ICLD"/>
    <s v="INV"/>
    <s v="NO"/>
    <s v="FORTALECIMIENTO DEL ECOSISTEMA DE COOPERACION DEL DISTRITO DE CARTAGENA DE INDIAS"/>
    <s v="2021130010216 FORTALECIMIENTO DEL ECOSISTEMA DE COOPERACION DEL DISTRITO DE CARTAGENA DE INDIAS"/>
    <s v="06"/>
    <s v="00"/>
    <n v="109000000"/>
    <n v="0"/>
    <n v="109000000"/>
    <n v="15000000"/>
    <n v="94000000"/>
    <n v="15000000"/>
    <n v="13.76"/>
    <n v="15000000"/>
    <n v="13.76"/>
    <n v="94000000"/>
    <n v="15000000"/>
  </r>
  <r>
    <n v="2022"/>
    <n v="100"/>
    <x v="11"/>
    <s v="ESTABLECIMIENTO PUBLICO AMBIENTAL-EPA"/>
    <s v="21 ESTABLECIMIENTO PUBLICO AMBIENTAL-EPA"/>
    <n v="2021130010217"/>
    <s v="07. PILAR CARTAGENA RESILIENTE"/>
    <s v="7.1 LÍNEA ESTRATÉGICA: “SALVEMOS JUNTOS NUESTRO PATRIMONIO NATURAL”"/>
    <s v="7.1.7 INSTITUCIONES AMBIENTALES MÁS MODERNAS, EFICIENTES Y TRANSPARENTES (FORTALECIMIENTO INSTITUCIONAL)"/>
    <s v="2,3,3204,0900,2021130010217"/>
    <s v="936"/>
    <s v="1,3,3,4,18-93-010- R,B, MULTAS AMBIENTALES EPA"/>
    <s v="INV"/>
    <s v="NO"/>
    <s v="FORTALECIMIENTO DE EPA MODERNA EFICIENTE Y TRANSPARENTE EN EL DISTRITO DE CARTAGENA DE INDIAS"/>
    <s v="2021130010217 FORTALECIMIENTO DE EPA MODERNA EFICIENTE Y TRANSPARENTE EN EL DISTRITO DE CARTAGENA DE INDIAS"/>
    <s v="06"/>
    <s v="00"/>
    <n v="0"/>
    <n v="637499471.25"/>
    <n v="637499471.25"/>
    <n v="0"/>
    <n v="637499471.25"/>
    <n v="0"/>
    <n v="0"/>
    <n v="0"/>
    <n v="0"/>
    <n v="637499471.25"/>
    <n v="0"/>
  </r>
  <r>
    <n v="2022"/>
    <n v="100"/>
    <x v="11"/>
    <s v="ESTABLECIMIENTO PUBLICO AMBIENTAL-EPA"/>
    <s v="21 ESTABLECIMIENTO PUBLICO AMBIENTAL-EPA"/>
    <n v="2021130010217"/>
    <s v="07. PILAR CARTAGENA RESILIENTE"/>
    <s v="7.1 LÍNEA ESTRATÉGICA: “SALVEMOS JUNTOS NUESTRO PATRIMONIO NATURAL”"/>
    <s v="7.1.7 INSTITUCIONES AMBIENTALES MÁS MODERNAS, EFICIENTES Y TRANSPARENTES (FORTALECIMIENTO INSTITUCIONAL)"/>
    <s v="2,3,3204,0900,2021130010217"/>
    <s v="001"/>
    <s v="1,2,1,0,00-001 - ICLD"/>
    <s v="INV"/>
    <s v="NO"/>
    <s v="FORTALECIMIENTO DE EPA MODERNA EFICIENTE Y TRANSPARENTE EN EL DISTRITO DE  CARTAGENA DE INDIAS"/>
    <s v="2021130010217 FORTALECIMIENTO DE EPA MODERNA EFICIENTE Y TRANSPARENTE EN EL DISTRITO DE  CARTAGENA DE INDIAS"/>
    <s v="06"/>
    <s v="00"/>
    <n v="250000000"/>
    <n v="0"/>
    <n v="250000000"/>
    <n v="250000000"/>
    <n v="0"/>
    <n v="250000000"/>
    <n v="100"/>
    <n v="250000000"/>
    <n v="100"/>
    <n v="0"/>
    <n v="250000000"/>
  </r>
  <r>
    <n v="2022"/>
    <n v="100"/>
    <x v="11"/>
    <s v="ESTABLECIMIENTO PUBLICO AMBIENTAL-EPA"/>
    <s v="21 ESTABLECIMIENTO PUBLICO AMBIENTAL-EPA"/>
    <n v="2021130010217"/>
    <s v="07. PILAR CARTAGENA RESILIENTE"/>
    <s v="7.1 LÍNEA ESTRATÉGICA: “SALVEMOS JUNTOS NUESTRO PATRIMONIO NATURAL”"/>
    <s v="7.1.7 INSTITUCIONES AMBIENTALES MÁS MODERNAS, EFICIENTES Y TRANSPARENTES (FORTALECIMIENTO INSTITUCIONAL)"/>
    <s v="2,3,3204,0900,2021130010217"/>
    <s v="935"/>
    <s v="1,3,3,4,02-93-031- R,B, CONTRIBUCION DEL SECTOR ELECTRICO"/>
    <s v="INV"/>
    <s v="NO"/>
    <s v="FORTALECIMIENTO DE EPA MODERNA EFICIENTE Y TRANSPARENTE EN EL DISTRITO DE CARTAGENA DE INDIAS"/>
    <s v="2021130010217 FORTALECIMIENTO DE EPA MODERNA EFICIENTE Y TRANSPARENTE EN EL DISTRITO DE CARTAGENA DE INDIAS"/>
    <s v="06"/>
    <s v="00"/>
    <n v="0"/>
    <n v="286222456.35000002"/>
    <n v="286222456.35000002"/>
    <n v="0"/>
    <n v="286222456.35000002"/>
    <n v="0"/>
    <n v="0"/>
    <n v="0"/>
    <n v="0"/>
    <n v="286222456.35000002"/>
    <n v="0"/>
  </r>
  <r>
    <n v="2022"/>
    <n v="100"/>
    <x v="13"/>
    <s v="SECRETARIA GENERAL"/>
    <s v="05 SECRETARIA GENERAL"/>
    <n v="2021130010218"/>
    <s v="07. PILAR CARTAGENA RESILIENTE"/>
    <s v="7.6 LÍNEA ESTRATÉGICA SERVICIOS PÚBLICOS BÁSICOS DEL DISTRITO DE CARTAGENA DE INDIAS: “TODOS CON TODO”"/>
    <s v="7.6.1 DE AHORRO Y USO EFICIENTE DE LOS SERVICIOS PÚBLICOS, &quot;AGUA Y SANEAMIENTO BÁSICO PARA TODOS&quot;"/>
    <s v="2,3,3202,0900,2021130010218"/>
    <s v="001"/>
    <s v="1,2,1,0,00-001 - ICLD"/>
    <s v="INV"/>
    <s v="NO"/>
    <s v="PROTECCION DE PREDIOS QUE CONSITUYEN AREAS DE IMPORTANCIA ESTRATEGICA AIE PARA EL SISTEMA DE ACUEDUCTO DEFINIDO EN EL POMCA EN EL DISTRITO DE CARTAGENA DE INDIAS,"/>
    <s v="2021130010218 PROTECCION DE PREDIOS QUE CONSITUYEN AREAS DE IMPORTANCIA ESTRATEGICA AIE PARA EL SISTEMA DE ACUEDUCTO DEFINIDO EN EL POMCA EN EL DISTRITO DE CARTAGENA DE INDIAS,"/>
    <s v="06"/>
    <s v="00"/>
    <n v="6020741727"/>
    <n v="974572155"/>
    <n v="6995313882"/>
    <n v="3361323500"/>
    <n v="3633990382"/>
    <n v="3353823500"/>
    <n v="47.94"/>
    <n v="1992690166"/>
    <n v="28.49"/>
    <n v="3641490382"/>
    <n v="1746578416"/>
  </r>
  <r>
    <n v="2022"/>
    <n v="100"/>
    <x v="9"/>
    <s v="SECRETARIA DE PARTICIPACION Y DESARROLLO SOCIAL"/>
    <s v="08 SECRETARIA DE PARTICIPACION Y DESARROLLO SOCIAL"/>
    <n v="2021130010219"/>
    <s v="10. PILAR: CARTAGENA TRANSPARENTE"/>
    <s v="10.7 LÍNEA ESTRATÉGICA: PARTICIPACIÓN Y DESCENTRALIZACIÓN"/>
    <s v="10.7.1 PROGRAMA: PARTICIPANDO SALVAMOS A CARTAGENA"/>
    <s v="2,3,4502,1000,2021130010219"/>
    <s v="001"/>
    <s v="1,2,1,0,00-001 - ICLD"/>
    <s v="INV"/>
    <s v="NO"/>
    <s v="FORTALECIMIENTO DE LA CAPACIDAD ADMINISTRATIVA, OPERATIVA Y TECNOLOGICA DE LAS ORGANIZACIONES COMUNALES DEL DISTRITO DE CARTAGENA DE INDIAS"/>
    <s v="2021130010219 FORTALECIMIENTO DE LA CAPACIDAD ADMINISTRATIVA, OPERATIVA Y TECNOLOGICA DE LAS ORGANIZACIONES COMUNALES DEL DISTRITO DE CARTAGENA DE INDIAS"/>
    <s v="06"/>
    <s v="00"/>
    <n v="75000000"/>
    <n v="0"/>
    <n v="75000000"/>
    <n v="73876666"/>
    <n v="1123334"/>
    <n v="73845000"/>
    <n v="98.46"/>
    <n v="0"/>
    <n v="0"/>
    <n v="1155000"/>
    <n v="0"/>
  </r>
  <r>
    <n v="2022"/>
    <n v="100"/>
    <x v="9"/>
    <s v="SECRETARIA DE PARTICIPACION Y DESARROLLO SOCIAL"/>
    <s v="08 SECRETARIA DE PARTICIPACION Y DESARROLLO SOCIAL"/>
    <n v="2021130010220"/>
    <s v="10. PILAR: CARTAGENA TRANSPARENTE"/>
    <s v="10.7 LÍNEA ESTRATÉGICA: PARTICIPACIÓN Y DESCENTRALIZACIÓN"/>
    <s v="10.7.1 PROGRAMA: PARTICIPANDO SALVAMOS A CARTAGENA"/>
    <s v="2,3,4502,1000,2021130010220"/>
    <s v="001"/>
    <s v="1,2,1,0,00-001 - ICLD"/>
    <s v="INV"/>
    <s v="NO"/>
    <s v="FORTALECIMIENTO DE LA INCIDENCIA DE LOS CIUDADANOS EN LOS PROCESOS DE PARTICIPACION PARA LA CONSTRUCCION DE LO PUBLICO EN EL DISTRITO DE CARTAGENA DE INDIAS"/>
    <s v="2021130010220 FORTALECIMIENTO DE LA INCIDENCIA DE LOS CIUDADANOS EN LOS PROCESOS DE PARTICIPACION PARA LA CONSTRUCCION DE LO PUBLICO EN EL DISTRITO DE CARTAGENA DE INDIAS"/>
    <s v="06"/>
    <s v="00"/>
    <n v="100000000"/>
    <n v="0"/>
    <n v="100000000"/>
    <n v="99941187"/>
    <n v="58813"/>
    <n v="97821853"/>
    <n v="97.82"/>
    <n v="77300000"/>
    <n v="77.3"/>
    <n v="2178147"/>
    <n v="63500000"/>
  </r>
  <r>
    <n v="2022"/>
    <n v="100"/>
    <x v="9"/>
    <s v="SECRETARIA DE PARTICIPACION Y DESARROLLO SOCIAL"/>
    <s v="08 SECRETARIA DE PARTICIPACION Y DESARROLLO SOCIAL"/>
    <n v="2021130010221"/>
    <s v="10. PILAR: CARTAGENA TRANSPARENTE"/>
    <s v="10.7 LÍNEA ESTRATÉGICA: PARTICIPACIÓN Y DESCENTRALIZACIÓN"/>
    <s v="10.7.1 PROGRAMA: PARTICIPANDO SALVAMOS A CARTAGENA"/>
    <s v="2,3,4502,1000,2021130010221"/>
    <s v="001"/>
    <s v="1,2,1,0,00-001 - ICLD"/>
    <s v="INV"/>
    <s v="NO"/>
    <s v="FORTALECIMIENTO DE LA GESTION ADMINISTRATIVA Y LABOR SOCIAL DE LOS ORGANISMOS COMUNALES DEL DISTRITO DE CARTAGENA DE INDIAS"/>
    <s v="2021130010221 FORTALECIMIENTO DE LA GESTION ADMINISTRATIVA Y LABOR SOCIAL DE LOS ORGANISMOS COMUNALES DEL DISTRITO DE CARTAGENA DE INDIAS"/>
    <s v="06"/>
    <s v="00"/>
    <n v="325000000"/>
    <n v="0"/>
    <n v="325000000"/>
    <n v="307886665"/>
    <n v="17113335"/>
    <n v="305633033.23000002"/>
    <n v="94.04"/>
    <n v="182600000"/>
    <n v="56.18"/>
    <n v="19366966.77"/>
    <n v="155000000"/>
  </r>
  <r>
    <n v="2022"/>
    <n v="100"/>
    <x v="9"/>
    <s v="SECRETARIA DE PARTICIPACION Y DESARROLLO SOCIAL"/>
    <s v="08 SECRETARIA DE PARTICIPACION Y DESARROLLO SOCIAL"/>
    <n v="2021130010222"/>
    <s v="11. EJE TRANSVERSAL: CARTAGENA CON ATENCION Y GARANTIA DE DERECHOS A POBLACION DIFERENCIAL."/>
    <s v="11.2 LÍNEA ESTRATÉGICA MUJERES CARTAGENERAS POR SUS DERECHOS."/>
    <s v="11.2.4 PROGRAMA: CARTAGENA LIBRE DE UNA CULTURA MACHISTA"/>
    <s v="2,3,4502,1000,2021130010222"/>
    <s v="001"/>
    <s v="1,2,1,0,00-001 - ICLD"/>
    <s v="INV"/>
    <s v="NO"/>
    <s v="ADECUACION CARTAGENA LIBRE DE UNA CULTURA MACHISTA CARTAGENA DE INDIAS CARTAGENA DE INDIAS"/>
    <s v="2021130010222 ADECUACION CARTAGENA LIBRE DE UNA CULTURA MACHISTA CARTAGENA DE INDIAS CARTAGENA DE INDIAS"/>
    <s v="06"/>
    <s v="00"/>
    <n v="44000000"/>
    <n v="0"/>
    <n v="44000000"/>
    <n v="44000000"/>
    <n v="0"/>
    <n v="43999930"/>
    <n v="100"/>
    <n v="35100000"/>
    <n v="79.77"/>
    <n v="70"/>
    <n v="35100000"/>
  </r>
  <r>
    <n v="2022"/>
    <n v="100"/>
    <x v="11"/>
    <s v="ESTABLECIMIENTO PUBLICO AMBIENTAL-EPA"/>
    <s v="21 ESTABLECIMIENTO PUBLICO AMBIENTAL-EPA"/>
    <n v="2021130010223"/>
    <s v="07. PILAR CARTAGENA RESILIENTE"/>
    <s v="7.1 LÍNEA ESTRATÉGICA: “SALVEMOS JUNTOS NUESTRO PATRIMONIO NATURAL”"/>
    <s v="7.1.4 INVESTIGACIÓN, EDUCACIÓN Y CULTURA AMBIENTAL (EDUCACIÓN Y CULTURA AMBIENTAL)"/>
    <s v="2,3,3204,0900,2021130010223"/>
    <s v="063"/>
    <s v="1,3,2,3,05-063 - OTROS RENDIMIENTOS FINANCIEROS EPA"/>
    <s v="INV"/>
    <s v="NO"/>
    <s v="FORTALECIMIENTO DE LA INVESTIGACION E INNOVACION PARA LA GESTION AMBIENTAL SOSTENIBLE EN EL DISTRITO DE  CARTAGENA DE INDIAS"/>
    <s v="2021130010223 FORTALECIMIENTO DE LA INVESTIGACION E INNOVACION PARA LA GESTION AMBIENTAL SOSTENIBLE EN EL DISTRITO DE  CARTAGENA DE INDIAS"/>
    <s v="06"/>
    <s v="00"/>
    <n v="1"/>
    <n v="0"/>
    <n v="1"/>
    <n v="0"/>
    <n v="1"/>
    <n v="0"/>
    <n v="0"/>
    <n v="0"/>
    <n v="0"/>
    <n v="1"/>
    <n v="0"/>
  </r>
  <r>
    <n v="2022"/>
    <n v="100"/>
    <x v="11"/>
    <s v="ESTABLECIMIENTO PUBLICO AMBIENTAL-EPA"/>
    <s v="21 ESTABLECIMIENTO PUBLICO AMBIENTAL-EPA"/>
    <n v="2021130010223"/>
    <s v="07. PILAR CARTAGENA RESILIENTE"/>
    <s v="7.1 LÍNEA ESTRATÉGICA: “SALVEMOS JUNTOS NUESTRO PATRIMONIO NATURAL”"/>
    <s v="7.1.4 INVESTIGACIÓN, EDUCACIÓN Y CULTURA AMBIENTAL (EDUCACIÓN Y CULTURA AMBIENTAL)"/>
    <s v="2,3,3204,0900,2021130010223"/>
    <s v="934"/>
    <s v="1,3,1,1,02-05 -EXCEDENTES FINANCIEROS EPA"/>
    <s v="INV"/>
    <s v="NO"/>
    <s v="FORTALECIMIENTO DE LA INVESTIGACION E INNOVACION PARA LA GESTION AMBIENTAL SOSTENIBLE EN EL DISTRITO DE CARTAGENA DE INDIAS"/>
    <s v="2021130010223 FORTALECIMIENTO DE LA INVESTIGACION E INNOVACION PARA LA GESTION AMBIENTAL SOSTENIBLE EN EL DISTRITO DE CARTAGENA DE INDIAS"/>
    <s v="06"/>
    <s v="00"/>
    <n v="0"/>
    <n v="2879107.41"/>
    <n v="2879107.41"/>
    <n v="0"/>
    <n v="2879107.41"/>
    <n v="0"/>
    <n v="0"/>
    <n v="0"/>
    <n v="0"/>
    <n v="2879107.41"/>
    <n v="0"/>
  </r>
  <r>
    <n v="2022"/>
    <n v="100"/>
    <x v="11"/>
    <s v="ESTABLECIMIENTO PUBLICO AMBIENTAL-EPA"/>
    <s v="21 ESTABLECIMIENTO PUBLICO AMBIENTAL-EPA"/>
    <n v="2021130010223"/>
    <s v="07. PILAR CARTAGENA RESILIENTE"/>
    <s v="7.1 LÍNEA ESTRATÉGICA: “SALVEMOS JUNTOS NUESTRO PATRIMONIO NATURAL”"/>
    <s v="7.1.4 INVESTIGACIÓN, EDUCACIÓN Y CULTURA AMBIENTAL (EDUCACIÓN Y CULTURA AMBIENTAL)"/>
    <s v="2,3,3204,0900,2021130010223"/>
    <s v="935"/>
    <s v="1,3,3,4,02-93-031- R,B, CONTRIBUCION DEL SECTOR ELECTRICO"/>
    <s v="INV"/>
    <s v="NO"/>
    <s v="FORTALECIMIENTO DE LA INVESTIGACION E INNOVACION PARA LA GESTION AMBIENTAL SOSTENIBLE EN EL DISTRITO DE CARTAGENA DE INDIAS"/>
    <s v="2021130010223 FORTALECIMIENTO DE LA INVESTIGACION E INNOVACION PARA LA GESTION AMBIENTAL SOSTENIBLE EN EL DISTRITO DE CARTAGENA DE INDIAS"/>
    <s v="06"/>
    <s v="00"/>
    <n v="0"/>
    <n v="20000000"/>
    <n v="20000000"/>
    <n v="0"/>
    <n v="20000000"/>
    <n v="0"/>
    <n v="0"/>
    <n v="0"/>
    <n v="0"/>
    <n v="20000000"/>
    <n v="0"/>
  </r>
  <r>
    <n v="2022"/>
    <n v="100"/>
    <x v="7"/>
    <s v="SECRETARIA DE EDUCACION"/>
    <s v="07 SECRETARIA DE EDUCACION"/>
    <n v="2021130010224"/>
    <s v="08. PILAR CARTAGENA INCLUYENTE"/>
    <s v="8.2 LÍNEA ESTRATEGICA DE EDUCACION: CULTURA DE LA FORMACION &quot;CON LA EDUCACION PARA TODOS Y TODAS SALVAMOS JUNTOS A CARTAGENA&quot;"/>
    <s v="8.2.5 PARTICIPACIÓN, DEMOCRACIA Y AUTONOMÍA"/>
    <s v="2,3,2201,0700,2021130010224"/>
    <s v="001"/>
    <s v="1,2,1,0,00-001 - ICLD"/>
    <s v="INV"/>
    <s v="NO"/>
    <s v="FORTALECIMIENTO DE LA EDUCACION INTEGRAL DESDE LA PARTICIPACION, DEMOCRACIA Y AUTONOMIA  EN LAS INSTITUCIONES EDUCATIVAS OFICIALES DEL DISTRITO DE CARTAGENA?"/>
    <s v="2021130010224 FORTALECIMIENTO DE LA EDUCACION INTEGRAL DESDE LA PARTICIPACION, DEMOCRACIA Y AUTONOMIA  EN LAS INSTITUCIONES EDUCATIVAS OFICIALES DEL DISTRITO DE CARTAGENA?"/>
    <s v="06"/>
    <s v="00"/>
    <n v="945693727"/>
    <n v="563000000"/>
    <n v="1508693727"/>
    <n v="1508156624"/>
    <n v="537103"/>
    <n v="1508156624"/>
    <n v="99.96"/>
    <n v="1475013291"/>
    <n v="97.77"/>
    <n v="537103"/>
    <n v="1445035970.7"/>
  </r>
  <r>
    <n v="2022"/>
    <n v="100"/>
    <x v="9"/>
    <s v="SECRETARIA DE PARTICIPACION Y DESARROLLO SOCIAL"/>
    <s v="08 SECRETARIA DE PARTICIPACION Y DESARROLLO SOCIAL"/>
    <n v="2021130010225"/>
    <s v="07. PILAR CARTAGENA RESILIENTE"/>
    <s v="7.1 LÍNEA ESTRATÉGICA: “SALVEMOS JUNTOS NUESTRO PATRIMONIO NATURAL”"/>
    <s v="7.1.8 BIENESTAR Y PROTECCIÓN ANIMAL"/>
    <s v="2,3,4501,1000,2021130010225"/>
    <s v="001"/>
    <s v="1,2,1,0,00-001 - ICLD"/>
    <s v="INV"/>
    <s v="NO"/>
    <s v="ELABORACION POLITICA PUBLICA Y REGLAMENTACION PROYECTOS PROTECCION ANIMAL CARTAGENA DE INDIAS"/>
    <s v="2021130010225 ELABORACION POLITICA PUBLICA Y REGLAMENTACION PROYECTOS PROTECCION ANIMAL CARTAGENA DE INDIAS"/>
    <s v="06"/>
    <s v="00"/>
    <n v="15000000"/>
    <n v="0"/>
    <n v="15000000"/>
    <n v="15000000"/>
    <n v="0"/>
    <n v="15000000"/>
    <n v="100"/>
    <n v="14999999.98"/>
    <n v="100"/>
    <n v="0"/>
    <n v="14999999.98"/>
  </r>
  <r>
    <n v="2022"/>
    <n v="100"/>
    <x v="7"/>
    <s v="SECRETARIA DE EDUCACION"/>
    <s v="07 SECRETARIA DE EDUCACION"/>
    <n v="2021130010226"/>
    <s v="08. PILAR CARTAGENA INCLUYENTE"/>
    <s v="8.2 LÍNEA ESTRATEGICA DE EDUCACION: CULTURA DE LA FORMACION &quot;CON LA EDUCACION PARA TODOS Y TODAS SALVAMOS JUNTOS A CARTAGENA&quot;"/>
    <s v="8.2.6 DE EDUCACIÓN MEDIANA A TRAVÉS DE TECNOLOGÍAS DE LA INFORMACIÓN Y LAS COMUNICACIONES-TIC´S"/>
    <s v="2,3,2201,0700,2021130010226"/>
    <s v="908"/>
    <s v="1,3,3,6,01-95-071 R,B, SGP-EDUCACION-PRESTACION DE SERVICIOS"/>
    <s v="INV"/>
    <s v="NO"/>
    <s v="TRANSFORMACION DEL APRENDIZAJE, INSPIRANDO, CREANDO Y DISE?ANDO CON LAS TECNOLOGIAS DE LA INFORMACION Y LAS COMUNICACIOONES EN LAS IEO Y SED DEL DISTRITO DE CARTAGENA DE INDIAS"/>
    <s v="2021130010226 TRANSFORMACION DEL APRENDIZAJE, INSPIRANDO, CREANDO Y DISE?ANDO CON LAS TECNOLOGIAS DE LA INFORMACION Y LAS COMUNICACIOONES EN LAS IEO Y SED DEL DISTRITO DE CARTAGENA DE INDIAS"/>
    <s v="06"/>
    <s v="00"/>
    <n v="0"/>
    <n v="0"/>
    <n v="0"/>
    <n v="0"/>
    <n v="0"/>
    <n v="0"/>
    <n v="0"/>
    <n v="0"/>
    <n v="0"/>
    <n v="0"/>
    <n v="0"/>
  </r>
  <r>
    <n v="2022"/>
    <n v="100"/>
    <x v="7"/>
    <s v="SECRETARIA DE EDUCACION"/>
    <s v="07 SECRETARIA DE EDUCACION"/>
    <n v="2021130010226"/>
    <s v="08. PILAR CARTAGENA INCLUYENTE"/>
    <s v="8.2 LÍNEA ESTRATEGICA DE EDUCACION: CULTURA DE LA FORMACION &quot;CON LA EDUCACION PARA TODOS Y TODAS SALVAMOS JUNTOS A CARTAGENA&quot;"/>
    <s v="8.2.6 DE EDUCACIÓN MEDIANA A TRAVÉS DE TECNOLOGÍAS DE LA INFORMACIÓN Y LAS COMUNICACIONES-TIC´S"/>
    <s v="2,3,2201,0700,2021130010226"/>
    <s v="901"/>
    <s v="1,3,3,6,03-95-171 - R,B, SGP - EDUCACION - CALIDAD  POR MATRICULA OFICIAL"/>
    <s v="INV"/>
    <s v="NO"/>
    <s v="TRANSFORMACION DEL APRENDIZAJE, INSPIRANDO, CREANDO Y DISE?ANDO CON LAS TECNOLOGIAS DE LA INFORMACION Y LAS COMUNICACIOONES EN LAS IEO Y SED DEL DISTRITO DE CARTAGENA DE INDIAS"/>
    <s v="2021130010226 TRANSFORMACION DEL APRENDIZAJE, INSPIRANDO, CREANDO Y DISE?ANDO CON LAS TECNOLOGIAS DE LA INFORMACION Y LAS COMUNICACIOONES EN LAS IEO Y SED DEL DISTRITO DE CARTAGENA DE INDIAS"/>
    <s v="06"/>
    <s v="00"/>
    <n v="0"/>
    <n v="330597760"/>
    <n v="330597760"/>
    <n v="330597760"/>
    <n v="0"/>
    <n v="0"/>
    <n v="0"/>
    <n v="0"/>
    <n v="0"/>
    <n v="330597760"/>
    <n v="0"/>
  </r>
  <r>
    <n v="2022"/>
    <n v="100"/>
    <x v="7"/>
    <s v="SECRETARIA DE EDUCACION"/>
    <s v="07 SECRETARIA DE EDUCACION"/>
    <n v="2021130010226"/>
    <s v="08. PILAR CARTAGENA INCLUYENTE"/>
    <s v="8.2 LÍNEA ESTRATEGICA DE EDUCACION: CULTURA DE LA FORMACION &quot;CON LA EDUCACION PARA TODOS Y TODAS SALVAMOS JUNTOS A CARTAGENA&quot;"/>
    <s v="8.2.6 DE EDUCACIÓN MEDIANA A TRAVÉS DE TECNOLOGÍAS DE LA INFORMACIÓN Y LAS COMUNICACIONES-TIC´S"/>
    <s v="2,3,2201,0700,2021130010226"/>
    <s v="071"/>
    <s v="1,2,4,1,01-071 - SGP PRESTACION EDUCATIVO"/>
    <s v="INV"/>
    <s v="NO"/>
    <s v="TRANSFORMACION DEL APRENDIZAJE, INSPIRANDO, CREANDO Y DISE?ANDO CON LAS TECNOLOGIAS DE LA INFORMACION Y LAS COMUNICACIOONES EN LAS IEO Y SED DEL DISTRITO DE CARTAGENA DE INDIAS"/>
    <s v="2021130010226 TRANSFORMACION DEL APRENDIZAJE, INSPIRANDO, CREANDO Y DISE?ANDO CON LAS TECNOLOGIAS DE LA INFORMACION Y LAS COMUNICACIOONES EN LAS IEO Y SED DEL DISTRITO DE CARTAGENA DE INDIAS"/>
    <s v="06"/>
    <s v="00"/>
    <n v="2459416000"/>
    <n v="-775999430"/>
    <n v="1683416570"/>
    <n v="1682914029.6300001"/>
    <n v="502540.37"/>
    <n v="635460000"/>
    <n v="37.75"/>
    <n v="393393220"/>
    <n v="23.37"/>
    <n v="1047956570"/>
    <n v="128303959"/>
  </r>
  <r>
    <n v="2022"/>
    <n v="100"/>
    <x v="7"/>
    <s v="SECRETARIA DE EDUCACION"/>
    <s v="07 SECRETARIA DE EDUCACION"/>
    <n v="2021130010226"/>
    <s v="08. PILAR CARTAGENA INCLUYENTE"/>
    <s v="8.2 LÍNEA ESTRATEGICA DE EDUCACION: CULTURA DE LA FORMACION &quot;CON LA EDUCACION PARA TODOS Y TODAS SALVAMOS JUNTOS A CARTAGENA&quot;"/>
    <s v="8.2.6 DE EDUCACIÓN MEDIANA A TRAVÉS DE TECNOLOGÍAS DE LA INFORMACIÓN Y LAS COMUNICACIONES-TIC´S"/>
    <s v="2,3,2201,0700,2021130010226"/>
    <s v="001"/>
    <s v="1,2,1,0,00-001 - ICLD"/>
    <s v="INV"/>
    <s v="NO"/>
    <s v="TRANSFORMACION DEL APRENDIZAJE, INSPIRANDO, CREANDO Y DISE?ANDO CON LAS TECNOLOGIAS DE LA INFORMACION Y LAS COMUNICACIOONES EN LAS IEO Y SED DEL DISTRITO DE CARTAGENA DE INDIAS"/>
    <s v="2021130010226 TRANSFORMACION DEL APRENDIZAJE, INSPIRANDO, CREANDO Y DISE?ANDO CON LAS TECNOLOGIAS DE LA INFORMACION Y LAS COMUNICACIOONES EN LAS IEO Y SED DEL DISTRITO DE CARTAGENA DE INDIAS"/>
    <s v="06"/>
    <s v="00"/>
    <n v="711035700"/>
    <n v="1533520000"/>
    <n v="2244555700"/>
    <n v="2222672001"/>
    <n v="21883699"/>
    <n v="625052001"/>
    <n v="27.85"/>
    <n v="625052001"/>
    <n v="27.85"/>
    <n v="1619503699"/>
    <n v="625052001"/>
  </r>
  <r>
    <n v="2022"/>
    <n v="100"/>
    <x v="7"/>
    <s v="SECRETARIA DE EDUCACION"/>
    <s v="07 SECRETARIA DE EDUCACION"/>
    <n v="2021130010227"/>
    <s v="08. PILAR CARTAGENA INCLUYENTE"/>
    <s v="8.2 LÍNEA ESTRATEGICA DE EDUCACION: CULTURA DE LA FORMACION &quot;CON LA EDUCACION PARA TODOS Y TODAS SALVAMOS JUNTOS A CARTAGENA&quot;"/>
    <s v="8.2.4 DESARROLLO DE POTENCIALIDADES"/>
    <s v="2,3,2201,0700,2021130010227"/>
    <s v="171"/>
    <s v="1,2,4,1,03-171 - SGP CALIDAD MATRICULA"/>
    <s v="INV"/>
    <s v="NO"/>
    <s v="FORTALECIMIENTO DE LOS PROCESOS FORMATIVOS EN LAS INSTITUCIONES EDUCATIVAS OFICIALES DEL DISTRITO DE CARTAGENA: DESARROLLO DE POTENCIALIDADES"/>
    <s v="2021130010227 FORTALECIMIENTO DE LOS PROCESOS FORMATIVOS EN LAS INSTITUCIONES EDUCATIVAS OFICIALES DEL DISTRITO DE CARTAGENA: DESARROLLO DE POTENCIALIDADES"/>
    <s v="06"/>
    <s v="00"/>
    <n v="4020000000"/>
    <n v="-3387562090"/>
    <n v="632437910"/>
    <n v="627224218"/>
    <n v="5213692"/>
    <n v="491236585"/>
    <n v="77.67"/>
    <n v="491236585"/>
    <n v="77.67"/>
    <n v="141201325"/>
    <n v="220000000"/>
  </r>
  <r>
    <n v="2022"/>
    <n v="100"/>
    <x v="7"/>
    <s v="SECRETARIA DE EDUCACION"/>
    <s v="07 SECRETARIA DE EDUCACION"/>
    <n v="2021130010227"/>
    <s v="08. PILAR CARTAGENA INCLUYENTE"/>
    <s v="8.2 LÍNEA ESTRATEGICA DE EDUCACION: CULTURA DE LA FORMACION &quot;CON LA EDUCACION PARA TODOS Y TODAS SALVAMOS JUNTOS A CARTAGENA&quot;"/>
    <s v="8.2.4 DESARROLLO DE POTENCIALIDADES"/>
    <s v="2,3,2201,0700,2021130010227"/>
    <s v="901"/>
    <s v="1,3,3,6,03-95-171 - R,B, SGP - EDUCACION - CALIDAD  POR MATRICULA OFICIAL"/>
    <s v="INV"/>
    <s v="NO"/>
    <s v="FORTALECIMIENTO DE LOS PROCESOS FORMATIVOS EN LAS INSTITUCIONES EDUCATIVAS OFICIALES DEL DISTRITO DE CARTAGENA: DESARROLLO DE POTENCIALIDADES"/>
    <s v="2021130010227 FORTALECIMIENTO DE LOS PROCESOS FORMATIVOS EN LAS INSTITUCIONES EDUCATIVAS OFICIALES DEL DISTRITO DE CARTAGENA: DESARROLLO DE POTENCIALIDADES"/>
    <s v="06"/>
    <s v="00"/>
    <n v="0"/>
    <n v="293146534"/>
    <n v="293146534"/>
    <n v="293146534"/>
    <n v="0"/>
    <n v="293146534"/>
    <n v="100"/>
    <n v="293146534"/>
    <n v="100"/>
    <n v="0"/>
    <n v="0"/>
  </r>
  <r>
    <n v="2022"/>
    <n v="100"/>
    <x v="7"/>
    <s v="SECRETARIA DE EDUCACION"/>
    <s v="07 SECRETARIA DE EDUCACION"/>
    <n v="2021130010227"/>
    <s v="08. PILAR CARTAGENA INCLUYENTE"/>
    <s v="8.2 LÍNEA ESTRATEGICA DE EDUCACION: CULTURA DE LA FORMACION &quot;CON LA EDUCACION PARA TODOS Y TODAS SALVAMOS JUNTOS A CARTAGENA&quot;"/>
    <s v="8.2.4 DESARROLLO DE POTENCIALIDADES"/>
    <s v="2,3,2201,0700,2021130010227"/>
    <s v="001"/>
    <s v="1,2,1,0,00-001 - ICLD"/>
    <s v="INV"/>
    <s v="NO"/>
    <s v="FORTALECIMIENTO DE LOS PROCESOS FORMATIVOS EN LAS INSTITUCIONES EDUCATIVAS OFICIALES DEL DISTRITO DE CARTAGENA: DESARROLLO DE POTENCIALIDADES"/>
    <s v="2021130010227 FORTALECIMIENTO DE LOS PROCESOS FORMATIVOS EN LAS INSTITUCIONES EDUCATIVAS OFICIALES DEL DISTRITO DE CARTAGENA: DESARROLLO DE POTENCIALIDADES"/>
    <s v="06"/>
    <s v="00"/>
    <n v="88000000"/>
    <n v="0"/>
    <n v="88000000"/>
    <n v="82500000"/>
    <n v="5500000"/>
    <n v="82500000"/>
    <n v="93.75"/>
    <n v="82500000"/>
    <n v="93.75"/>
    <n v="5500000"/>
    <n v="79000000"/>
  </r>
  <r>
    <n v="2022"/>
    <n v="100"/>
    <x v="9"/>
    <s v="SECRETARIA DE PARTICIPACION Y DESARROLLO SOCIAL"/>
    <s v="08 SECRETARIA DE PARTICIPACION Y DESARROLLO SOCIAL"/>
    <n v="2021130010228"/>
    <s v="11. EJE TRANSVERSAL: CARTAGENA CON ATENCION Y GARANTIA DE DERECHOS A POBLACION DIFERENCIAL."/>
    <s v="11.2 LÍNEA ESTRATÉGICA MUJERES CARTAGENERAS POR SUS DERECHOS."/>
    <s v="11.2.2 PROGRAMA: UNA VIDA LIBRE DE VIOLENCIAS PARA LAS MUJERES"/>
    <s v="2,3,4103,1500,2021130010228"/>
    <s v="001"/>
    <s v="1,2,1,0,00-001 - ICLD"/>
    <s v="INV"/>
    <s v="NO"/>
    <s v="ACTUALIZACION MUJERES CONSTRUCTORAS DE PAZ-0  CARTAGENA DE INDIAS"/>
    <s v="2021130010228 ACTUALIZACION MUJERES CONSTRUCTORAS DE PAZ-0  CARTAGENA DE INDIAS"/>
    <s v="06"/>
    <s v="00"/>
    <n v="65000000"/>
    <n v="0"/>
    <n v="65000000"/>
    <n v="64997800"/>
    <n v="2200"/>
    <n v="16500000"/>
    <n v="25.38"/>
    <n v="16500000"/>
    <n v="25.38"/>
    <n v="48500000"/>
    <n v="16500000"/>
  </r>
  <r>
    <n v="2022"/>
    <n v="100"/>
    <x v="9"/>
    <s v="SECRETARIA DE PARTICIPACION Y DESARROLLO SOCIAL"/>
    <s v="08 SECRETARIA DE PARTICIPACION Y DESARROLLO SOCIAL"/>
    <n v="2021130010229"/>
    <s v="11. EJE TRANSVERSAL: CARTAGENA CON ATENCION Y GARANTIA DE DERECHOS A POBLACION DIFERENCIAL."/>
    <s v="11.2 LÍNEA ESTRATÉGICA MUJERES CARTAGENERAS POR SUS DERECHOS."/>
    <s v="11.2.3 PROGRAMA: MUJER, CONSTRUCTORAS DE PAZ"/>
    <s v="2,3,4103,1500,2021130010229"/>
    <s v="001"/>
    <s v="1,2,1,0,00-001 - ICLD"/>
    <s v="INV"/>
    <s v="NO"/>
    <s v="ACTUALIZACION UNA VIDA LIBRE DE VIOLENCIAS PARA LAS MUJERES  CARTAGENA DE INDIAS"/>
    <s v="2021130010229 ACTUALIZACION UNA VIDA LIBRE DE VIOLENCIAS PARA LAS MUJERES  CARTAGENA DE INDIAS"/>
    <s v="06"/>
    <s v="00"/>
    <n v="290000000"/>
    <n v="54000000"/>
    <n v="344000000"/>
    <n v="343287378"/>
    <n v="712622"/>
    <n v="342718829"/>
    <n v="99.63"/>
    <n v="166740000"/>
    <n v="48.47"/>
    <n v="1281171"/>
    <n v="166740000"/>
  </r>
  <r>
    <n v="2022"/>
    <n v="100"/>
    <x v="5"/>
    <s v="INSTITUTO DE DEPORTE Y RECREACION"/>
    <s v="15 INSTITUTO DE DEPORTE Y RECREACION"/>
    <n v="2021130010230"/>
    <s v="08. PILAR CARTAGENA INCLUYENTE"/>
    <s v="8.4 LÍNEA ESTRATÉGICA DEPORTE Y RECREACIÓN PARA LA TRANSFORMACION SOCIAL "/>
    <s v="8.4.5 RECREACION COMUNITARIA &quot;RECREATE CARTAGENA&quot;"/>
    <s v="2,3,4301,1604,2021130010230"/>
    <s v="918"/>
    <s v="1,3,3,8,01-95-059 - R,B, SGP DEPORTE"/>
    <s v="INV"/>
    <s v="NO"/>
    <s v="RECREACION COMUNITARIA Y APROVECHAMIENTO DEL TIEMPO LIBRE, COMO MECANISMO DE COHESION E INTEGRACION SOCIAL EN EL DISTRITO DE   CARTAGENA DE INDIAS"/>
    <s v="2021130010230 RECREACION COMUNITARIA Y APROVECHAMIENTO DEL TIEMPO LIBRE, COMO MECANISMO DE COHESION E INTEGRACION SOCIAL EN EL DISTRITO DE   CARTAGENA DE INDIAS"/>
    <s v="06"/>
    <s v="00"/>
    <n v="0"/>
    <n v="228599327.72"/>
    <n v="228599327.72"/>
    <n v="0"/>
    <n v="228599327.72"/>
    <n v="0"/>
    <n v="0"/>
    <n v="0"/>
    <n v="0"/>
    <n v="228599327.72"/>
    <n v="0"/>
  </r>
  <r>
    <n v="2022"/>
    <n v="100"/>
    <x v="5"/>
    <s v="INSTITUTO DE DEPORTE Y RECREACION"/>
    <s v="15 INSTITUTO DE DEPORTE Y RECREACION"/>
    <n v="2021130010230"/>
    <s v="08. PILAR CARTAGENA INCLUYENTE"/>
    <s v="8.4 LÍNEA ESTRATÉGICA DEPORTE Y RECREACIÓN PARA LA TRANSFORMACION SOCIAL "/>
    <s v="8.4.5 RECREACION COMUNITARIA &quot;RECREATE CARTAGENA&quot;"/>
    <s v="2,3,4301,1604,2021130010230"/>
    <s v="933"/>
    <s v="1,3,1,1,02-03 -EXCEDENTES FINANCIEROS IDER"/>
    <s v="INV"/>
    <s v="NO"/>
    <s v="RECREACION COMUNITARIA Y APROVECHAMIENTO DEL TIEMPO LIBRE, COMO MECANISMO DE COHESION E INTEGRACION SOCIAL EN EL DISTRITO DE   CARTAGENA DE INDIAS - DEFICIT"/>
    <s v="2021130010230 RECREACION COMUNITARIA Y APROVECHAMIENTO DEL TIEMPO LIBRE, COMO MECANISMO DE COHESION E INTEGRACION SOCIAL EN EL DISTRITO DE   CARTAGENA DE INDIAS - DEFICIT"/>
    <s v="06"/>
    <s v="00"/>
    <n v="0"/>
    <n v="6000000"/>
    <n v="6000000"/>
    <n v="0"/>
    <n v="6000000"/>
    <n v="0"/>
    <n v="0"/>
    <n v="0"/>
    <n v="0"/>
    <n v="6000000"/>
    <n v="0"/>
  </r>
  <r>
    <n v="2022"/>
    <n v="100"/>
    <x v="5"/>
    <s v="INSTITUTO DE DEPORTE Y RECREACION"/>
    <s v="15 INSTITUTO DE DEPORTE Y RECREACION"/>
    <n v="2021130010230"/>
    <s v="08. PILAR CARTAGENA INCLUYENTE"/>
    <s v="8.4 LÍNEA ESTRATÉGICA DEPORTE Y RECREACIÓN PARA LA TRANSFORMACION SOCIAL "/>
    <s v="8.4.5 RECREACION COMUNITARIA &quot;RECREATE CARTAGENA&quot;"/>
    <s v="2,3,4301,1604,2021130010230"/>
    <s v="059"/>
    <s v="1,2,4,3,01-059 - SGP DEPORTE"/>
    <s v="INV"/>
    <s v="NO"/>
    <s v="RECREACION COMUNITARIA Y APROVECHAMIENTO DEL TIEMPO LIBRE, COMO MECANISMO DE COHESION E INTEGRACION SOCIAL EN EL DISTRITO DE   CARTAGENA DE INDIAS"/>
    <s v="2021130010230 RECREACION COMUNITARIA Y APROVECHAMIENTO DEL TIEMPO LIBRE, COMO MECANISMO DE COHESION E INTEGRACION SOCIAL EN EL DISTRITO DE   CARTAGENA DE INDIAS"/>
    <s v="06"/>
    <s v="00"/>
    <n v="582610022"/>
    <n v="0"/>
    <n v="582610022"/>
    <n v="581599454.23000002"/>
    <n v="1010567.77"/>
    <n v="581599454.23000002"/>
    <n v="99.83"/>
    <n v="581599454.23000002"/>
    <n v="99.83"/>
    <n v="1010567.77"/>
    <n v="581599454.23000002"/>
  </r>
  <r>
    <n v="2022"/>
    <n v="100"/>
    <x v="5"/>
    <s v="INSTITUTO DE DEPORTE Y RECREACION"/>
    <s v="15 INSTITUTO DE DEPORTE Y RECREACION"/>
    <n v="2021130010230"/>
    <s v="08. PILAR CARTAGENA INCLUYENTE"/>
    <s v="8.4 LÍNEA ESTRATÉGICA DEPORTE Y RECREACIÓN PARA LA TRANSFORMACION SOCIAL "/>
    <s v="8.4.5 RECREACION COMUNITARIA &quot;RECREATE CARTAGENA&quot;"/>
    <s v="2,3,4301,1604,2021130010230"/>
    <s v="097"/>
    <s v="1,2,2,0,00-097 - ICDE IDER 3% ICA"/>
    <s v="INV"/>
    <s v="NO"/>
    <s v="RECREACION COMUNITARIA Y APROVECHAMIENTO DEL TIEMPO LIBRE, COMO MECANISMO DE COHESION E INTEGRACION SOCIAL EN EL DISTRITO DE   CARTAGENA DE INDIAS"/>
    <s v="2021130010230 RECREACION COMUNITARIA Y APROVECHAMIENTO DEL TIEMPO LIBRE, COMO MECANISMO DE COHESION E INTEGRACION SOCIAL EN EL DISTRITO DE   CARTAGENA DE INDIAS"/>
    <s v="06"/>
    <s v="00"/>
    <n v="655836118"/>
    <n v="0"/>
    <n v="655836118"/>
    <n v="605477424"/>
    <n v="50358694"/>
    <n v="605477424"/>
    <n v="92.32"/>
    <n v="605477424"/>
    <n v="92.32"/>
    <n v="50358694"/>
    <n v="585551674"/>
  </r>
  <r>
    <n v="2022"/>
    <n v="100"/>
    <x v="5"/>
    <s v="INSTITUTO DE DEPORTE Y RECREACION"/>
    <s v="15 INSTITUTO DE DEPORTE Y RECREACION"/>
    <n v="2021130010230"/>
    <s v="08. PILAR CARTAGENA INCLUYENTE"/>
    <s v="8.4 LÍNEA ESTRATÉGICA DEPORTE Y RECREACIÓN PARA LA TRANSFORMACION SOCIAL "/>
    <s v="8.4.5 RECREACION COMUNITARIA &quot;RECREATE CARTAGENA&quot;"/>
    <s v="2,3,4301,1604,2021130010230"/>
    <s v="024"/>
    <s v="1,2,3,1,12-024 - IMPUESTO DE ESPECTACULOS PUBLICOS NACIONAL IDER"/>
    <s v="INV"/>
    <s v="NO"/>
    <s v="RECREACION COMUNITARIA Y APROVECHAMIENTO DEL TIEMPO LIBRE, COMO MECANISMO DE COHESION E INTEGRACION SOCIAL EN EL DISTRITO DE   CARTAGENA DE INDIAS"/>
    <s v="2021130010230 RECREACION COMUNITARIA Y APROVECHAMIENTO DEL TIEMPO LIBRE, COMO MECANISMO DE COHESION E INTEGRACION SOCIAL EN EL DISTRITO DE   CARTAGENA DE INDIAS"/>
    <s v="06"/>
    <s v="00"/>
    <n v="40791692"/>
    <n v="0"/>
    <n v="40791692"/>
    <n v="0"/>
    <n v="40791692"/>
    <n v="0"/>
    <n v="0"/>
    <n v="0"/>
    <n v="0"/>
    <n v="40791692"/>
    <n v="0"/>
  </r>
  <r>
    <n v="2022"/>
    <n v="100"/>
    <x v="5"/>
    <s v="INSTITUTO DE DEPORTE Y RECREACION"/>
    <s v="15 INSTITUTO DE DEPORTE Y RECREACION"/>
    <n v="2021130010230"/>
    <s v="08. PILAR CARTAGENA INCLUYENTE"/>
    <s v="8.4 LÍNEA ESTRATÉGICA DEPORTE Y RECREACIÓN PARA LA TRANSFORMACION SOCIAL "/>
    <s v="8.4.5 RECREACION COMUNITARIA &quot;RECREATE CARTAGENA&quot;"/>
    <s v="2,3,4301,1604,2021130010230"/>
    <s v="025"/>
    <s v="1,2,3,2,05-025 - OTRAS TASAS Y DERECHOS ADMINISTRATIVOS TASA PRODEPORTE"/>
    <s v="INV"/>
    <s v="NO"/>
    <s v="RECREACION COMUNITARIA Y APROVECHAMIENTO DEL TIEMPO LIBRE, COMO MECANISMO DE COHESION E INTEGRACION SOCIAL EN EL DISTRITO DE   CARTAGENA DE INDIAS"/>
    <s v="2021130010230 RECREACION COMUNITARIA Y APROVECHAMIENTO DEL TIEMPO LIBRE, COMO MECANISMO DE COHESION E INTEGRACION SOCIAL EN EL DISTRITO DE   CARTAGENA DE INDIAS"/>
    <s v="06"/>
    <s v="00"/>
    <n v="333333331"/>
    <n v="0"/>
    <n v="333333331"/>
    <n v="314191328.06"/>
    <n v="19142002.940000001"/>
    <n v="314191328.06"/>
    <n v="94.26"/>
    <n v="314191328.06"/>
    <n v="94.26"/>
    <n v="19142002.940000001"/>
    <n v="166513328.06"/>
  </r>
  <r>
    <n v="2022"/>
    <n v="100"/>
    <x v="20"/>
    <s v="ESCUELA DE GOBIERNO"/>
    <s v="14 ESCUELA DE GOBIERNO"/>
    <n v="2021130010231"/>
    <s v="10. PILAR: CARTAGENA TRANSPARENTE"/>
    <s v="10.6 LÍNEA ESTRATÉGICA: CULTURA CIUDADANA PARA LA DEMOCRACIA Y LA PAZ"/>
    <s v="10.6.2 PROGRAMA: CIUDADANÍA LIBRE, INCLUYENTE Y TRANSFORMADORA "/>
    <s v="2,3,4502,1000,2021130010231"/>
    <s v="001"/>
    <s v="1,2,1,0,00-001 - ICLD"/>
    <s v="INV"/>
    <s v="NO"/>
    <s v="FORMACION DE LA CIUDADANIA LIBRE INCLUYENTE Y TRANSFORMADORA PARA LA DEMOCRACIA 2022 2023"/>
    <s v="2021130010231 FORMACION DE LA CIUDADANIA LIBRE INCLUYENTE Y TRANSFORMADORA PARA LA DEMOCRACIA 2022 2023"/>
    <s v="06"/>
    <s v="00"/>
    <n v="148128322"/>
    <n v="0"/>
    <n v="148128322"/>
    <n v="148128322"/>
    <n v="0"/>
    <n v="147128322"/>
    <n v="99.32"/>
    <n v="147128322"/>
    <n v="99.32"/>
    <n v="1000000"/>
    <n v="147128322"/>
  </r>
  <r>
    <n v="2022"/>
    <n v="100"/>
    <x v="20"/>
    <s v="ESCUELA DE GOBIERNO"/>
    <s v="14 ESCUELA DE GOBIERNO"/>
    <n v="2021130010232"/>
    <s v="10. PILAR: CARTAGENA TRANSPARENTE"/>
    <s v="10.6 LÍNEA ESTRATÉGICA: CULTURA CIUDADANA PARA LA DEMOCRACIA Y LA PAZ"/>
    <s v="10.6.1 PROGRAMA: SERVIDOR Y SERVIDORA PÚBLICA AL SERVICIO DE LA CIUDADANÍA"/>
    <s v="2,3,4599,1000,2021130010232"/>
    <s v="001"/>
    <s v="1,2,1,0,00-001 - ICLD"/>
    <s v="INV"/>
    <s v="NO"/>
    <s v="FORMACION DESARROLLO DE LAS COMPETENCIAS DE LOS SERVIDORES Y SERVIDORAS PUBLICAS DEL DISTRITO DE CARTAGENA DE INDIAS"/>
    <s v="2021130010232 FORMACION DESARROLLO DE LAS COMPETENCIAS DE LOS SERVIDORES Y SERVIDORAS PUBLICAS DEL DISTRITO DE CARTAGENA DE INDIAS"/>
    <s v="06"/>
    <s v="00"/>
    <n v="150695542"/>
    <n v="0"/>
    <n v="150695542"/>
    <n v="150695542"/>
    <n v="0"/>
    <n v="125000000"/>
    <n v="82.95"/>
    <n v="125000000"/>
    <n v="82.95"/>
    <n v="25695542"/>
    <n v="125000000"/>
  </r>
  <r>
    <n v="2022"/>
    <n v="100"/>
    <x v="9"/>
    <s v="SECRETARIA DE PARTICIPACION Y DESARROLLO SOCIAL"/>
    <s v="08 SECRETARIA DE PARTICIPACION Y DESARROLLO SOCIAL"/>
    <n v="2021130010233"/>
    <s v="11. EJE TRANSVERSAL: CARTAGENA CON ATENCION Y GARANTIA DE DERECHOS A POBLACION DIFERENCIAL."/>
    <s v="11.2 LÍNEA ESTRATÉGICA MUJERES CARTAGENERAS POR SUS DERECHOS."/>
    <s v="11.2.1 PROGRAMA: LAS MUJERES DECIDIMOS SOBRE EL EJERCICIO DEL PODER"/>
    <s v="2,3,4502,1000,2021130010233"/>
    <s v="001"/>
    <s v="1,2,1,0,00-001 - ICLD"/>
    <s v="INV"/>
    <s v="NO"/>
    <s v="ACTUALIZACION INSTANCIA RECTORA DE LA POLITICA PUBLICA DE MUJERES CARTAGENA DE INDIAS"/>
    <s v="2021130010233 ACTUALIZACION INSTANCIA RECTORA DE LA POLITICA PUBLICA DE MUJERES CARTAGENA DE INDIAS"/>
    <s v="06"/>
    <s v="00"/>
    <n v="25000000"/>
    <n v="-11000000"/>
    <n v="14000000"/>
    <n v="14000000"/>
    <n v="0"/>
    <n v="14000000"/>
    <n v="100"/>
    <n v="14000000"/>
    <n v="100"/>
    <n v="0"/>
    <n v="14000000"/>
  </r>
  <r>
    <n v="2022"/>
    <n v="100"/>
    <x v="9"/>
    <s v="SECRETARIA DE PARTICIPACION Y DESARROLLO SOCIAL"/>
    <s v="08 SECRETARIA DE PARTICIPACION Y DESARROLLO SOCIAL"/>
    <n v="2021130010234"/>
    <s v="11. EJE TRANSVERSAL: CARTAGENA CON ATENCION Y GARANTIA DE DERECHOS A POBLACION DIFERENCIAL."/>
    <s v="11.8 LÍNEA ESTRATÉGICA DIVERSIDAD SEXUAL Y NUEVAS IDENTIDADES DE GENERO."/>
    <s v="11.8.1 PROGRAMA: DIVERSIDAD SEXUAL E IDENTIDADES DE GÉNERO"/>
    <s v="2,3,4502,1000,2021130010234"/>
    <s v="001"/>
    <s v="1,2,1,0,00-001 - ICLD"/>
    <s v="INV"/>
    <s v="NO"/>
    <s v="ACTUALIZACION DIVERSIDAD SEXUAL E IDENTIDADES DE GENERO CARTAGENA DE INDIAS"/>
    <s v="2021130010234 ACTUALIZACION DIVERSIDAD SEXUAL E IDENTIDADES DE GENERO CARTAGENA DE INDIAS"/>
    <s v="06"/>
    <s v="00"/>
    <n v="37500000"/>
    <n v="0"/>
    <n v="37500000"/>
    <n v="37460000"/>
    <n v="40000"/>
    <n v="37460000"/>
    <n v="99.89"/>
    <n v="12500000"/>
    <n v="33.33"/>
    <n v="40000"/>
    <n v="12500000"/>
  </r>
  <r>
    <n v="2022"/>
    <n v="100"/>
    <x v="9"/>
    <s v="SECRETARIA DE PARTICIPACION Y DESARROLLO SOCIAL"/>
    <s v="08 SECRETARIA DE PARTICIPACION Y DESARROLLO SOCIAL"/>
    <n v="2021130010235"/>
    <s v="11. EJE TRANSVERSAL: CARTAGENA CON ATENCION Y GARANTIA DE DERECHOS A POBLACION DIFERENCIAL."/>
    <s v="11.8 LÍNEA ESTRATÉGICA DIVERSIDAD SEXUAL Y NUEVAS IDENTIDADES DE GENERO."/>
    <s v="11.8.1 PROGRAMA: DIVERSIDAD SEXUAL E IDENTIDADES DE GÉNERO"/>
    <s v="2,3,4502,1000,2021130010235"/>
    <s v="001"/>
    <s v="1,2,1,0,00-001 - ICLD"/>
    <s v="INV"/>
    <s v="NO"/>
    <s v="FORMULACION DE LA POLITICA PUBLICA DE DIVERSIDAD SEXUAL E IDENTIDADES DE GENERO CARTAGENA DE INDIAS"/>
    <s v="2021130010235 FORMULACION DE LA POLITICA PUBLICA DE DIVERSIDAD SEXUAL E IDENTIDADES DE GENERO CARTAGENA DE INDIAS"/>
    <s v="06"/>
    <s v="00"/>
    <n v="37500000"/>
    <n v="0"/>
    <n v="37500000"/>
    <n v="37380000"/>
    <n v="120000"/>
    <n v="36796666.670000002"/>
    <n v="98.12"/>
    <n v="30416666.670000002"/>
    <n v="81.11"/>
    <n v="703333.33"/>
    <n v="30416666.670000002"/>
  </r>
  <r>
    <n v="2022"/>
    <n v="100"/>
    <x v="9"/>
    <s v="SECRETARIA DE PARTICIPACION Y DESARROLLO SOCIAL"/>
    <s v="08 SECRETARIA DE PARTICIPACION Y DESARROLLO SOCIAL"/>
    <n v="2021130010237"/>
    <s v="11. EJE TRANSVERSAL: CARTAGENA CON ATENCION Y GARANTIA DE DERECHOS A POBLACION DIFERENCIAL."/>
    <s v="11.1 LÍNEA ESTRATÉGICA PARA LA EQUIDAD E INCLUSIÓN DE LOS NEGROS, AFROS, PALENQUEROS E INDÍGENA."/>
    <s v="11.1.11 PROGRAMA: EMPODERAMIENTO DEL LIDERAZGO DE LAS MUJERES, NIÑEZ, JÓVENES, FAMILIA Y GENERACIÓN INDÍGENA"/>
    <s v="2,3,1702,1100,2021130010237"/>
    <s v="001"/>
    <s v="1,2,1,0,00-001 - ICLD"/>
    <s v="INV"/>
    <s v="NO"/>
    <s v="ASISTENCIA EMPODERAMIENTO DEL LIDERAZGO DE LAS MUJERES NI?EZ JOVENES FAMILIA Y GENERACION INDIGENA  CARTAGENA DE INDIAS"/>
    <s v="2021130010237 ASISTENCIA EMPODERAMIENTO DEL LIDERAZGO DE LAS MUJERES NI?EZ JOVENES FAMILIA Y GENERACION INDIGENA  CARTAGENA DE INDIAS"/>
    <s v="06"/>
    <s v="00"/>
    <n v="80000000"/>
    <n v="0"/>
    <n v="80000000"/>
    <n v="80000000"/>
    <n v="0"/>
    <n v="80000000"/>
    <n v="100"/>
    <n v="72350000"/>
    <n v="90.44"/>
    <n v="0"/>
    <n v="72350000"/>
  </r>
  <r>
    <n v="2022"/>
    <n v="100"/>
    <x v="20"/>
    <s v="ESCUELA DE GOBIERNO"/>
    <s v="14 ESCUELA DE GOBIERNO"/>
    <n v="2021130010238"/>
    <s v="10. PILAR: CARTAGENA TRANSPARENTE"/>
    <s v="10.6 LÍNEA ESTRATÉGICA: CULTURA CIUDADANA PARA LA DEMOCRACIA Y LA PAZ"/>
    <s v="10.6.5 PROGRAMA: NUESTRA CARTAGENA SOÑADA."/>
    <s v="2,3,4599,1000,2021130010238"/>
    <s v="001"/>
    <s v="1,2,1,0,00-001 - ICLD"/>
    <s v="INV"/>
    <s v="NO"/>
    <s v="FORMULACION AGENDA PROSPECTIVA DE CIUDAD NUESTRA CARTAGENA SO?ADA CARTAGENA DE INDIAS"/>
    <s v="2021130010238 FORMULACION AGENDA PROSPECTIVA DE CIUDAD NUESTRA CARTAGENA SO?ADA CARTAGENA DE INDIAS"/>
    <s v="06"/>
    <s v="00"/>
    <n v="414374881"/>
    <n v="0"/>
    <n v="414374881"/>
    <n v="414374880"/>
    <n v="1"/>
    <n v="405256666.66000003"/>
    <n v="97.8"/>
    <n v="55256666.659999996"/>
    <n v="13.33"/>
    <n v="9118214.3399999999"/>
    <n v="49866666.659999996"/>
  </r>
  <r>
    <n v="2022"/>
    <n v="100"/>
    <x v="14"/>
    <s v="SECRETARIA DE HACIENDA PUBLICA"/>
    <s v="03 SECRETARIA DE HACIENDA PUBLICA"/>
    <n v="2021130010239"/>
    <s v="10. PILAR: CARTAGENA TRANSPARENTE"/>
    <s v="10.6 LÍNEA ESTRATÉGICA: CULTURA CIUDADANA PARA LA DEMOCRACIA Y LA PAZ"/>
    <s v="10.6.3 PROGRAMA: CARTAGENA TE QUIERE, QUIERE A CARTAGENA: PLAN DECENAL DE CULTURA CIUDADANA Y CARTAGENIDAD."/>
    <s v="2,3,4599,1000,2021130010239"/>
    <s v="001"/>
    <s v="1,2,1,0,00-001 - ICLD"/>
    <s v="INV"/>
    <s v="NO"/>
    <s v="IMPLEMENTACION PLAN DECENAL DE CULTURA CIUDADANA Y CARTAGENEIDAD"/>
    <s v="2021130010239 IMPLEMENTACION PLAN DECENAL DE CULTURA CIUDADANA Y CARTAGENEIDAD"/>
    <s v="06"/>
    <s v="00"/>
    <n v="0"/>
    <n v="0"/>
    <n v="0"/>
    <n v="0"/>
    <n v="0"/>
    <n v="0"/>
    <n v="0"/>
    <n v="0"/>
    <n v="0"/>
    <n v="0"/>
    <n v="0"/>
  </r>
  <r>
    <n v="2022"/>
    <n v="100"/>
    <x v="20"/>
    <s v="ESCUELA DE GOBIERNO"/>
    <s v="14 ESCUELA DE GOBIERNO"/>
    <n v="2021130010239"/>
    <s v="10. PILAR: CARTAGENA TRANSPARENTE"/>
    <s v="10.6 LÍNEA ESTRATÉGICA: CULTURA CIUDADANA PARA LA DEMOCRACIA Y LA PAZ"/>
    <s v="10.6.3 PROGRAMA: CARTAGENA TE QUIERE, QUIERE A CARTAGENA: PLAN DECENAL DE CULTURA CIUDADANA Y CARTAGENIDAD."/>
    <s v="2,3,4599,1000,2021130010239"/>
    <s v="001"/>
    <s v="1,2,1,0,00-001 - ICLD"/>
    <s v="INV"/>
    <s v="NO"/>
    <s v="IMPLEMENTACION PLAN DECENAL DE CULTURA CIUDADANA Y CARTAGENEIDAD"/>
    <s v="2021130010239 IMPLEMENTACION PLAN DECENAL DE CULTURA CIUDADANA Y CARTAGENEIDAD"/>
    <s v="06"/>
    <s v="00"/>
    <n v="923703820"/>
    <n v="0"/>
    <n v="923703820"/>
    <n v="920323876"/>
    <n v="3379944"/>
    <n v="919207147.32000005"/>
    <n v="99.51"/>
    <n v="782720496.01999998"/>
    <n v="84.74"/>
    <n v="4496672.68"/>
    <n v="782720496.01999998"/>
  </r>
  <r>
    <n v="2022"/>
    <n v="100"/>
    <x v="20"/>
    <s v="ESCUELA DE GOBIERNO"/>
    <s v="14 ESCUELA DE GOBIERNO"/>
    <n v="2021130010240"/>
    <s v="10. PILAR: CARTAGENA TRANSPARENTE"/>
    <s v="10.2 LÍNEA ESTRATÉGICA: CARTAGENA INTELIGENTE CON TODOS Y PARA TODOS"/>
    <s v="10.2.5 PROGRAMA: JORGE PIEDRAHITA ADUEN"/>
    <s v="2,3,4502,1000,2021130010240"/>
    <s v="001"/>
    <s v="1,2,1,0,00-001 - ICLD"/>
    <s v="INV"/>
    <s v="NO"/>
    <s v="FORMACION INVESTIGACION PREMIOS JORGE PIEDRAHITA ADUEN"/>
    <s v="2021130010240 FORMACION INVESTIGACION PREMIOS JORGE PIEDRAHITA ADUEN"/>
    <s v="06"/>
    <s v="00"/>
    <n v="184955732"/>
    <n v="0"/>
    <n v="184955732"/>
    <n v="184815739"/>
    <n v="139993"/>
    <n v="181669072.66"/>
    <n v="98.22"/>
    <n v="162954591.46000001"/>
    <n v="88.1"/>
    <n v="3286659.34"/>
    <n v="88096666.659999996"/>
  </r>
  <r>
    <n v="2022"/>
    <n v="100"/>
    <x v="20"/>
    <s v="ESCUELA DE GOBIERNO"/>
    <s v="14 ESCUELA DE GOBIERNO"/>
    <n v="2021130010241"/>
    <s v="10. PILAR: CARTAGENA TRANSPARENTE"/>
    <s v="10.6 LÍNEA ESTRATÉGICA: CULTURA CIUDADANA PARA LA DEMOCRACIA Y LA PAZ"/>
    <s v="10.6.6 PROGRAMA: CONECTATE CON CARTAGENA"/>
    <s v="2,3,4599,1000,2021130010241"/>
    <s v="001"/>
    <s v="1,2,1,0,00-001 - ICLD"/>
    <s v="INV"/>
    <s v="NO"/>
    <s v="DESARROLLO E IMPLEMENTACION DEL CURSO DE FORMACION VIRTUAL EN LA ESCUELA DE GOBIERNO DEL DISTRITO DE CARTAGENA DE INDIAS "/>
    <s v="2021130010241 DESARROLLO E IMPLEMENTACION DEL CURSO DE FORMACION VIRTUAL EN LA ESCUELA DE GOBIERNO DEL DISTRITO DE CARTAGENA DE INDIAS "/>
    <s v="06"/>
    <s v="00"/>
    <n v="70433856"/>
    <n v="0"/>
    <n v="70433856"/>
    <n v="70433855"/>
    <n v="1"/>
    <n v="65880000"/>
    <n v="93.53"/>
    <n v="65880000"/>
    <n v="93.53"/>
    <n v="4553856"/>
    <n v="65880000"/>
  </r>
  <r>
    <n v="2022"/>
    <n v="100"/>
    <x v="20"/>
    <s v="ESCUELA DE GOBIERNO"/>
    <s v="14 ESCUELA DE GOBIERNO"/>
    <n v="2021130010242"/>
    <s v="10. PILAR: CARTAGENA TRANSPARENTE"/>
    <s v="10.6 LÍNEA ESTRATÉGICA: CULTURA CIUDADANA PARA LA DEMOCRACIA Y LA PAZ"/>
    <s v="10.6.4 PROGRAMA: YO SOY CARTAGENA"/>
    <s v="2,3,4599,1000,2021130010242"/>
    <s v="001"/>
    <s v="1,2,1,0,00-001 - ICLD"/>
    <s v="INV"/>
    <s v="NO"/>
    <s v="FORMACION MI ORGULLO ES CARTAGENA"/>
    <s v="2021130010242 FORMACION MI ORGULLO ES CARTAGENA"/>
    <s v="06"/>
    <s v="00"/>
    <n v="107707847"/>
    <n v="0"/>
    <n v="107707847"/>
    <n v="107707847"/>
    <n v="0"/>
    <n v="107307847"/>
    <n v="99.63"/>
    <n v="43600000"/>
    <n v="40.479999999999997"/>
    <n v="400000"/>
    <n v="43600000"/>
  </r>
  <r>
    <n v="2022"/>
    <n v="100"/>
    <x v="15"/>
    <s v="SECRETARIA DE PLANEACION"/>
    <s v="09 SECRETARIA DE PLANEACION"/>
    <n v="2021130010244"/>
    <s v="08. PILAR CARTAGENA INCLUYENTE"/>
    <s v="8.6 LÍNEA ESTRATÉGICA PLANEACIÓN SOCIAL DEL TERRITORIO"/>
    <s v="8.6.1 PROGRAMA: INSTRUMENTOS DE PLANIFICACIÓN SOCIAL DEL TERRITORIO"/>
    <s v="2,3,0401,1003,2021130010244"/>
    <s v="922"/>
    <s v="1,3,3,8,03-95-070 R,B, SGP-PROPOSITO GENERAL-PROPOSITO GENERAL LIBRE INVERSION"/>
    <s v="INV"/>
    <s v="NO"/>
    <s v="ACTUALIZACION Y OPTIMIZACION DEL SISTEMAS DE INFORMACION GEOGRAFICA PARA LA PLANEACION SOCIAL Y TOMA DE DECISIONES DEL TERRITORIO EN  CARTAGENA DE INDIAS"/>
    <s v="2021130010244 ACTUALIZACION Y OPTIMIZACION DEL SISTEMAS DE INFORMACION GEOGRAFICA PARA LA PLANEACION SOCIAL Y TOMA DE DECISIONES DEL TERRITORIO EN  CARTAGENA DE INDIAS"/>
    <s v="06"/>
    <s v="00"/>
    <n v="0"/>
    <n v="217026666.66"/>
    <n v="217026666.66"/>
    <n v="32000000"/>
    <n v="185026666.66"/>
    <n v="32000000"/>
    <n v="14.74"/>
    <n v="0"/>
    <n v="0"/>
    <n v="185026666.66"/>
    <n v="0"/>
  </r>
  <r>
    <n v="2022"/>
    <n v="100"/>
    <x v="15"/>
    <s v="SECRETARIA DE PLANEACION"/>
    <s v="09 SECRETARIA DE PLANEACION"/>
    <n v="2021130010244"/>
    <s v="08. PILAR CARTAGENA INCLUYENTE"/>
    <s v="8.6 LÍNEA ESTRATÉGICA PLANEACIÓN SOCIAL DEL TERRITORIO"/>
    <s v="8.6.1 PROGRAMA: INSTRUMENTOS DE PLANIFICACIÓN SOCIAL DEL TERRITORIO"/>
    <s v="2,3,0401,1003,2021130010244"/>
    <s v="001"/>
    <s v="1,2,1,0,00-001 - ICLD"/>
    <s v="INV"/>
    <s v="NO"/>
    <s v="ACTUALIZACION Y OPTIMIZACION DEL SISTEMAS DE INFORMACION GEOGRAFICA PARA LA PLANEACION SOCIAL Y TOMA DE DECISIONES DEL TERRITORIO EN  CARTAGENA DE INDIAS"/>
    <s v="2021130010244 ACTUALIZACION Y OPTIMIZACION DEL SISTEMAS DE INFORMACION GEOGRAFICA PARA LA PLANEACION SOCIAL Y TOMA DE DECISIONES DEL TERRITORIO EN  CARTAGENA DE INDIAS"/>
    <s v="06"/>
    <s v="00"/>
    <n v="328600000"/>
    <n v="0"/>
    <n v="328600000"/>
    <n v="326642740.32999998"/>
    <n v="1957259.67"/>
    <n v="257638732"/>
    <n v="78.400000000000006"/>
    <n v="257638732"/>
    <n v="78.400000000000006"/>
    <n v="70961268"/>
    <n v="253538732"/>
  </r>
  <r>
    <n v="2022"/>
    <n v="100"/>
    <x v="15"/>
    <s v="SECRETARIA DE PLANEACION"/>
    <s v="09 SECRETARIA DE PLANEACION"/>
    <n v="2021130010245"/>
    <s v="09. PILAR CARTAGENA CONTINGENTE"/>
    <s v="9.4 LÍNEA ESTRATÉGICA: PLANEACIÓN E INTEGRACIÓN CONTINGENTE DEL TERRITORIO"/>
    <s v="9.4.1 INTEGRACIÓN Y PROYECTOS ENTRE CIUDADES"/>
    <s v="2,3,4599,1000,2021130010245"/>
    <s v="001"/>
    <s v="1,2,1,0,00-001 - ICLD"/>
    <s v="INV"/>
    <s v="NO"/>
    <s v="ACTUALIZACION DEL AREA METROPOLITANA DE CARTAGENA DE INDIAS BUSCANDO FORTALECER LA CONSOLIDACION DEL AREA DE INTEGRACION COMO UN ESQUEMA ASOCIATIVO QUE FAVOREZCA EL SURGIMIENTO DE PROYECTOS TERRITORIALES  CARTAGENA DE INDIAS"/>
    <s v="2021130010245 ACTUALIZACION DEL AREA METROPOLITANA DE CARTAGENA DE INDIAS BUSCANDO FORTALECER LA CONSOLIDACION DEL AREA DE INTEGRACION COMO UN ESQUEMA ASOCIATIVO QUE FAVOREZCA EL SURGIMIENTO DE PROYECTOS TERRITORIALES  CARTAGENA DE INDIAS"/>
    <s v="06"/>
    <s v="00"/>
    <n v="239800000"/>
    <n v="0"/>
    <n v="239800000"/>
    <n v="198586666"/>
    <n v="41213334"/>
    <n v="198586666"/>
    <n v="82.81"/>
    <n v="198586666"/>
    <n v="82.81"/>
    <n v="41213334"/>
    <n v="191586666"/>
  </r>
  <r>
    <n v="2022"/>
    <n v="100"/>
    <x v="16"/>
    <s v="DEPARTAMENTO ADMINISTRATIVO DE TRANSITO Y TRANSPORTE"/>
    <s v="12 DEPARTAMENTO ADMINISTRATIVO DE TRANSITO Y TRANSPORTE"/>
    <n v="2021130010246"/>
    <s v="07. PILAR CARTAGENA RESILIENTE"/>
    <s v="7.2 LÍNEA ESTRATÉGICA ESPACIO PÚBLICO, MOVILIDAD Y TRANSPORTE RESILIENTE"/>
    <s v="7.2.6 REDUCCIÓN DE LA SINIESTRALIDAD VIAL"/>
    <s v="2,3,2409,0600,2021130010246"/>
    <s v="846"/>
    <s v="1,3,3,3,03-95-022 R,B, IMPUESTO SOBRE VEHICULOS AUTOMOTORES"/>
    <s v="INV"/>
    <s v="NO"/>
    <s v="FORTALECIMIENTO DE LA EDUCACION CULTURA Y SEGURIDAD VIAL EN EL DISTRITO DE   CARTAGENA DE INDIAS"/>
    <s v="2021130010246 FORTALECIMIENTO DE LA EDUCACION CULTURA Y SEGURIDAD VIAL EN EL DISTRITO DE   CARTAGENA DE INDIAS"/>
    <s v="06"/>
    <s v="00"/>
    <n v="0"/>
    <n v="230149618"/>
    <n v="230149618"/>
    <n v="178276253.50999999"/>
    <n v="51873364.490000002"/>
    <n v="151321358.09999999"/>
    <n v="65.75"/>
    <n v="70778090.349999994"/>
    <n v="30.75"/>
    <n v="78828259.900000006"/>
    <n v="35848000"/>
  </r>
  <r>
    <n v="2022"/>
    <n v="100"/>
    <x v="16"/>
    <s v="DEPARTAMENTO ADMINISTRATIVO DE TRANSITO Y TRANSPORTE"/>
    <s v="12 DEPARTAMENTO ADMINISTRATIVO DE TRANSITO Y TRANSPORTE"/>
    <n v="2021130010246"/>
    <s v="07. PILAR CARTAGENA RESILIENTE"/>
    <s v="7.2 LÍNEA ESTRATÉGICA ESPACIO PÚBLICO, MOVILIDAD Y TRANSPORTE RESILIENTE"/>
    <s v="7.2.6 REDUCCIÓN DE LA SINIESTRALIDAD VIAL"/>
    <s v="2,3,2409,0600,2021130010246"/>
    <s v="862"/>
    <s v="1,3,3,4,15-95-021 R,B, SERVICIOS DE TRANSITO Y TRANSPORTE"/>
    <s v="INV"/>
    <s v="NO"/>
    <s v="FORTALECIMIENTO DE LA EDUCACION CULTURA Y SEGURIDAD VIAL EN EL DISTRITO DE   CARTAGENA DE INDIAS"/>
    <s v="2021130010246 FORTALECIMIENTO DE LA EDUCACION CULTURA Y SEGURIDAD VIAL EN EL DISTRITO DE   CARTAGENA DE INDIAS"/>
    <s v="06"/>
    <s v="00"/>
    <n v="0"/>
    <n v="23350199.600000001"/>
    <n v="23350199.600000001"/>
    <n v="11465494.359999999"/>
    <n v="11884705.24"/>
    <n v="8588126.2799999993"/>
    <n v="36.78"/>
    <n v="0"/>
    <n v="0"/>
    <n v="14762073.32"/>
    <n v="0"/>
  </r>
  <r>
    <n v="2022"/>
    <n v="100"/>
    <x v="16"/>
    <s v="DEPARTAMENTO ADMINISTRATIVO DE TRANSITO Y TRANSPORTE"/>
    <s v="12 DEPARTAMENTO ADMINISTRATIVO DE TRANSITO Y TRANSPORTE"/>
    <n v="2021130010246"/>
    <s v="07. PILAR CARTAGENA RESILIENTE"/>
    <s v="7.2 LÍNEA ESTRATÉGICA ESPACIO PÚBLICO, MOVILIDAD Y TRANSPORTE RESILIENTE"/>
    <s v="7.2.6 REDUCCIÓN DE LA SINIESTRALIDAD VIAL"/>
    <s v="2,3,2409,0600,2021130010246"/>
    <s v="168"/>
    <s v="1,2,3,2,07-168 - OTRAS MULTAS, SANCIONES E INTERESES DE MORA (MULTAS TRANSITO Y TRANSPORTE)"/>
    <s v="INV"/>
    <s v="NO"/>
    <s v="FORTALECIMIENTO DE LA EDUCACION CULTURA Y SEGURIDAD VIAL EN EL DISTRITO DE   CARTAGENA DE INDIAS"/>
    <s v="2021130010246 FORTALECIMIENTO DE LA EDUCACION CULTURA Y SEGURIDAD VIAL EN EL DISTRITO DE   CARTAGENA DE INDIAS"/>
    <s v="06"/>
    <s v="00"/>
    <n v="1569400000"/>
    <n v="-62101923.07"/>
    <n v="1507298076.9300001"/>
    <n v="1500723905"/>
    <n v="6574171.9299999997"/>
    <n v="1500723905"/>
    <n v="99.56"/>
    <n v="1479075666"/>
    <n v="98.13"/>
    <n v="6574171.9299999997"/>
    <n v="1439374333"/>
  </r>
  <r>
    <n v="2022"/>
    <n v="100"/>
    <x v="16"/>
    <s v="DEPARTAMENTO ADMINISTRATIVO DE TRANSITO Y TRANSPORTE"/>
    <s v="12 DEPARTAMENTO ADMINISTRATIVO DE TRANSITO Y TRANSPORTE"/>
    <n v="2021130010246"/>
    <s v="07. PILAR CARTAGENA RESILIENTE"/>
    <s v="7.2 LÍNEA ESTRATÉGICA ESPACIO PÚBLICO, MOVILIDAD Y TRANSPORTE RESILIENTE"/>
    <s v="7.2.6 REDUCCIÓN DE LA SINIESTRALIDAD VIAL"/>
    <s v="2,3,2409,0600,2021130010246"/>
    <s v="861"/>
    <s v="1,3,3,4,15-93-021 R,B, SERVICIOS DE TRANSITO Y TRANSPORTE"/>
    <s v="INV"/>
    <s v="NO"/>
    <s v="FORTALECIMIENTO DE LA EDUCACION CULTURA Y SEGURIDAD VIAL EN EL DISTRITO DE   CARTAGENA DE INDIAS"/>
    <s v="2021130010246 FORTALECIMIENTO DE LA EDUCACION CULTURA Y SEGURIDAD VIAL EN EL DISTRITO DE   CARTAGENA DE INDIAS"/>
    <s v="06"/>
    <s v="00"/>
    <n v="0"/>
    <n v="586276137.63999999"/>
    <n v="586276137.63999999"/>
    <n v="586276137.63999999"/>
    <n v="0"/>
    <n v="486632777.63999999"/>
    <n v="83"/>
    <n v="443882338"/>
    <n v="75.709999999999994"/>
    <n v="99643360"/>
    <n v="388421004"/>
  </r>
  <r>
    <n v="2022"/>
    <n v="100"/>
    <x v="16"/>
    <s v="DEPARTAMENTO ADMINISTRATIVO DE TRANSITO Y TRANSPORTE"/>
    <s v="12 DEPARTAMENTO ADMINISTRATIVO DE TRANSITO Y TRANSPORTE"/>
    <n v="2021130010246"/>
    <s v="07. PILAR CARTAGENA RESILIENTE"/>
    <s v="7.2 LÍNEA ESTRATÉGICA ESPACIO PÚBLICO, MOVILIDAD Y TRANSPORTE RESILIENTE"/>
    <s v="7.2.6 REDUCCIÓN DE LA SINIESTRALIDAD VIAL"/>
    <s v="2,3,2409,0600,2021130010246"/>
    <s v="022"/>
    <s v="1,2,3,3,01-022 - PARTICIPACIONES DISTINTAS DEL SGP (PARTICIPACION IMPUESTO DE VEHICULO AUTOMOTOR)"/>
    <s v="INV"/>
    <s v="NO"/>
    <s v="FORTALECIMIENTO DE LA EDUCACION CULTURA Y SEGURIDAD VIAL EN EL DISTRITO DE   CARTAGENA DE INDIAS"/>
    <s v="2021130010246 FORTALECIMIENTO DE LA EDUCACION CULTURA Y SEGURIDAD VIAL EN EL DISTRITO DE   CARTAGENA DE INDIAS"/>
    <s v="06"/>
    <s v="00"/>
    <n v="103885892"/>
    <n v="-103885889"/>
    <n v="3"/>
    <n v="0"/>
    <n v="3"/>
    <n v="0"/>
    <n v="0"/>
    <n v="0"/>
    <n v="0"/>
    <n v="3"/>
    <n v="0"/>
  </r>
  <r>
    <n v="2022"/>
    <n v="100"/>
    <x v="16"/>
    <s v="DEPARTAMENTO ADMINISTRATIVO DE TRANSITO Y TRANSPORTE"/>
    <s v="12 DEPARTAMENTO ADMINISTRATIVO DE TRANSITO Y TRANSPORTE"/>
    <n v="2021130010247"/>
    <s v="07. PILAR CARTAGENA RESILIENTE"/>
    <s v="7.2 LÍNEA ESTRATÉGICA ESPACIO PÚBLICO, MOVILIDAD Y TRANSPORTE RESILIENTE"/>
    <s v="7.2.6 REDUCCIÓN DE LA SINIESTRALIDAD VIAL"/>
    <s v="2,3,2409,0600,2021130010247"/>
    <s v="846"/>
    <s v="1,3,3,3,03-95-022 R,B, IMPUESTO SOBRE VEHICULOS AUTOMOTORES"/>
    <s v="INV"/>
    <s v="NO"/>
    <s v="AMPLIACION Y MANTENIMIENTO DE LA SE?ALIZACION VIAL EN EL DISTRITO DE CARTAGENA DE INDIAS"/>
    <s v="2021130010247 AMPLIACION Y MANTENIMIENTO DE LA SE?ALIZACION VIAL EN EL DISTRITO DE CARTAGENA DE INDIAS"/>
    <s v="06"/>
    <s v="00"/>
    <n v="0"/>
    <n v="407989845"/>
    <n v="407989845"/>
    <n v="407989844"/>
    <n v="1"/>
    <n v="372331137"/>
    <n v="91.26"/>
    <n v="0"/>
    <n v="0"/>
    <n v="35658708"/>
    <n v="0"/>
  </r>
  <r>
    <n v="2022"/>
    <n v="100"/>
    <x v="16"/>
    <s v="DEPARTAMENTO ADMINISTRATIVO DE TRANSITO Y TRANSPORTE"/>
    <s v="12 DEPARTAMENTO ADMINISTRATIVO DE TRANSITO Y TRANSPORTE"/>
    <n v="2021130010247"/>
    <s v="07. PILAR CARTAGENA RESILIENTE"/>
    <s v="7.2 LÍNEA ESTRATÉGICA ESPACIO PÚBLICO, MOVILIDAD Y TRANSPORTE RESILIENTE"/>
    <s v="7.2.6 REDUCCIÓN DE LA SINIESTRALIDAD VIAL"/>
    <s v="2,3,2409,0600,2021130010247"/>
    <s v="079"/>
    <s v="1,3,2,3,05-079 - OTROS RENDIMIENTOS FINANCIEROS DATT"/>
    <s v="INV"/>
    <s v="NO"/>
    <s v="AMPLIACION Y MANTENIMIENTO DE LA SE?ALIZACION VIAL EN EL DISTRITO DE  CARTAGENA DE INDIAS"/>
    <s v="2021130010247 AMPLIACION Y MANTENIMIENTO DE LA SE?ALIZACION VIAL EN EL DISTRITO DE  CARTAGENA DE INDIAS"/>
    <s v="06"/>
    <s v="00"/>
    <n v="14829657"/>
    <n v="0"/>
    <n v="14829657"/>
    <n v="14829657"/>
    <n v="0"/>
    <n v="14786594"/>
    <n v="99.71"/>
    <n v="0"/>
    <n v="0"/>
    <n v="43063"/>
    <n v="0"/>
  </r>
  <r>
    <n v="2022"/>
    <n v="100"/>
    <x v="16"/>
    <s v="DEPARTAMENTO ADMINISTRATIVO DE TRANSITO Y TRANSPORTE"/>
    <s v="12 DEPARTAMENTO ADMINISTRATIVO DE TRANSITO Y TRANSPORTE"/>
    <n v="2021130010247"/>
    <s v="07. PILAR CARTAGENA RESILIENTE"/>
    <s v="7.2 LÍNEA ESTRATÉGICA ESPACIO PÚBLICO, MOVILIDAD Y TRANSPORTE RESILIENTE"/>
    <s v="7.2.6 REDUCCIÓN DE LA SINIESTRALIDAD VIAL"/>
    <s v="2,3,2409,0600,2021130010247"/>
    <s v="164"/>
    <s v="1,2,3,2,07-164 - OTRAS MULTAS, SANCIONES E INTERESES DE MORA (Participacion de intereses de mora sobre el impuesto sobre vehiculos automotores)"/>
    <s v="INV"/>
    <s v="NO"/>
    <s v="AMPLIACION Y MANTENIMIENTO DE LA SE?ALIZACION VIAL EN EL DISTRITO DE  CARTAGENA DE INDIAS"/>
    <s v="2021130010247 AMPLIACION Y MANTENIMIENTO DE LA SE?ALIZACION VIAL EN EL DISTRITO DE  CARTAGENA DE INDIAS"/>
    <s v="06"/>
    <s v="00"/>
    <n v="203337558"/>
    <n v="0"/>
    <n v="203337558"/>
    <n v="203337558"/>
    <n v="0"/>
    <n v="203337558"/>
    <n v="100"/>
    <n v="0"/>
    <n v="0"/>
    <n v="0"/>
    <n v="0"/>
  </r>
  <r>
    <n v="2022"/>
    <n v="100"/>
    <x v="16"/>
    <s v="DEPARTAMENTO ADMINISTRATIVO DE TRANSITO Y TRANSPORTE"/>
    <s v="12 DEPARTAMENTO ADMINISTRATIVO DE TRANSITO Y TRANSPORTE"/>
    <n v="2021130010247"/>
    <s v="07. PILAR CARTAGENA RESILIENTE"/>
    <s v="7.2 LÍNEA ESTRATÉGICA ESPACIO PÚBLICO, MOVILIDAD Y TRANSPORTE RESILIENTE"/>
    <s v="7.2.6 REDUCCIÓN DE LA SINIESTRALIDAD VIAL"/>
    <s v="2,3,2409,0600,2021130010247"/>
    <s v="165"/>
    <s v="1,2,3,2,07-165 - OTRAS MULTAS, SANCIONES E INTERESES DE MORA (Participacion de sanciones del impuesto sobre vehiculos automotores)"/>
    <s v="INV"/>
    <s v="NO"/>
    <s v="AMPLIACION Y MANTENIMIENTO DE LA SE?ALIZACION VIAL EN EL DISTRITO DE  CARTAGENA DE INDIAS"/>
    <s v="2021130010247 AMPLIACION Y MANTENIMIENTO DE LA SE?ALIZACION VIAL EN EL DISTRITO DE  CARTAGENA DE INDIAS"/>
    <s v="06"/>
    <s v="00"/>
    <n v="203337558"/>
    <n v="0"/>
    <n v="203337558"/>
    <n v="203337558"/>
    <n v="0"/>
    <n v="203337558"/>
    <n v="100"/>
    <n v="0"/>
    <n v="0"/>
    <n v="0"/>
    <n v="0"/>
  </r>
  <r>
    <n v="2022"/>
    <n v="100"/>
    <x v="16"/>
    <s v="DEPARTAMENTO ADMINISTRATIVO DE TRANSITO Y TRANSPORTE"/>
    <s v="12 DEPARTAMENTO ADMINISTRATIVO DE TRANSITO Y TRANSPORTE"/>
    <n v="2021130010247"/>
    <s v="07. PILAR CARTAGENA RESILIENTE"/>
    <s v="7.2 LÍNEA ESTRATÉGICA ESPACIO PÚBLICO, MOVILIDAD Y TRANSPORTE RESILIENTE"/>
    <s v="7.2.6 REDUCCIÓN DE LA SINIESTRALIDAD VIAL"/>
    <s v="2,3,2409,0600,2021130010247"/>
    <s v="168"/>
    <s v="1,2,3,2,07-168 - OTRAS MULTAS, SANCIONES E INTERESES DE MORA (MULTAS TRANSITO Y TRANSPORTE)"/>
    <s v="INV"/>
    <s v="NO"/>
    <s v="AMPLIACION Y MANTENIMIENTO DE LA SE?ALIZACION VIAL EN EL DISTRITO DE  CARTAGENA DE INDIAS"/>
    <s v="2021130010247 AMPLIACION Y MANTENIMIENTO DE LA SE?ALIZACION VIAL EN EL DISTRITO DE  CARTAGENA DE INDIAS"/>
    <s v="06"/>
    <s v="00"/>
    <n v="385170342.56"/>
    <n v="0"/>
    <n v="385170342.56"/>
    <n v="385170342"/>
    <n v="0.56000000000000005"/>
    <n v="291894048"/>
    <n v="75.78"/>
    <n v="0"/>
    <n v="0"/>
    <n v="93276294.560000002"/>
    <n v="0"/>
  </r>
  <r>
    <n v="2022"/>
    <n v="100"/>
    <x v="16"/>
    <s v="DEPARTAMENTO ADMINISTRATIVO DE TRANSITO Y TRANSPORTE"/>
    <s v="12 DEPARTAMENTO ADMINISTRATIVO DE TRANSITO Y TRANSPORTE"/>
    <n v="2021130010247"/>
    <s v="07. PILAR CARTAGENA RESILIENTE"/>
    <s v="7.2 LÍNEA ESTRATÉGICA ESPACIO PÚBLICO, MOVILIDAD Y TRANSPORTE RESILIENTE"/>
    <s v="7.2.6 REDUCCIÓN DE LA SINIESTRALIDAD VIAL"/>
    <s v="2,3,2409,0600,2021130010247"/>
    <s v="861"/>
    <s v="1,3,3,4,15-93-021 R,B, SERVICIOS DE TRANSITO Y TRANSPORTE"/>
    <s v="INV"/>
    <s v="NO"/>
    <s v="AMPLIACION Y MANTENIMIENTO DE LA SE?ALIZACION VIAL EN EL DISTRITO DE  CARTAGENA DE INDIAS"/>
    <s v="2021130010247 AMPLIACION Y MANTENIMIENTO DE LA SE?ALIZACION VIAL EN EL DISTRITO DE  CARTAGENA DE INDIAS"/>
    <s v="06"/>
    <s v="00"/>
    <n v="0"/>
    <n v="1283595654.6900001"/>
    <n v="1283595654.6900001"/>
    <n v="918244439.91999996"/>
    <n v="365351214.76999998"/>
    <n v="388506528.86000001"/>
    <n v="30.27"/>
    <n v="0"/>
    <n v="0"/>
    <n v="895089125.83000004"/>
    <n v="0"/>
  </r>
  <r>
    <n v="2022"/>
    <n v="100"/>
    <x v="16"/>
    <s v="DEPARTAMENTO ADMINISTRATIVO DE TRANSITO Y TRANSPORTE"/>
    <s v="12 DEPARTAMENTO ADMINISTRATIVO DE TRANSITO Y TRANSPORTE"/>
    <n v="2021130010247"/>
    <s v="07. PILAR CARTAGENA RESILIENTE"/>
    <s v="7.2 LÍNEA ESTRATÉGICA ESPACIO PÚBLICO, MOVILIDAD Y TRANSPORTE RESILIENTE"/>
    <s v="7.2.6 REDUCCIÓN DE LA SINIESTRALIDAD VIAL"/>
    <s v="2,3,2409,0600,2021130010247"/>
    <s v="001"/>
    <s v="1,2,1,0,00-001 - ICLD"/>
    <s v="INV"/>
    <s v="NO"/>
    <s v="AMPLIACION Y MANTENIMIENTO DE LA SE?ALIZACION VIAL EN EL DISTRITO DE  CARTAGENA DE INDIAS"/>
    <s v="2021130010247 AMPLIACION Y MANTENIMIENTO DE LA SE?ALIZACION VIAL EN EL DISTRITO DE  CARTAGENA DE INDIAS"/>
    <s v="06"/>
    <s v="00"/>
    <n v="2000000000"/>
    <n v="0"/>
    <n v="2000000000"/>
    <n v="1892152647.6500001"/>
    <n v="107847352.34999999"/>
    <n v="1790581034.6500001"/>
    <n v="89.53"/>
    <n v="237533100"/>
    <n v="11.88"/>
    <n v="209418965.34999999"/>
    <n v="205551600"/>
  </r>
  <r>
    <n v="2022"/>
    <n v="100"/>
    <x v="16"/>
    <s v="DEPARTAMENTO ADMINISTRATIVO DE TRANSITO Y TRANSPORTE"/>
    <s v="12 DEPARTAMENTO ADMINISTRATIVO DE TRANSITO Y TRANSPORTE"/>
    <n v="2021130010247"/>
    <s v="07. PILAR CARTAGENA RESILIENTE"/>
    <s v="7.2 LÍNEA ESTRATÉGICA ESPACIO PÚBLICO, MOVILIDAD Y TRANSPORTE RESILIENTE"/>
    <s v="7.2.6 REDUCCIÓN DE LA SINIESTRALIDAD VIAL"/>
    <s v="2,3,2409,0600,2021130010247"/>
    <s v="022"/>
    <s v="1,2,3,3,01-022 - PARTICIPACIONES DISTINTAS DEL SGP (PARTICIPACION IMPUESTO DE VEHICULO AUTOMOTOR)"/>
    <s v="INV"/>
    <s v="NO"/>
    <s v="AMPLIACION Y MANTENIMIENTO DE LA SE?ALIZACION VIAL EN EL DISTRITO DE  CARTAGENA DE INDIAS"/>
    <s v="2021130010247 AMPLIACION Y MANTENIMIENTO DE LA SE?ALIZACION VIAL EN EL DISTRITO DE  CARTAGENA DE INDIAS"/>
    <s v="06"/>
    <s v="00"/>
    <n v="200000000"/>
    <n v="0"/>
    <n v="200000000"/>
    <n v="200000000"/>
    <n v="0"/>
    <n v="200000000"/>
    <n v="100"/>
    <n v="0"/>
    <n v="0"/>
    <n v="0"/>
    <n v="0"/>
  </r>
  <r>
    <n v="2022"/>
    <n v="100"/>
    <x v="16"/>
    <s v="DEPARTAMENTO ADMINISTRATIVO DE TRANSITO Y TRANSPORTE"/>
    <s v="12 DEPARTAMENTO ADMINISTRATIVO DE TRANSITO Y TRANSPORTE"/>
    <n v="2021130010248"/>
    <s v="07. PILAR CARTAGENA RESILIENTE"/>
    <s v="7.2 LÍNEA ESTRATÉGICA ESPACIO PÚBLICO, MOVILIDAD Y TRANSPORTE RESILIENTE"/>
    <s v="7.2.7 FORTALECIMIENTO DE LA CAPACIDAD DE RESPUESTA DEL DEPARTAMENTO ADMINISTRATIVO DE TRÁNSITO Y TRANSPORTE"/>
    <s v="2,3,4599,1000,2021130010248"/>
    <s v="846"/>
    <s v="1,3,3,3,03-95-022 R,B, IMPUESTO SOBRE VEHICULOS AUTOMOTORES"/>
    <s v="INV"/>
    <s v="NO"/>
    <s v="IMPLEMENTACION DE REINGENIERIA INSTITUCIONAL Y FORTALECIMIENTO FINANCIERO DEL DEPARTAMENTO ADMINISTRATIVO DE TRANSITO Y TRANSPORTE DE   CARTAGENA DE INDIAS"/>
    <s v="2021130010248 IMPLEMENTACION DE REINGENIERIA INSTITUCIONAL Y FORTALECIMIENTO FINANCIERO DEL DEPARTAMENTO ADMINISTRATIVO DE TRANSITO Y TRANSPORTE DE   CARTAGENA DE INDIAS"/>
    <s v="06"/>
    <s v="00"/>
    <n v="0"/>
    <n v="711060801"/>
    <n v="711060801"/>
    <n v="656341907"/>
    <n v="54718894"/>
    <n v="388007012.47000003"/>
    <n v="54.57"/>
    <n v="243399467"/>
    <n v="34.229999999999997"/>
    <n v="323053788.52999997"/>
    <n v="233962467"/>
  </r>
  <r>
    <n v="2022"/>
    <n v="100"/>
    <x v="16"/>
    <s v="DEPARTAMENTO ADMINISTRATIVO DE TRANSITO Y TRANSPORTE"/>
    <s v="12 DEPARTAMENTO ADMINISTRATIVO DE TRANSITO Y TRANSPORTE"/>
    <n v="2021130010248"/>
    <s v="07. PILAR CARTAGENA RESILIENTE"/>
    <s v="7.2 LÍNEA ESTRATÉGICA ESPACIO PÚBLICO, MOVILIDAD Y TRANSPORTE RESILIENTE"/>
    <s v="7.2.7 FORTALECIMIENTO DE LA CAPACIDAD DE RESPUESTA DEL DEPARTAMENTO ADMINISTRATIVO DE TRÁNSITO Y TRANSPORTE"/>
    <s v="2,3,4599,1000,2021130010248"/>
    <s v="847"/>
    <s v="1,3,3,3,03-95-079 R,B, IMPUESTO SOBRE VEHICULOS AUTOMOTORES RENDIMIENTOS DATT"/>
    <s v="INV"/>
    <s v="NO"/>
    <s v="IMPLEMENTACION DE REINGENIERIA INSTITUCIONAL Y FORTALECIMIENTO FINANCIERO DEL DEPARTAMENTO ADMINISTRATIVO DE TRANSITO Y TRANSPORTE DE   CARTAGENA DE INDIAS"/>
    <s v="2021130010248 IMPLEMENTACION DE REINGENIERIA INSTITUCIONAL Y FORTALECIMIENTO FINANCIERO DEL DEPARTAMENTO ADMINISTRATIVO DE TRANSITO Y TRANSPORTE DE   CARTAGENA DE INDIAS"/>
    <s v="06"/>
    <s v="00"/>
    <n v="0"/>
    <n v="1753062"/>
    <n v="1753062"/>
    <n v="1753062"/>
    <n v="0"/>
    <n v="1753062"/>
    <n v="100"/>
    <n v="0"/>
    <n v="0"/>
    <n v="0"/>
    <n v="0"/>
  </r>
  <r>
    <n v="2022"/>
    <n v="100"/>
    <x v="16"/>
    <s v="DEPARTAMENTO ADMINISTRATIVO DE TRANSITO Y TRANSPORTE"/>
    <s v="12 DEPARTAMENTO ADMINISTRATIVO DE TRANSITO Y TRANSPORTE"/>
    <n v="2021130010248"/>
    <s v="07. PILAR CARTAGENA RESILIENTE"/>
    <s v="7.2 LÍNEA ESTRATÉGICA ESPACIO PÚBLICO, MOVILIDAD Y TRANSPORTE RESILIENTE"/>
    <s v="7.2.7 FORTALECIMIENTO DE LA CAPACIDAD DE RESPUESTA DEL DEPARTAMENTO ADMINISTRATIVO DE TRÁNSITO Y TRANSPORTE"/>
    <s v="2,3,4599,1000,2021130010248"/>
    <s v="862"/>
    <s v="1,3,3,4,15-95-021 R,B, SERVICIOS DE TRANSITO Y TRANSPORTE"/>
    <s v="INV"/>
    <s v="NO"/>
    <s v="IMPLEMENTACION DE REINGENIERIA INSTITUCIONAL Y FORTALECIMIENTO FINANCIERO DEL DEPARTAMENTO ADMINISTRATIVO DE TRANSITO Y TRANSPORTE DE   CARTAGENA DE INDIAS"/>
    <s v="2021130010248 IMPLEMENTACION DE REINGENIERIA INSTITUCIONAL Y FORTALECIMIENTO FINANCIERO DEL DEPARTAMENTO ADMINISTRATIVO DE TRANSITO Y TRANSPORTE DE   CARTAGENA DE INDIAS"/>
    <s v="06"/>
    <s v="00"/>
    <n v="0"/>
    <n v="1155295654.6800001"/>
    <n v="1155295654.6800001"/>
    <n v="1155295654.6800001"/>
    <n v="0"/>
    <n v="765354445.52999997"/>
    <n v="66.25"/>
    <n v="293031268"/>
    <n v="25.36"/>
    <n v="389941209.14999998"/>
    <n v="0"/>
  </r>
  <r>
    <n v="2022"/>
    <n v="100"/>
    <x v="16"/>
    <s v="DEPARTAMENTO ADMINISTRATIVO DE TRANSITO Y TRANSPORTE"/>
    <s v="12 DEPARTAMENTO ADMINISTRATIVO DE TRANSITO Y TRANSPORTE"/>
    <n v="2021130010248"/>
    <s v="07. PILAR CARTAGENA RESILIENTE"/>
    <s v="7.2 LÍNEA ESTRATÉGICA ESPACIO PÚBLICO, MOVILIDAD Y TRANSPORTE RESILIENTE"/>
    <s v="7.2.7 FORTALECIMIENTO DE LA CAPACIDAD DE RESPUESTA DEL DEPARTAMENTO ADMINISTRATIVO DE TRÁNSITO Y TRANSPORTE"/>
    <s v="2,3,4599,1000,2021130010248"/>
    <s v="168"/>
    <s v="1,2,3,2,07-168 - OTRAS MULTAS, SANCIONES E INTERESES DE MORA (MULTAS TRANSITO Y TRANSPORTE)"/>
    <s v="INV"/>
    <s v="NO"/>
    <s v="IMPLEMENTACION DE REINGENIERIA INSTITUCIONAL Y FORTALECIMIENTO FINANCIERO DEL DEPARTAMENTO ADMINISTRATIVO DE TRANSITO Y TRANSPORTE DE   CARTAGENA DE INDIAS"/>
    <s v="2021130010248 IMPLEMENTACION DE REINGENIERIA INSTITUCIONAL Y FORTALECIMIENTO FINANCIERO DEL DEPARTAMENTO ADMINISTRATIVO DE TRANSITO Y TRANSPORTE DE   CARTAGENA DE INDIAS"/>
    <s v="06"/>
    <s v="00"/>
    <n v="901000000"/>
    <n v="224600000"/>
    <n v="1125600000"/>
    <n v="1061025583"/>
    <n v="64574417"/>
    <n v="1061025583"/>
    <n v="94.26"/>
    <n v="438155486"/>
    <n v="38.93"/>
    <n v="64574417"/>
    <n v="419568872"/>
  </r>
  <r>
    <n v="2022"/>
    <n v="100"/>
    <x v="16"/>
    <s v="DEPARTAMENTO ADMINISTRATIVO DE TRANSITO Y TRANSPORTE"/>
    <s v="12 DEPARTAMENTO ADMINISTRATIVO DE TRANSITO Y TRANSPORTE"/>
    <n v="2021130010248"/>
    <s v="07. PILAR CARTAGENA RESILIENTE"/>
    <s v="7.2 LÍNEA ESTRATÉGICA ESPACIO PÚBLICO, MOVILIDAD Y TRANSPORTE RESILIENTE"/>
    <s v="7.2.7 FORTALECIMIENTO DE LA CAPACIDAD DE RESPUESTA DEL DEPARTAMENTO ADMINISTRATIVO DE TRÁNSITO Y TRANSPORTE"/>
    <s v="2,3,4599,1000,2021130010248"/>
    <s v="022"/>
    <s v="1,2,3,3,01-022 - PARTICIPACIONES DISTINTAS DEL SGP (PARTICIPACION IMPUESTO DE VEHICULO AUTOMOTOR)"/>
    <s v="INV"/>
    <s v="NO"/>
    <s v="IMPLEMENTACION DE REINGENIERIA INSTITUCIONAL Y FORTALECIMIENTO FINANCIERO DEL DEPARTAMENTO ADMINISTRATIVO DE TRANSITO Y TRANSPORTE DE   CARTAGENA DE INDIAS"/>
    <s v="2021130010248 IMPLEMENTACION DE REINGENIERIA INSTITUCIONAL Y FORTALECIMIENTO FINANCIERO DEL DEPARTAMENTO ADMINISTRATIVO DE TRANSITO Y TRANSPORTE DE   CARTAGENA DE INDIAS"/>
    <s v="06"/>
    <s v="00"/>
    <n v="1989600000"/>
    <n v="105885889"/>
    <n v="2095485889"/>
    <n v="2090569725"/>
    <n v="4916164"/>
    <n v="1894972298"/>
    <n v="90.43"/>
    <n v="615495700"/>
    <n v="29.37"/>
    <n v="200513591"/>
    <n v="610867000"/>
  </r>
  <r>
    <n v="2022"/>
    <n v="100"/>
    <x v="16"/>
    <s v="DEPARTAMENTO ADMINISTRATIVO DE TRANSITO Y TRANSPORTE"/>
    <s v="12 DEPARTAMENTO ADMINISTRATIVO DE TRANSITO Y TRANSPORTE"/>
    <n v="2021130010249"/>
    <s v="07. PILAR CARTAGENA RESILIENTE"/>
    <s v="7.2 LÍNEA ESTRATÉGICA ESPACIO PÚBLICO, MOVILIDAD Y TRANSPORTE RESILIENTE"/>
    <s v="7.2.8 MOVILIDAD SOSTENIBLE EN EL DISTRITO DE CARTAGENA"/>
    <s v="2,3,2409,0600,2021130010249"/>
    <s v="846"/>
    <s v="1,3,3,3,03-95-022 R,B, IMPUESTO SOBRE VEHICULOS AUTOMOTORES"/>
    <s v="INV"/>
    <s v="NO"/>
    <s v="IMPLEMENTACION SISTEMA DE MOVILIDAD SOSTENIBLE EN EL DISTRITO DE   CARTAGENA DE INDIAS"/>
    <s v="2021130010249 IMPLEMENTACION SISTEMA DE MOVILIDAD SOSTENIBLE EN EL DISTRITO DE   CARTAGENA DE INDIAS"/>
    <s v="06"/>
    <s v="00"/>
    <n v="0"/>
    <n v="722711007"/>
    <n v="722711007"/>
    <n v="703633174"/>
    <n v="19077833"/>
    <n v="533855167"/>
    <n v="73.87"/>
    <n v="33855167"/>
    <n v="4.68"/>
    <n v="188855840"/>
    <n v="33855167"/>
  </r>
  <r>
    <n v="2022"/>
    <n v="100"/>
    <x v="16"/>
    <s v="DEPARTAMENTO ADMINISTRATIVO DE TRANSITO Y TRANSPORTE"/>
    <s v="12 DEPARTAMENTO ADMINISTRATIVO DE TRANSITO Y TRANSPORTE"/>
    <n v="2021130010249"/>
    <s v="07. PILAR CARTAGENA RESILIENTE"/>
    <s v="7.2 LÍNEA ESTRATÉGICA ESPACIO PÚBLICO, MOVILIDAD Y TRANSPORTE RESILIENTE"/>
    <s v="7.2.8 MOVILIDAD SOSTENIBLE EN EL DISTRITO DE CARTAGENA"/>
    <s v="2,3,2409,0600,2021130010249"/>
    <s v="168"/>
    <s v="1,2,3,2,07-168 - OTRAS MULTAS, SANCIONES E INTERESES DE MORA (MULTAS TRANSITO Y TRANSPORTE)"/>
    <s v="INV"/>
    <s v="NO"/>
    <s v="IMPLEMENTACION SISTEMA DE MOVILIDAD SOSTENIBLE EN EL DISTRITO DE   CARTAGENA DE INDIAS"/>
    <s v="2021130010249 IMPLEMENTACION SISTEMA DE MOVILIDAD SOSTENIBLE EN EL DISTRITO DE   CARTAGENA DE INDIAS"/>
    <s v="06"/>
    <s v="00"/>
    <n v="380477076.93000001"/>
    <n v="-162498076.93000001"/>
    <n v="217979000"/>
    <n v="204973200"/>
    <n v="13005800"/>
    <n v="204973200"/>
    <n v="94.03"/>
    <n v="204973200"/>
    <n v="94.03"/>
    <n v="13005800"/>
    <n v="204973200"/>
  </r>
  <r>
    <n v="2022"/>
    <n v="100"/>
    <x v="16"/>
    <s v="DEPARTAMENTO ADMINISTRATIVO DE TRANSITO Y TRANSPORTE"/>
    <s v="12 DEPARTAMENTO ADMINISTRATIVO DE TRANSITO Y TRANSPORTE"/>
    <n v="2021130010249"/>
    <s v="07. PILAR CARTAGENA RESILIENTE"/>
    <s v="7.2 LÍNEA ESTRATÉGICA ESPACIO PÚBLICO, MOVILIDAD Y TRANSPORTE RESILIENTE"/>
    <s v="7.2.8 MOVILIDAD SOSTENIBLE EN EL DISTRITO DE CARTAGENA"/>
    <s v="2,3,2409,0600,2021130010249"/>
    <s v="022"/>
    <s v="1,2,3,3,01-022 - PARTICIPACIONES DISTINTAS DEL SGP (PARTICIPACION IMPUESTO DE VEHICULO AUTOMOTOR)"/>
    <s v="INV"/>
    <s v="NO"/>
    <s v="IMPLEMENTACION SISTEMA DE MOVILIDAD SOSTENIBLE EN EL DISTRITO DE   CARTAGENA DE INDIAS"/>
    <s v="2021130010249 IMPLEMENTACION SISTEMA DE MOVILIDAD SOSTENIBLE EN EL DISTRITO DE   CARTAGENA DE INDIAS"/>
    <s v="06"/>
    <s v="00"/>
    <n v="0"/>
    <n v="408000000"/>
    <n v="408000000"/>
    <n v="408000000"/>
    <n v="0"/>
    <n v="385790860"/>
    <n v="94.56"/>
    <n v="135026801"/>
    <n v="33.090000000000003"/>
    <n v="22209140"/>
    <n v="0"/>
  </r>
  <r>
    <n v="2022"/>
    <n v="100"/>
    <x v="16"/>
    <s v="DEPARTAMENTO ADMINISTRATIVO DE TRANSITO Y TRANSPORTE"/>
    <s v="12 DEPARTAMENTO ADMINISTRATIVO DE TRANSITO Y TRANSPORTE"/>
    <n v="2021130010250"/>
    <s v="07. PILAR CARTAGENA RESILIENTE"/>
    <s v="7.2 LÍNEA ESTRATÉGICA ESPACIO PÚBLICO, MOVILIDAD Y TRANSPORTE RESILIENTE"/>
    <s v="7.2.8 MOVILIDAD SOSTENIBLE EN EL DISTRITO DE CARTAGENA"/>
    <s v="2,3,2409,0600,2021130010250"/>
    <s v="846"/>
    <s v="1,3,3,3,03-95-022 R,B, IMPUESTO SOBRE VEHICULOS AUTOMOTORES"/>
    <s v="INV"/>
    <s v="NO"/>
    <s v="APOYO PARA LA GESTION DEL TRANSPORTE PUBLICO MASIVO COLECTIVO E INDIVIDUAL EN EL DISTRITO DE   CARTAGENA DE INDIAS"/>
    <s v="2021130010250 APOYO PARA LA GESTION DEL TRANSPORTE PUBLICO MASIVO COLECTIVO E INDIVIDUAL EN EL DISTRITO DE   CARTAGENA DE INDIAS"/>
    <s v="06"/>
    <s v="00"/>
    <n v="0"/>
    <n v="15860000"/>
    <n v="15860000"/>
    <n v="0"/>
    <n v="15860000"/>
    <n v="0"/>
    <n v="0"/>
    <n v="0"/>
    <n v="0"/>
    <n v="15860000"/>
    <n v="0"/>
  </r>
  <r>
    <n v="2022"/>
    <n v="100"/>
    <x v="16"/>
    <s v="DEPARTAMENTO ADMINISTRATIVO DE TRANSITO Y TRANSPORTE"/>
    <s v="12 DEPARTAMENTO ADMINISTRATIVO DE TRANSITO Y TRANSPORTE"/>
    <n v="2021130010250"/>
    <s v="07. PILAR CARTAGENA RESILIENTE"/>
    <s v="7.2 LÍNEA ESTRATÉGICA ESPACIO PÚBLICO, MOVILIDAD Y TRANSPORTE RESILIENTE"/>
    <s v="7.2.8 MOVILIDAD SOSTENIBLE EN EL DISTRITO DE CARTAGENA"/>
    <s v="2,3,2409,0600,2021130010250"/>
    <s v="862"/>
    <s v="1,3,3,4,15-95-021 R,B, SERVICIOS DE TRANSITO Y TRANSPORTE"/>
    <s v="INV"/>
    <s v="NO"/>
    <s v="APOYO PARA LA GESTION DEL TRANSPORTE PUBLICO MASIVO COLECTIVO E INDIVIDUAL EN EL DISTRITO DE   CARTAGENA DE INDIAS"/>
    <s v="2021130010250 APOYO PARA LA GESTION DEL TRANSPORTE PUBLICO MASIVO COLECTIVO E INDIVIDUAL EN EL DISTRITO DE   CARTAGENA DE INDIAS"/>
    <s v="06"/>
    <s v="00"/>
    <n v="0"/>
    <n v="450000000"/>
    <n v="450000000"/>
    <n v="213365333"/>
    <n v="236634667"/>
    <n v="213365333"/>
    <n v="47.41"/>
    <n v="36631075.030000001"/>
    <n v="8.14"/>
    <n v="236634667"/>
    <n v="36631075.030000001"/>
  </r>
  <r>
    <n v="2022"/>
    <n v="100"/>
    <x v="16"/>
    <s v="DEPARTAMENTO ADMINISTRATIVO DE TRANSITO Y TRANSPORTE"/>
    <s v="12 DEPARTAMENTO ADMINISTRATIVO DE TRANSITO Y TRANSPORTE"/>
    <n v="2021130010250"/>
    <s v="07. PILAR CARTAGENA RESILIENTE"/>
    <s v="7.2 LÍNEA ESTRATÉGICA ESPACIO PÚBLICO, MOVILIDAD Y TRANSPORTE RESILIENTE"/>
    <s v="7.2.8 MOVILIDAD SOSTENIBLE EN EL DISTRITO DE CARTAGENA"/>
    <s v="2,3,2409,0600,2021130010250"/>
    <s v="168"/>
    <s v="1,2,3,2,07-168 - OTRAS MULTAS, SANCIONES E INTERESES DE MORA (MULTAS TRANSITO Y TRANSPORTE)"/>
    <s v="INV"/>
    <s v="NO"/>
    <s v="APOYO PARA LA GESTION DEL TRANSPORTE PUBLICO MASIVO COLECTIVO E INDIVIDUAL EN EL DISTRITO DE   CARTAGENA DE INDIAS"/>
    <s v="2021130010250 APOYO PARA LA GESTION DEL TRANSPORTE PUBLICO MASIVO COLECTIVO E INDIVIDUAL EN EL DISTRITO DE   CARTAGENA DE INDIAS"/>
    <s v="06"/>
    <s v="00"/>
    <n v="482511000"/>
    <n v="0"/>
    <n v="482511000"/>
    <n v="388035064"/>
    <n v="94475936"/>
    <n v="368358797"/>
    <n v="76.34"/>
    <n v="295138993.07999998"/>
    <n v="61.17"/>
    <n v="114152203"/>
    <n v="293119993.07999998"/>
  </r>
  <r>
    <n v="2022"/>
    <n v="100"/>
    <x v="16"/>
    <s v="DEPARTAMENTO ADMINISTRATIVO DE TRANSITO Y TRANSPORTE"/>
    <s v="12 DEPARTAMENTO ADMINISTRATIVO DE TRANSITO Y TRANSPORTE"/>
    <n v="2021130010250"/>
    <s v="07. PILAR CARTAGENA RESILIENTE"/>
    <s v="7.2 LÍNEA ESTRATÉGICA ESPACIO PÚBLICO, MOVILIDAD Y TRANSPORTE RESILIENTE"/>
    <s v="7.2.8 MOVILIDAD SOSTENIBLE EN EL DISTRITO DE CARTAGENA"/>
    <s v="2,3,2409,0600,2021130010250"/>
    <s v="022"/>
    <s v="1,2,3,3,01-022 - PARTICIPACIONES DISTINTAS DEL SGP (PARTICIPACION IMPUESTO DE VEHICULO AUTOMOTOR)"/>
    <s v="INV"/>
    <s v="NO"/>
    <s v="APOYO PARA LA GESTION DEL TRANSPORTE PUBLICO MASIVO COLECTIVO E INDIVIDUAL EN EL DISTRITO DE   CARTAGENA DE INDIAS"/>
    <s v="2021130010250 APOYO PARA LA GESTION DEL TRANSPORTE PUBLICO MASIVO COLECTIVO E INDIVIDUAL EN EL DISTRITO DE   CARTAGENA DE INDIAS"/>
    <s v="06"/>
    <s v="00"/>
    <n v="1300000000"/>
    <n v="-250000000"/>
    <n v="1050000000"/>
    <n v="924600000"/>
    <n v="125400000"/>
    <n v="924600000"/>
    <n v="88.06"/>
    <n v="924600000"/>
    <n v="88.06"/>
    <n v="125400000"/>
    <n v="924600000"/>
  </r>
  <r>
    <n v="2022"/>
    <n v="100"/>
    <x v="16"/>
    <s v="DEPARTAMENTO ADMINISTRATIVO DE TRANSITO Y TRANSPORTE"/>
    <s v="12 DEPARTAMENTO ADMINISTRATIVO DE TRANSITO Y TRANSPORTE"/>
    <n v="2021130010251"/>
    <s v="07. PILAR CARTAGENA RESILIENTE"/>
    <s v="7.2 LÍNEA ESTRATÉGICA ESPACIO PÚBLICO, MOVILIDAD Y TRANSPORTE RESILIENTE"/>
    <s v="7.2.6 REDUCCIÓN DE LA SINIESTRALIDAD VIAL"/>
    <s v="2,3,2409,0600,2021130010251"/>
    <s v="846"/>
    <s v="1,3,3,3,03-95-022 R,B, IMPUESTO SOBRE VEHICULOS AUTOMOTORES"/>
    <s v="INV"/>
    <s v="NO"/>
    <s v="FORMULACION Y ADOPCION DEL PLAN LOCAL DE SEGURIDAD VIAL EN EL DISTRITO DE  CARTAGENA DE INDIAS"/>
    <s v="2021130010251 FORMULACION Y ADOPCION DEL PLAN LOCAL DE SEGURIDAD VIAL EN EL DISTRITO DE  CARTAGENA DE INDIAS"/>
    <s v="06"/>
    <s v="00"/>
    <n v="0"/>
    <n v="58008333"/>
    <n v="58008333"/>
    <n v="58008333"/>
    <n v="0"/>
    <n v="2000000"/>
    <n v="3.45"/>
    <n v="2000000"/>
    <n v="3.45"/>
    <n v="56008333"/>
    <n v="0"/>
  </r>
  <r>
    <n v="2022"/>
    <n v="100"/>
    <x v="16"/>
    <s v="DEPARTAMENTO ADMINISTRATIVO DE TRANSITO Y TRANSPORTE"/>
    <s v="12 DEPARTAMENTO ADMINISTRATIVO DE TRANSITO Y TRANSPORTE"/>
    <n v="2021130010251"/>
    <s v="07. PILAR CARTAGENA RESILIENTE"/>
    <s v="7.2 LÍNEA ESTRATÉGICA ESPACIO PÚBLICO, MOVILIDAD Y TRANSPORTE RESILIENTE"/>
    <s v="7.2.6 REDUCCIÓN DE LA SINIESTRALIDAD VIAL"/>
    <s v="2,3,2409,0600,2021130010251"/>
    <s v="168"/>
    <s v="1,2,3,2,07-168 - OTRAS MULTAS, SANCIONES E INTERESES DE MORA (MULTAS TRANSITO Y TRANSPORTE)"/>
    <s v="INV"/>
    <s v="NO"/>
    <s v="FORMULACION Y ADOPCION DEL PLAN LOCAL DE SEGURIDAD VIAL EN EL DISTRITO DE  CARTAGENA DE INDIAS"/>
    <s v="2021130010251 FORMULACION Y ADOPCION DEL PLAN LOCAL DE SEGURIDAD VIAL EN EL DISTRITO DE  CARTAGENA DE INDIAS"/>
    <s v="06"/>
    <s v="00"/>
    <n v="95000000"/>
    <n v="0"/>
    <n v="95000000"/>
    <n v="95000000"/>
    <n v="0"/>
    <n v="88835200"/>
    <n v="93.51"/>
    <n v="88835200"/>
    <n v="93.51"/>
    <n v="6164800"/>
    <n v="88835200"/>
  </r>
  <r>
    <n v="2022"/>
    <n v="100"/>
    <x v="16"/>
    <s v="DEPARTAMENTO ADMINISTRATIVO DE TRANSITO Y TRANSPORTE"/>
    <s v="12 DEPARTAMENTO ADMINISTRATIVO DE TRANSITO Y TRANSPORTE"/>
    <n v="2021130010252"/>
    <s v="07. PILAR CARTAGENA RESILIENTE"/>
    <s v="7.2 LÍNEA ESTRATÉGICA ESPACIO PÚBLICO, MOVILIDAD Y TRANSPORTE RESILIENTE"/>
    <s v="7.2.7 FORTALECIMIENTO DE LA CAPACIDAD DE RESPUESTA DEL DEPARTAMENTO ADMINISTRATIVO DE TRÁNSITO Y TRANSPORTE"/>
    <s v="2,3,4599,1000,2021130010252"/>
    <s v="022"/>
    <s v="1,2,3,3,01-022 - PARTICIPACIONES DISTINTAS DEL SGP (PARTICIPACION IMPUESTO DE VEHICULO AUTOMOTOR)"/>
    <s v="INV"/>
    <s v="NO"/>
    <s v="DISE?O E IMPLEMENTACION DE UNA PLATAFORMA TECNOLOGICA  VIRTUAL PARA LA INFORMACION Y LA GESTION DE TRAMITES EN EL DEPARTAMENTO ADMINISTRATIVO DE TRANSITO Y TRANSPORTE EN EL DISTRITO DE   CARTAGENA DE INDIAS"/>
    <s v="2021130010252 DISE?O E IMPLEMENTACION DE UNA PLATAFORMA TECNOLOGICA  VIRTUAL PARA LA INFORMACION Y LA GESTION DE TRAMITES EN EL DEPARTAMENTO ADMINISTRATIVO DE TRANSITO Y TRANSPORTE EN EL DISTRITO DE   CARTAGENA DE INDIAS"/>
    <s v="06"/>
    <s v="00"/>
    <n v="84000000"/>
    <n v="-80000000"/>
    <n v="4000000"/>
    <n v="4000000"/>
    <n v="0"/>
    <n v="0"/>
    <n v="0"/>
    <n v="0"/>
    <n v="0"/>
    <n v="4000000"/>
    <n v="0"/>
  </r>
  <r>
    <n v="2022"/>
    <n v="100"/>
    <x v="16"/>
    <s v="DEPARTAMENTO ADMINISTRATIVO DE TRANSITO Y TRANSPORTE"/>
    <s v="12 DEPARTAMENTO ADMINISTRATIVO DE TRANSITO Y TRANSPORTE"/>
    <n v="2021130010252"/>
    <s v="07. PILAR CARTAGENA RESILIENTE"/>
    <s v="7.2 LÍNEA ESTRATÉGICA ESPACIO PÚBLICO, MOVILIDAD Y TRANSPORTE RESILIENTE"/>
    <s v="7.2.7 FORTALECIMIENTO DE LA CAPACIDAD DE RESPUESTA DEL DEPARTAMENTO ADMINISTRATIVO DE TRÁNSITO Y TRANSPORTE"/>
    <s v="2,3,4599,1000,2021130010252"/>
    <s v="846"/>
    <s v="1,3,3,3,03-95-022 R,B, IMPUESTO SOBRE VEHICULOS AUTOMOTORES"/>
    <s v="INV"/>
    <s v="NO"/>
    <s v="DISE?O E IMPLEMENTACION DE UNA PLATAFORMA TECNOLOGICA  VIRTUAL PARA LA INFORMACION Y LA GESTION DE TRAMITES EN EL DEPARTAMENTO ADMINISTRATIVO DE TRANSITO Y TRANSPORTE EN EL DISTRITO DE   CARTAGENA DE INDIAS"/>
    <s v="2021130010252 DISE?O E IMPLEMENTACION DE UNA PLATAFORMA TECNOLOGICA  VIRTUAL PARA LA INFORMACION Y LA GESTION DE TRAMITES EN EL DEPARTAMENTO ADMINISTRATIVO DE TRANSITO Y TRANSPORTE EN EL DISTRITO DE   CARTAGENA DE INDIAS"/>
    <s v="06"/>
    <s v="00"/>
    <n v="0"/>
    <n v="84000297"/>
    <n v="84000297"/>
    <n v="84000297"/>
    <n v="0"/>
    <n v="0"/>
    <n v="0"/>
    <n v="0"/>
    <n v="0"/>
    <n v="84000297"/>
    <n v="0"/>
  </r>
  <r>
    <n v="2022"/>
    <n v="100"/>
    <x v="16"/>
    <s v="DEPARTAMENTO ADMINISTRATIVO DE TRANSITO Y TRANSPORTE"/>
    <s v="12 DEPARTAMENTO ADMINISTRATIVO DE TRANSITO Y TRANSPORTE"/>
    <n v="2021130010253"/>
    <s v="07. PILAR CARTAGENA RESILIENTE"/>
    <s v="7.2 LÍNEA ESTRATÉGICA ESPACIO PÚBLICO, MOVILIDAD Y TRANSPORTE RESILIENTE"/>
    <s v="7.2.7 FORTALECIMIENTO DE LA CAPACIDAD DE RESPUESTA DEL DEPARTAMENTO ADMINISTRATIVO DE TRÁNSITO Y TRANSPORTE"/>
    <s v="2,3,2409,0600,2021130010253"/>
    <s v="846"/>
    <s v="1,3,3,3,03-95-022 R,B, IMPUESTO SOBRE VEHICULOS AUTOMOTORES"/>
    <s v="INV"/>
    <s v="NO"/>
    <s v="ESTUDIOS PARA IMPLEMENTAR EL SISTEMA DE FISCALIZACION ELECTRONICA PARA LA REGULACION Y EL CONTROL DEL TRANSITO EN EL DISTRITO DE   CARTAGENA DE INDIAS"/>
    <s v="2021130010253 ESTUDIOS PARA IMPLEMENTAR EL SISTEMA DE FISCALIZACION ELECTRONICA PARA LA REGULACION Y EL CONTROL DEL TRANSITO EN EL DISTRITO DE   CARTAGENA DE INDIAS"/>
    <s v="06"/>
    <s v="00"/>
    <n v="0"/>
    <n v="84000297"/>
    <n v="84000297"/>
    <n v="84000297"/>
    <n v="0"/>
    <n v="0"/>
    <n v="0"/>
    <n v="0"/>
    <n v="0"/>
    <n v="84000297"/>
    <n v="0"/>
  </r>
  <r>
    <n v="2022"/>
    <n v="100"/>
    <x v="16"/>
    <s v="DEPARTAMENTO ADMINISTRATIVO DE TRANSITO Y TRANSPORTE"/>
    <s v="12 DEPARTAMENTO ADMINISTRATIVO DE TRANSITO Y TRANSPORTE"/>
    <n v="2021130010253"/>
    <s v="07. PILAR CARTAGENA RESILIENTE"/>
    <s v="7.2 LÍNEA ESTRATÉGICA ESPACIO PÚBLICO, MOVILIDAD Y TRANSPORTE RESILIENTE"/>
    <s v="7.2.7 FORTALECIMIENTO DE LA CAPACIDAD DE RESPUESTA DEL DEPARTAMENTO ADMINISTRATIVO DE TRÁNSITO Y TRANSPORTE"/>
    <s v="2,3,2409,0600,2021130010253"/>
    <s v="022"/>
    <s v="1,2,3,3,01-022 - PARTICIPACIONES DISTINTAS DEL SGP (PARTICIPACION IMPUESTO DE VEHICULO AUTOMOTOR)"/>
    <s v="INV"/>
    <s v="NO"/>
    <s v="ESTUDIOS PARA IMPLEMENTAR EL SISTEMA DE FISCALIZACION ELECTRONICA PARA LA REGULACION Y EL CONTROL DEL TRANSITO EN EL DISTRITO DE   CARTAGENA DE INDIAS"/>
    <s v="2021130010253 ESTUDIOS PARA IMPLEMENTAR EL SISTEMA DE FISCALIZACION ELECTRONICA PARA LA REGULACION Y EL CONTROL DEL TRANSITO EN EL DISTRITO DE   CARTAGENA DE INDIAS"/>
    <s v="06"/>
    <s v="00"/>
    <n v="84000000"/>
    <n v="-80000000"/>
    <n v="4000000"/>
    <n v="4000000"/>
    <n v="0"/>
    <n v="0"/>
    <n v="0"/>
    <n v="0"/>
    <n v="0"/>
    <n v="4000000"/>
    <n v="0"/>
  </r>
  <r>
    <n v="2022"/>
    <n v="100"/>
    <x v="6"/>
    <s v="INSTITUTO DE PATRIMONIO Y CULTURA DE CARTAGENA DE INDIAS"/>
    <s v="17 INSTITUTO DE PATRIMONIO Y CULTURA DE CARTAGENA DE INDIAS"/>
    <n v="2021130010255"/>
    <s v="08. PILAR CARTAGENA INCLUYENTE"/>
    <s v="8.5 LÍNEA ESTRATÉGICA ARTES, CULTURA Y PATRIMONIO PARA UNA CARTAGENA INCLUYENTE"/>
    <s v="8.5.3 PROGRAMA: PATRIMONIO INMATERIAL: PRACTICAS SIGNIFICATIVAS PARA LA MEMORIA"/>
    <s v="2,3,3302,1603,2021130010255"/>
    <s v="001"/>
    <s v="1,2,1,0,00-001 - ICLD"/>
    <s v="INV"/>
    <s v="NO"/>
    <s v="FORTALECIMIENTO Y SALVAGUARDIA DE LAS PRACTICAS SIGNIFICATIVAS DEL PATRIMONIO INMATERIAL EN EL DISTRITO DE CARTAGENA DE INDIAS"/>
    <s v="2021130010255 FORTALECIMIENTO Y SALVAGUARDIA DE LAS PRACTICAS SIGNIFICATIVAS DEL PATRIMONIO INMATERIAL EN EL DISTRITO DE CARTAGENA DE INDIAS"/>
    <s v="06"/>
    <s v="00"/>
    <n v="450000000"/>
    <n v="0"/>
    <n v="450000000"/>
    <n v="450000000"/>
    <n v="0"/>
    <n v="450000000"/>
    <n v="100"/>
    <n v="450000000"/>
    <n v="100"/>
    <n v="0"/>
    <n v="450000000"/>
  </r>
  <r>
    <n v="2022"/>
    <n v="100"/>
    <x v="6"/>
    <s v="INSTITUTO DE PATRIMONIO Y CULTURA DE CARTAGENA DE INDIAS"/>
    <s v="17 INSTITUTO DE PATRIMONIO Y CULTURA DE CARTAGENA DE INDIAS"/>
    <n v="2021130010255"/>
    <s v="08. PILAR CARTAGENA INCLUYENTE"/>
    <s v="8.5 LÍNEA ESTRATÉGICA ARTES, CULTURA Y PATRIMONIO PARA UNA CARTAGENA INCLUYENTE"/>
    <s v="8.5.3 PROGRAMA: PATRIMONIO INMATERIAL: PRACTICAS SIGNIFICATIVAS PARA LA MEMORIA"/>
    <s v="2,3,3302,1603,2021130010255"/>
    <s v="057"/>
    <s v="1,2,4,3,02-057 - SGP CULTURA"/>
    <s v="INV"/>
    <s v="NO"/>
    <s v="FORTALECIMIENTO Y SALVAGUARDIA DE LAS PRACTICAS SIGNIFICATIVAS DEL PATRIMONIO INMATERIAL EN EL DISTRITO DE CARTAGENA DE INDIAS"/>
    <s v="2021130010255 FORTALECIMIENTO Y SALVAGUARDIA DE LAS PRACTICAS SIGNIFICATIVAS DEL PATRIMONIO INMATERIAL EN EL DISTRITO DE CARTAGENA DE INDIAS"/>
    <s v="06"/>
    <s v="00"/>
    <n v="395984604"/>
    <n v="0"/>
    <n v="395984604"/>
    <n v="394994604"/>
    <n v="990000"/>
    <n v="394994604"/>
    <n v="99.75"/>
    <n v="394994604"/>
    <n v="99.75"/>
    <n v="990000"/>
    <n v="362985887"/>
  </r>
  <r>
    <n v="2022"/>
    <n v="100"/>
    <x v="6"/>
    <s v="INSTITUTO DE PATRIMONIO Y CULTURA DE CARTAGENA DE INDIAS"/>
    <s v="17 INSTITUTO DE PATRIMONIO Y CULTURA DE CARTAGENA DE INDIAS"/>
    <n v="2021130010255"/>
    <s v="08. PILAR CARTAGENA INCLUYENTE"/>
    <s v="8.5 LÍNEA ESTRATÉGICA ARTES, CULTURA Y PATRIMONIO PARA UNA CARTAGENA INCLUYENTE"/>
    <s v="8.5.3 PROGRAMA: PATRIMONIO INMATERIAL: PRACTICAS SIGNIFICATIVAS PARA LA MEMORIA"/>
    <s v="2,3,3302,1603,2021130010255"/>
    <s v="073"/>
    <s v="1,3,2,3,05-073 - OTROS RENDIMIENTOS FINANCIEROS IPCC"/>
    <s v="INV"/>
    <s v="NO"/>
    <s v="FORTALECIMIENTO Y SALVAGUARDIA DE LAS PRACTICAS SIGNIFICATIVAS DEL PATRIMONIO INMATERIAL EN EL DISTRITO DE CARTAGENA DE INDIAS"/>
    <s v="2021130010255 FORTALECIMIENTO Y SALVAGUARDIA DE LAS PRACTICAS SIGNIFICATIVAS DEL PATRIMONIO INMATERIAL EN EL DISTRITO DE CARTAGENA DE INDIAS"/>
    <s v="06"/>
    <s v="00"/>
    <n v="104679750"/>
    <n v="0"/>
    <n v="104679750"/>
    <n v="0"/>
    <n v="104679750"/>
    <n v="0"/>
    <n v="0"/>
    <n v="0"/>
    <n v="0"/>
    <n v="104679750"/>
    <n v="0"/>
  </r>
  <r>
    <n v="2022"/>
    <n v="100"/>
    <x v="6"/>
    <s v="INSTITUTO DE PATRIMONIO Y CULTURA DE CARTAGENA DE INDIAS"/>
    <s v="17 INSTITUTO DE PATRIMONIO Y CULTURA DE CARTAGENA DE INDIAS"/>
    <n v="2021130010255"/>
    <s v="08. PILAR CARTAGENA INCLUYENTE"/>
    <s v="8.5 LÍNEA ESTRATÉGICA ARTES, CULTURA Y PATRIMONIO PARA UNA CARTAGENA INCLUYENTE"/>
    <s v="8.5.3 PROGRAMA: PATRIMONIO INMATERIAL: PRACTICAS SIGNIFICATIVAS PARA LA MEMORIA"/>
    <s v="2,3,3302,1603,2021130010255"/>
    <s v="082"/>
    <s v="1,2,3,1,19-082 - ESTAMPILLAS PROCULTURA"/>
    <s v="INV"/>
    <s v="NO"/>
    <s v="FORTALECIMIENTO Y SALVAGUARDIA DE LAS PRACTICAS SIGNIFICATIVAS DEL PATRIMONIO INMATERIAL EN EL DISTRITO DE CARTAGENA DE INDIAS"/>
    <s v="2021130010255 FORTALECIMIENTO Y SALVAGUARDIA DE LAS PRACTICAS SIGNIFICATIVAS DEL PATRIMONIO INMATERIAL EN EL DISTRITO DE CARTAGENA DE INDIAS"/>
    <s v="06"/>
    <s v="00"/>
    <n v="244800000"/>
    <n v="0"/>
    <n v="244800000"/>
    <n v="0"/>
    <n v="244800000"/>
    <n v="0"/>
    <n v="0"/>
    <n v="0"/>
    <n v="0"/>
    <n v="244800000"/>
    <n v="0"/>
  </r>
  <r>
    <n v="2022"/>
    <n v="100"/>
    <x v="6"/>
    <s v="INSTITUTO DE PATRIMONIO Y CULTURA DE CARTAGENA DE INDIAS"/>
    <s v="17 INSTITUTO DE PATRIMONIO Y CULTURA DE CARTAGENA DE INDIAS"/>
    <n v="2021130010255"/>
    <s v="08. PILAR CARTAGENA INCLUYENTE"/>
    <s v="8.5 LÍNEA ESTRATÉGICA ARTES, CULTURA Y PATRIMONIO PARA UNA CARTAGENA INCLUYENTE"/>
    <s v="8.5.3 PROGRAMA: PATRIMONIO INMATERIAL: PRACTICAS SIGNIFICATIVAS PARA LA MEMORIA"/>
    <s v="2,3,3302,1603,2021130010255"/>
    <s v="166"/>
    <s v="1,2,3,2,07-166 - OTRAS MULTAS, SANCIONES E INTERESES DE MORA (SANCION IPCC)"/>
    <s v="INV"/>
    <s v="NO"/>
    <s v="FORTALECIMIENTO Y SALVAGUARDIA DE LAS PRACTICAS SIGNIFICATIVAS DEL PATRIMONIO INMATERIAL EN EL DISTRITO DE CARTAGENA DE INDIAS"/>
    <s v="2021130010255 FORTALECIMIENTO Y SALVAGUARDIA DE LAS PRACTICAS SIGNIFICATIVAS DEL PATRIMONIO INMATERIAL EN EL DISTRITO DE CARTAGENA DE INDIAS"/>
    <s v="06"/>
    <s v="00"/>
    <n v="53985000"/>
    <n v="0"/>
    <n v="53985000"/>
    <n v="0"/>
    <n v="53985000"/>
    <n v="0"/>
    <n v="0"/>
    <n v="0"/>
    <n v="0"/>
    <n v="53985000"/>
    <n v="0"/>
  </r>
  <r>
    <n v="2022"/>
    <n v="100"/>
    <x v="6"/>
    <s v="INSTITUTO DE PATRIMONIO Y CULTURA DE CARTAGENA DE INDIAS"/>
    <s v="17 INSTITUTO DE PATRIMONIO Y CULTURA DE CARTAGENA DE INDIAS"/>
    <n v="2021130010255"/>
    <s v="08. PILAR CARTAGENA INCLUYENTE"/>
    <s v="8.5 LÍNEA ESTRATÉGICA ARTES, CULTURA Y PATRIMONIO PARA UNA CARTAGENA INCLUYENTE"/>
    <s v="8.5.3 PROGRAMA: PATRIMONIO INMATERIAL: PRACTICAS SIGNIFICATIVAS PARA LA MEMORIA"/>
    <s v="2,3,3302,1603,2021130010255"/>
    <s v="012"/>
    <s v="1,2,3,2,09-012 - VENTA DE BIENES Y SERVICIOS IPCC"/>
    <s v="INV"/>
    <s v="NO"/>
    <s v="FORTALECIMIENTO Y SALVAGUARDIA DE LAS PRACTICAS SIGNIFICATIVAS DEL PATRIMONIO INMATERIAL EN EL DISTRITO DE CARTAGENA DE INDIAS"/>
    <s v="2021130010255 FORTALECIMIENTO Y SALVAGUARDIA DE LAS PRACTICAS SIGNIFICATIVAS DEL PATRIMONIO INMATERIAL EN EL DISTRITO DE CARTAGENA DE INDIAS"/>
    <s v="06"/>
    <s v="00"/>
    <n v="265613000"/>
    <n v="0"/>
    <n v="265613000"/>
    <n v="0"/>
    <n v="265613000"/>
    <n v="0"/>
    <n v="0"/>
    <n v="0"/>
    <n v="0"/>
    <n v="265613000"/>
    <n v="0"/>
  </r>
  <r>
    <n v="2022"/>
    <n v="100"/>
    <x v="15"/>
    <s v="SECRETARIA DE PLANEACION"/>
    <s v="09 SECRETARIA DE PLANEACION"/>
    <n v="2021130010256"/>
    <s v="08. PILAR CARTAGENA INCLUYENTE"/>
    <s v="8.6 LÍNEA ESTRATÉGICA PLANEACIÓN SOCIAL DEL TERRITORIO"/>
    <s v="8.6.1 PROGRAMA: INSTRUMENTOS DE PLANIFICACIÓN SOCIAL DEL TERRITORIO"/>
    <s v="2,3,4599,1000,2021130010256"/>
    <s v="921"/>
    <s v="1,3,3,8,03-93-075 R,B, SGP-PROPOSITO GENERAL-PROPOSITO GENERAL LIBRE INVERSION"/>
    <s v="INV"/>
    <s v="NO"/>
    <s v="IMPLEMENTACION DE LA METODOLOGIA IV DEL SISBEN EN   CARTAGENA DE INDIAS"/>
    <s v="2021130010256 IMPLEMENTACION DE LA METODOLOGIA IV DEL SISBEN EN   CARTAGENA DE INDIAS"/>
    <s v="06"/>
    <s v="00"/>
    <n v="0"/>
    <n v="44436082"/>
    <n v="44436082"/>
    <n v="38013333"/>
    <n v="6422749"/>
    <n v="38013333"/>
    <n v="85.55"/>
    <n v="38013333"/>
    <n v="85.55"/>
    <n v="6422749"/>
    <n v="38013333"/>
  </r>
  <r>
    <n v="2022"/>
    <n v="100"/>
    <x v="15"/>
    <s v="SECRETARIA DE PLANEACION"/>
    <s v="09 SECRETARIA DE PLANEACION"/>
    <n v="2021130010256"/>
    <s v="08. PILAR CARTAGENA INCLUYENTE"/>
    <s v="8.6 LÍNEA ESTRATÉGICA PLANEACIÓN SOCIAL DEL TERRITORIO"/>
    <s v="8.6.1 PROGRAMA: INSTRUMENTOS DE PLANIFICACIÓN SOCIAL DEL TERRITORIO"/>
    <s v="2,3,4599,1000,2021130010256"/>
    <s v="922"/>
    <s v="1,3,3,8,03-95-070 R,B, SGP-PROPOSITO GENERAL-PROPOSITO GENERAL LIBRE INVERSION"/>
    <s v="INV"/>
    <s v="NO"/>
    <s v="IMPLEMENTACION DE LA METODOLOGIA IV DEL SISBEN EN   CARTAGENA DE INDIAS"/>
    <s v="2021130010256 IMPLEMENTACION DE LA METODOLOGIA IV DEL SISBEN EN   CARTAGENA DE INDIAS"/>
    <s v="06"/>
    <s v="00"/>
    <n v="0"/>
    <n v="42266667"/>
    <n v="42266667"/>
    <n v="35966666"/>
    <n v="6300001"/>
    <n v="35966666"/>
    <n v="85.09"/>
    <n v="35966666"/>
    <n v="85.09"/>
    <n v="6300001"/>
    <n v="32166666"/>
  </r>
  <r>
    <n v="2022"/>
    <n v="100"/>
    <x v="15"/>
    <s v="SECRETARIA DE PLANEACION"/>
    <s v="09 SECRETARIA DE PLANEACION"/>
    <n v="2021130010256"/>
    <s v="08. PILAR CARTAGENA INCLUYENTE"/>
    <s v="8.6 LÍNEA ESTRATÉGICA PLANEACIÓN SOCIAL DEL TERRITORIO"/>
    <s v="8.6.1 PROGRAMA: INSTRUMENTOS DE PLANIFICACIÓN SOCIAL DEL TERRITORIO"/>
    <s v="2,3,4599,1000,2021130010256"/>
    <s v="070"/>
    <s v="1,2,4,3,03-070 - SGP LIBRE INVERSION"/>
    <s v="INV"/>
    <s v="NO"/>
    <s v="IMPLEMENTACION DE LA METODOLOGIA IV DEL SISBEN EN   CARTAGENA DE INDIAS"/>
    <s v="2021130010256 IMPLEMENTACION DE LA METODOLOGIA IV DEL SISBEN EN   CARTAGENA DE INDIAS"/>
    <s v="06"/>
    <s v="00"/>
    <n v="0"/>
    <n v="96259540"/>
    <n v="96259540"/>
    <n v="31426666"/>
    <n v="64832874"/>
    <n v="31426666"/>
    <n v="32.65"/>
    <n v="28653333"/>
    <n v="29.77"/>
    <n v="64832874"/>
    <n v="19480000"/>
  </r>
  <r>
    <n v="2022"/>
    <n v="100"/>
    <x v="15"/>
    <s v="SECRETARIA DE PLANEACION"/>
    <s v="09 SECRETARIA DE PLANEACION"/>
    <n v="2021130010256"/>
    <s v="08. PILAR CARTAGENA INCLUYENTE"/>
    <s v="8.6 LÍNEA ESTRATÉGICA PLANEACIÓN SOCIAL DEL TERRITORIO"/>
    <s v="8.6.1 PROGRAMA: INSTRUMENTOS DE PLANIFICACIÓN SOCIAL DEL TERRITORIO"/>
    <s v="2,3,4599,1000,2021130010256"/>
    <s v="001"/>
    <s v="1,2,1,0,00-001 - ICLD"/>
    <s v="INV"/>
    <s v="NO"/>
    <s v="IMPLEMENTACION DE LA METODOLOGIA IV DEL SISBEN EN   CARTAGENA DE INDIAS"/>
    <s v="2021130010256 IMPLEMENTACION DE LA METODOLOGIA IV DEL SISBEN EN   CARTAGENA DE INDIAS"/>
    <s v="06"/>
    <s v="00"/>
    <n v="1662120000"/>
    <n v="-237868"/>
    <n v="1661882132"/>
    <n v="1645948800.0599999"/>
    <n v="15933331.939999999"/>
    <n v="1638045275.96"/>
    <n v="98.57"/>
    <n v="1602411248.1700001"/>
    <n v="96.42"/>
    <n v="23836856.039999999"/>
    <n v="1599211248.1700001"/>
  </r>
  <r>
    <n v="2022"/>
    <n v="100"/>
    <x v="15"/>
    <s v="SECRETARIA DE PLANEACION"/>
    <s v="09 SECRETARIA DE PLANEACION"/>
    <n v="2021130010257"/>
    <s v="10. PILAR: CARTAGENA TRANSPARENTE"/>
    <s v="10.7 LÍNEA ESTRATÉGICA: PARTICIPACIÓN Y DESCENTRALIZACIÓN"/>
    <s v="10.7.2 PROGRAMA: MODERNIZACIÓN DEL SISTEMA DISTRITAL DE PLANEACIÓN Y DESCENTRALIZACIÓN  "/>
    <s v="2,3,4599,1000,2021130010257"/>
    <s v="922"/>
    <s v="1,3,3,8,03-95-070 R,B, SGP-PROPOSITO GENERAL-PROPOSITO GENERAL LIBRE INVERSION"/>
    <s v="INV"/>
    <s v="NO"/>
    <s v="MODERNIZACION DEL SISTEMA DISTRITAL DE PLANEACION EN CARTAGENA DE INDIAS"/>
    <s v="2021130010257 MODERNIZACION DEL SISTEMA DISTRITAL DE PLANEACION EN CARTAGENA DE INDIAS"/>
    <s v="06"/>
    <s v="00"/>
    <n v="0"/>
    <n v="69482633.329999998"/>
    <n v="69482633.329999998"/>
    <n v="69482633"/>
    <n v="0.33"/>
    <n v="41950000"/>
    <n v="60.37"/>
    <n v="41950000"/>
    <n v="60.37"/>
    <n v="27532633.329999998"/>
    <n v="41950000"/>
  </r>
  <r>
    <n v="2022"/>
    <n v="100"/>
    <x v="15"/>
    <s v="SECRETARIA DE PLANEACION"/>
    <s v="09 SECRETARIA DE PLANEACION"/>
    <n v="2021130010257"/>
    <s v="10. PILAR: CARTAGENA TRANSPARENTE"/>
    <s v="10.7 LÍNEA ESTRATÉGICA: PARTICIPACIÓN Y DESCENTRALIZACIÓN"/>
    <s v="10.7.2 PROGRAMA: MODERNIZACIÓN DEL SISTEMA DISTRITAL DE PLANEACIÓN Y DESCENTRALIZACIÓN  "/>
    <s v="2,3,4599,1000,2021130010257"/>
    <s v="070"/>
    <s v="1,2,4,3,03-070 - SGP LIBRE INVERSION"/>
    <s v="INV"/>
    <s v="NO"/>
    <s v="MODERNIZACION DEL SISTEMA DISTRITAL DE PLANEACION EN  CARTAGENA DE INDIAS"/>
    <s v="2021130010257 MODERNIZACION DEL SISTEMA DISTRITAL DE PLANEACION EN  CARTAGENA DE INDIAS"/>
    <s v="06"/>
    <s v="00"/>
    <n v="965852079"/>
    <n v="0"/>
    <n v="965852079"/>
    <n v="912068131"/>
    <n v="53783948"/>
    <n v="911594692"/>
    <n v="94.38"/>
    <n v="906663761"/>
    <n v="93.87"/>
    <n v="54257387"/>
    <n v="902163761"/>
  </r>
  <r>
    <n v="2022"/>
    <n v="100"/>
    <x v="15"/>
    <s v="SECRETARIA DE PLANEACION"/>
    <s v="09 SECRETARIA DE PLANEACION"/>
    <n v="2021130010257"/>
    <s v="10. PILAR: CARTAGENA TRANSPARENTE"/>
    <s v="10.7 LÍNEA ESTRATÉGICA: PARTICIPACIÓN Y DESCENTRALIZACIÓN"/>
    <s v="10.7.2 PROGRAMA: MODERNIZACIÓN DEL SISTEMA DISTRITAL DE PLANEACIÓN Y DESCENTRALIZACIÓN  "/>
    <s v="2,3,4599,1000,2021130010257"/>
    <s v="001"/>
    <s v="1,2,1,0,00-001 - ICLD"/>
    <s v="INV"/>
    <s v="NO"/>
    <s v="MODERNIZACION DEL SISTEMA DISTRITAL DE PLANEACION EN  CARTAGENA DE INDIAS"/>
    <s v="2021130010257 MODERNIZACION DEL SISTEMA DISTRITAL DE PLANEACION EN  CARTAGENA DE INDIAS"/>
    <s v="06"/>
    <s v="00"/>
    <n v="892707921"/>
    <n v="0"/>
    <n v="892707921"/>
    <n v="727962000"/>
    <n v="164745921"/>
    <n v="715462000"/>
    <n v="80.150000000000006"/>
    <n v="686962000"/>
    <n v="76.95"/>
    <n v="177245921"/>
    <n v="678168667"/>
  </r>
  <r>
    <n v="2022"/>
    <n v="100"/>
    <x v="4"/>
    <s v="DESPACHO DEL ALCALDE"/>
    <s v="01 DESPACHO DEL ALCALDE"/>
    <n v="2021130010259"/>
    <s v="08. PILAR CARTAGENA INCLUYENTE"/>
    <s v="8.1 LÍNEA ESTRATÉGICA: SUPERACIÓN DE LA POBREZA Y DESIGUALDAD."/>
    <s v="8.1.10 PROGRAMA: FORTALECIMIENTO INSTITUCIONAL PARA LA SUPERACION DE LA POBREZA EXTREMA Y DESIGUALDAD "/>
    <s v="2,3,4103,1500,2021130010259"/>
    <s v="815"/>
    <s v="1,3,3,11,03-95-107 R,B, RF OTROS DIVIDENDOS"/>
    <s v="INV"/>
    <s v="NO"/>
    <s v="APOYO  IMPLEMENTACION DEL PROGRAMA DE FAMILIAS EN ACCION EN CARTAGENA DE INDIAS -GT+  CARTAGENA DE INDIAS"/>
    <s v="2021130010259 APOYO  IMPLEMENTACION DEL PROGRAMA DE FAMILIAS EN ACCION EN CARTAGENA DE INDIAS -GT+  CARTAGENA DE INDIAS"/>
    <s v="06"/>
    <s v="00"/>
    <n v="0"/>
    <n v="31629890.420000002"/>
    <n v="31629890.420000002"/>
    <n v="0"/>
    <n v="31629890.420000002"/>
    <n v="0"/>
    <n v="0"/>
    <n v="0"/>
    <n v="0"/>
    <n v="31629890.420000002"/>
    <n v="0"/>
  </r>
  <r>
    <n v="2022"/>
    <n v="100"/>
    <x v="4"/>
    <s v="DESPACHO DEL ALCALDE"/>
    <s v="01 DESPACHO DEL ALCALDE"/>
    <n v="2021130010259"/>
    <s v="08. PILAR CARTAGENA INCLUYENTE"/>
    <s v="8.1 LÍNEA ESTRATÉGICA: SUPERACIÓN DE LA POBREZA Y DESIGUALDAD."/>
    <s v="8.1.10 PROGRAMA: FORTALECIMIENTO INSTITUCIONAL PARA LA SUPERACION DE LA POBREZA EXTREMA Y DESIGUALDAD "/>
    <s v="2,3,4103,1500,2021130010259"/>
    <s v="852"/>
    <s v="1,3,3,3,17-95-124 RB IMPUESTO DE TRANSPORTE POR OLEODUCTOS Y GASODUCTOS"/>
    <s v="INV"/>
    <s v="NO"/>
    <s v="APOYO  IMPLEMENTACION DEL PROGRAMA DE FAMILIAS EN ACCION EN CARTAGENA DE INDIAS -GT+  CARTAGENA DE INDIAS"/>
    <s v="2021130010259 APOYO  IMPLEMENTACION DEL PROGRAMA DE FAMILIAS EN ACCION EN CARTAGENA DE INDIAS -GT+  CARTAGENA DE INDIAS"/>
    <s v="06"/>
    <s v="00"/>
    <n v="0"/>
    <n v="127586226"/>
    <n v="127586226"/>
    <n v="74400000"/>
    <n v="53186226"/>
    <n v="58500000"/>
    <n v="45.85"/>
    <n v="57536666"/>
    <n v="45.1"/>
    <n v="69086226"/>
    <n v="57536666"/>
  </r>
  <r>
    <n v="2022"/>
    <n v="100"/>
    <x v="4"/>
    <s v="DESPACHO DEL ALCALDE"/>
    <s v="01 DESPACHO DEL ALCALDE"/>
    <n v="2021130010259"/>
    <s v="08. PILAR CARTAGENA INCLUYENTE"/>
    <s v="8.1 LÍNEA ESTRATÉGICA: SUPERACIÓN DE LA POBREZA Y DESIGUALDAD."/>
    <s v="8.1.10 PROGRAMA: FORTALECIMIENTO INSTITUCIONAL PARA LA SUPERACION DE LA POBREZA EXTREMA Y DESIGUALDAD "/>
    <s v="2,3,4103,1500,2021130010259"/>
    <s v="053"/>
    <s v="1,2,3,2,05-053 - OTRAS TASAS Y DERECHOS ADMINISTRATIVOS CONTRAPRESTACION PORTUARIA"/>
    <s v="INV"/>
    <s v="NO"/>
    <s v="APOYO  IMPLEMENTACION DEL PROGRAMA DE FAMILIAS EN ACCION EN CARTAGENA DE INDIAS -GT+  CARTAGENA DE INDIAS"/>
    <s v="2021130010259 APOYO  IMPLEMENTACION DEL PROGRAMA DE FAMILIAS EN ACCION EN CARTAGENA DE INDIAS -GT+  CARTAGENA DE INDIAS"/>
    <s v="06"/>
    <s v="00"/>
    <n v="500000000"/>
    <n v="0"/>
    <n v="500000000"/>
    <n v="499999931.61000001"/>
    <n v="68.39"/>
    <n v="455682115.24000001"/>
    <n v="91.14"/>
    <n v="363394707.24000001"/>
    <n v="72.680000000000007"/>
    <n v="44317884.759999998"/>
    <n v="356394707.24000001"/>
  </r>
  <r>
    <n v="2022"/>
    <n v="100"/>
    <x v="4"/>
    <s v="DESPACHO DEL ALCALDE"/>
    <s v="01 DESPACHO DEL ALCALDE"/>
    <n v="2021130010259"/>
    <s v="08. PILAR CARTAGENA INCLUYENTE"/>
    <s v="8.1 LÍNEA ESTRATÉGICA: SUPERACIÓN DE LA POBREZA Y DESIGUALDAD."/>
    <s v="8.1.10 PROGRAMA: FORTALECIMIENTO INSTITUCIONAL PARA LA SUPERACION DE LA POBREZA EXTREMA Y DESIGUALDAD "/>
    <s v="2,3,4103,1500,2021130010259"/>
    <s v="001"/>
    <s v="1,2,1,0,00-001 - ICLD"/>
    <s v="INV"/>
    <s v="NO"/>
    <s v="APOYO  IMPLEMENTACION DEL PROGRAMA DE FAMILIAS EN ACCION EN CARTAGENA DE INDIAS -GT+  CARTAGENA DE INDIAS"/>
    <s v="2021130010259 APOYO  IMPLEMENTACION DEL PROGRAMA DE FAMILIAS EN ACCION EN CARTAGENA DE INDIAS -GT+  CARTAGENA DE INDIAS"/>
    <s v="06"/>
    <s v="00"/>
    <n v="1537200000"/>
    <n v="0"/>
    <n v="1537200000"/>
    <n v="1537200000"/>
    <n v="0"/>
    <n v="1504398665"/>
    <n v="97.87"/>
    <n v="1502115335"/>
    <n v="97.72"/>
    <n v="32801335"/>
    <n v="1502115335"/>
  </r>
  <r>
    <n v="2022"/>
    <n v="100"/>
    <x v="15"/>
    <s v="SECRETARIA DE PLANEACION"/>
    <s v="09 SECRETARIA DE PLANEACION"/>
    <n v="2021130010261"/>
    <s v="07. PILAR CARTAGENA RESILIENTE"/>
    <s v="7.7 LÍNEA ESTRATÉGICA INSTRUMENTOS DE ORDENAMIENTO TERRITORIAL."/>
    <s v="7.7.1 PLAN DE ORDENAMIENTO TERRITORIAL Y ESPECIAL DE MANEJO DE PATRIMONIO."/>
    <s v="2,3,4002,1400,2021130010261"/>
    <s v="813"/>
    <s v="1,3,3,11,03-93-138 R,B, DIVIDENDOS SOCIEDAD PORTUARIA"/>
    <s v="INV"/>
    <s v="NO"/>
    <s v="CONSTRUCCION DE LOS INSTRUMENTOS DE PLANIFICACION (PEMP Y POT) DE LA CIUDAD DE CARTAGENA DE INDIAS"/>
    <s v="2021130010261 CONSTRUCCION DE LOS INSTRUMENTOS DE PLANIFICACION (PEMP Y POT) DE LA CIUDAD DE CARTAGENA DE INDIAS"/>
    <s v="06"/>
    <s v="00"/>
    <n v="0"/>
    <n v="419370026"/>
    <n v="419370026"/>
    <n v="419370026"/>
    <n v="0"/>
    <n v="419370026"/>
    <n v="100"/>
    <n v="0"/>
    <n v="0"/>
    <n v="0"/>
    <n v="0"/>
  </r>
  <r>
    <n v="2022"/>
    <n v="100"/>
    <x v="15"/>
    <s v="SECRETARIA DE PLANEACION"/>
    <s v="09 SECRETARIA DE PLANEACION"/>
    <n v="2021130010261"/>
    <s v="07. PILAR CARTAGENA RESILIENTE"/>
    <s v="7.7 LÍNEA ESTRATÉGICA INSTRUMENTOS DE ORDENAMIENTO TERRITORIAL."/>
    <s v="7.7.1 PLAN DE ORDENAMIENTO TERRITORIAL Y ESPECIAL DE MANEJO DE PATRIMONIO."/>
    <s v="2,3,4002,1400,2021130010261"/>
    <s v="816"/>
    <s v="1,3,3,11,03-95-138 R,B, DIVIDENDOS SOCIEDAD PORTUARIA"/>
    <s v="INV"/>
    <s v="NO"/>
    <s v="CONSTRUCCION DE LOS INSTRUMENTOS DE PLANIFICACION (PEMP Y POT) DE LA CIUDAD DE CARTAGENA DE INDIAS"/>
    <s v="2021130010261 CONSTRUCCION DE LOS INSTRUMENTOS DE PLANIFICACION (PEMP Y POT) DE LA CIUDAD DE CARTAGENA DE INDIAS"/>
    <s v="06"/>
    <s v="00"/>
    <n v="0"/>
    <n v="80383826"/>
    <n v="80383826"/>
    <n v="38836109"/>
    <n v="41547717"/>
    <n v="38836109"/>
    <n v="48.31"/>
    <n v="0"/>
    <n v="0"/>
    <n v="41547717"/>
    <n v="0"/>
  </r>
  <r>
    <n v="2022"/>
    <n v="100"/>
    <x v="15"/>
    <s v="SECRETARIA DE PLANEACION"/>
    <s v="09 SECRETARIA DE PLANEACION"/>
    <n v="2021130010261"/>
    <s v="07. PILAR CARTAGENA RESILIENTE"/>
    <s v="7.7 LÍNEA ESTRATÉGICA INSTRUMENTOS DE ORDENAMIENTO TERRITORIAL."/>
    <s v="7.7.1 PLAN DE ORDENAMIENTO TERRITORIAL Y ESPECIAL DE MANEJO DE PATRIMONIO."/>
    <s v="2,3,4002,1400,2021130010261"/>
    <s v="922"/>
    <s v="1,3,3,8,03-95-070 R,B, SGP-PROPOSITO GENERAL-PROPOSITO GENERAL LIBRE INVERSION"/>
    <s v="INV"/>
    <s v="NO"/>
    <s v="CONSTRUCCION DE LOS INSTRUMENTOS DE PLANIFICACION (PEMP Y POT) DE LA CIUDAD DE  CARTAGENA DE INDIAS"/>
    <s v="2021130010261 CONSTRUCCION DE LOS INSTRUMENTOS DE PLANIFICACION (PEMP Y POT) DE LA CIUDAD DE  CARTAGENA DE INDIAS"/>
    <s v="06"/>
    <s v="00"/>
    <n v="0"/>
    <n v="322115593.32999998"/>
    <n v="322115593.32999998"/>
    <n v="322100000"/>
    <n v="15593.33"/>
    <n v="313029999"/>
    <n v="97.18"/>
    <n v="278823332"/>
    <n v="86.56"/>
    <n v="9085594.3300000001"/>
    <n v="259089999"/>
  </r>
  <r>
    <n v="2022"/>
    <n v="100"/>
    <x v="15"/>
    <s v="SECRETARIA DE PLANEACION"/>
    <s v="09 SECRETARIA DE PLANEACION"/>
    <n v="2021130010261"/>
    <s v="07. PILAR CARTAGENA RESILIENTE"/>
    <s v="7.7 LÍNEA ESTRATÉGICA INSTRUMENTOS DE ORDENAMIENTO TERRITORIAL."/>
    <s v="7.7.1 PLAN DE ORDENAMIENTO TERRITORIAL Y ESPECIAL DE MANEJO DE PATRIMONIO."/>
    <s v="2,3,4002,1400,2021130010261"/>
    <s v="070"/>
    <s v="1,2,4,3,03-070 - SGP LIBRE INVERSION"/>
    <s v="INV"/>
    <s v="NO"/>
    <s v="CONSTRUCCION DE LOS INSTRUMENTOS DE PLANIFICACION (PEMP Y POT) DE LA CIUDAD DE CARTAGENA DE INDIAS"/>
    <s v="2021130010261 CONSTRUCCION DE LOS INSTRUMENTOS DE PLANIFICACION (PEMP Y POT) DE LA CIUDAD DE CARTAGENA DE INDIAS"/>
    <s v="06"/>
    <s v="00"/>
    <n v="0"/>
    <n v="460044813"/>
    <n v="460044813"/>
    <n v="460044813"/>
    <n v="0"/>
    <n v="460044813"/>
    <n v="100"/>
    <n v="0"/>
    <n v="0"/>
    <n v="0"/>
    <n v="0"/>
  </r>
  <r>
    <n v="2022"/>
    <n v="100"/>
    <x v="15"/>
    <s v="SECRETARIA DE PLANEACION"/>
    <s v="09 SECRETARIA DE PLANEACION"/>
    <n v="2021130010261"/>
    <s v="07. PILAR CARTAGENA RESILIENTE"/>
    <s v="7.7 LÍNEA ESTRATÉGICA INSTRUMENTOS DE ORDENAMIENTO TERRITORIAL."/>
    <s v="7.7.1 PLAN DE ORDENAMIENTO TERRITORIAL Y ESPECIAL DE MANEJO DE PATRIMONIO."/>
    <s v="2,3,4002,1400,2021130010261"/>
    <s v="001"/>
    <s v="1,2,1,0,00-001 - ICLD"/>
    <s v="INV"/>
    <s v="NO"/>
    <s v="CONSTRUCCION DE LOS INSTRUMENTOS DE PLANIFICACION (PEMP Y POT) DE LA CIUDAD DE  CARTAGENA DE INDIAS"/>
    <s v="2021130010261 CONSTRUCCION DE LOS INSTRUMENTOS DE PLANIFICACION (PEMP Y POT) DE LA CIUDAD DE  CARTAGENA DE INDIAS"/>
    <s v="06"/>
    <s v="00"/>
    <n v="4436200000"/>
    <n v="2099053609"/>
    <n v="6535253609"/>
    <n v="6479411852.6000004"/>
    <n v="55841756.399999999"/>
    <n v="6385343214.7299995"/>
    <n v="97.71"/>
    <n v="5668919901.6700001"/>
    <n v="86.74"/>
    <n v="149910394.27000001"/>
    <n v="5508579901.6700001"/>
  </r>
  <r>
    <n v="2022"/>
    <n v="100"/>
    <x v="15"/>
    <s v="SECRETARIA DE PLANEACION"/>
    <s v="09 SECRETARIA DE PLANEACION"/>
    <n v="2021130010262"/>
    <s v="07. PILAR CARTAGENA RESILIENTE"/>
    <s v="7.7 LÍNEA ESTRATÉGICA INSTRUMENTOS DE ORDENAMIENTO TERRITORIAL."/>
    <s v="7.7.1 PLAN DE ORDENAMIENTO TERRITORIAL Y ESPECIAL DE MANEJO DE PATRIMONIO."/>
    <s v="2,3,4002,1400,2021130010262"/>
    <s v="813"/>
    <s v="1,3,3,11,03-93-138 R,B, DIVIDENDOS SOCIEDAD PORTUARIA"/>
    <s v="INV"/>
    <s v="NO"/>
    <s v="FORTALECIMIENTO A LA REGLAMENTACION URBANISTICA DEL ORDENAMIENTO TERRITORIAL Y ESTRATEGIAS DE PLANEACION PARA PLANES PARCIALES EN EL DISTRITO DE  CARTAGENA DE INDIAS"/>
    <s v="2021130010262 FORTALECIMIENTO A LA REGLAMENTACION URBANISTICA DEL ORDENAMIENTO TERRITORIAL Y ESTRATEGIAS DE PLANEACION PARA PLANES PARCIALES EN EL DISTRITO DE  CARTAGENA DE INDIAS"/>
    <s v="06"/>
    <s v="00"/>
    <n v="0"/>
    <n v="411000000"/>
    <n v="411000000"/>
    <n v="336450000"/>
    <n v="74550000"/>
    <n v="336450000"/>
    <n v="81.86"/>
    <n v="303050000"/>
    <n v="73.73"/>
    <n v="74550000"/>
    <n v="297850000"/>
  </r>
  <r>
    <n v="2022"/>
    <n v="100"/>
    <x v="15"/>
    <s v="SECRETARIA DE PLANEACION"/>
    <s v="09 SECRETARIA DE PLANEACION"/>
    <n v="2021130010262"/>
    <s v="07. PILAR CARTAGENA RESILIENTE"/>
    <s v="7.7 LÍNEA ESTRATÉGICA INSTRUMENTOS DE ORDENAMIENTO TERRITORIAL."/>
    <s v="7.7.1 PLAN DE ORDENAMIENTO TERRITORIAL Y ESPECIAL DE MANEJO DE PATRIMONIO."/>
    <s v="2,3,4002,1400,2021130010262"/>
    <s v="922"/>
    <s v="1,3,3,8,03-95-070 R,B, SGP-PROPOSITO GENERAL-PROPOSITO GENERAL LIBRE INVERSION"/>
    <s v="INV"/>
    <s v="NO"/>
    <s v="FORTALECIMIENTO A LA REGLAMENTACION URBANISTICA DEL ORDENAMIENTO TERRITORIAL Y ESTRATEGIAS DE PLANEACION PARA PLANES PARCIALES EN EL DISTRITO DE  CARTAGENA DE INDIAS"/>
    <s v="2021130010262 FORTALECIMIENTO A LA REGLAMENTACION URBANISTICA DEL ORDENAMIENTO TERRITORIAL Y ESTRATEGIAS DE PLANEACION PARA PLANES PARCIALES EN EL DISTRITO DE  CARTAGENA DE INDIAS"/>
    <s v="06"/>
    <s v="00"/>
    <n v="0"/>
    <n v="0.85"/>
    <n v="0.85"/>
    <n v="0"/>
    <n v="0.85"/>
    <n v="0"/>
    <n v="0"/>
    <n v="0"/>
    <n v="0"/>
    <n v="0.85"/>
    <n v="0"/>
  </r>
  <r>
    <n v="2022"/>
    <n v="100"/>
    <x v="15"/>
    <s v="SECRETARIA DE PLANEACION"/>
    <s v="09 SECRETARIA DE PLANEACION"/>
    <n v="2021130010262"/>
    <s v="07. PILAR CARTAGENA RESILIENTE"/>
    <s v="7.7 LÍNEA ESTRATÉGICA INSTRUMENTOS DE ORDENAMIENTO TERRITORIAL."/>
    <s v="7.7.1 PLAN DE ORDENAMIENTO TERRITORIAL Y ESPECIAL DE MANEJO DE PATRIMONIO."/>
    <s v="2,3,4002,1400,2021130010262"/>
    <s v="001"/>
    <s v="1,2,1,0,00-001 - ICLD"/>
    <s v="INV"/>
    <s v="NO"/>
    <s v="FORTALECIMIENTO A LA REGLAMENTACION URBANISTICA DEL ORDENAMIENTO TERRITORIAL Y ESTRATEGIAS DE PLANEACION PARA PLANES PARCIALES EN EL DISTRITO DE  CARTAGENA DE INDIAS"/>
    <s v="2021130010262 FORTALECIMIENTO A LA REGLAMENTACION URBANISTICA DEL ORDENAMIENTO TERRITORIAL Y ESTRATEGIAS DE PLANEACION PARA PLANES PARCIALES EN EL DISTRITO DE  CARTAGENA DE INDIAS"/>
    <s v="06"/>
    <s v="00"/>
    <n v="2114200000"/>
    <n v="0"/>
    <n v="2114200000"/>
    <n v="2036495249.8299999"/>
    <n v="77704750.170000002"/>
    <n v="2027433916.5"/>
    <n v="95.9"/>
    <n v="1777416663"/>
    <n v="84.07"/>
    <n v="86766083.5"/>
    <n v="1767956664"/>
  </r>
  <r>
    <n v="2022"/>
    <n v="100"/>
    <x v="6"/>
    <s v="INSTITUTO DE PATRIMONIO Y CULTURA DE CARTAGENA DE INDIAS"/>
    <s v="17 INSTITUTO DE PATRIMONIO Y CULTURA DE CARTAGENA DE INDIAS"/>
    <n v="2021130010264"/>
    <s v="10. PILAR: CARTAGENA TRANSPARENTE"/>
    <s v="10.2 LÍNEA ESTRATÉGICA: CARTAGENA INTELIGENTE CON TODOS Y PARA TODOS"/>
    <s v="10.2.5 PROGRAMA: JORGE PIEDRAHITA ADUEN"/>
    <s v="2,3,3301,1603,2021130010264"/>
    <s v="001"/>
    <s v="1,2,1,0,00-001 - ICLD"/>
    <s v="INV"/>
    <s v="NO"/>
    <s v="INVESTIGACION Y DIVULGACION CULTURAL SOBRE EL IMPACTO DE LA CORRUPCION EN EL MARCO DEL PREMIO JORGE PIEDRAHITA ADUEN EN EL DISTRITO DE CARTAGENA DE INDIAS"/>
    <s v="2021130010264 INVESTIGACION Y DIVULGACION CULTURAL SOBRE EL IMPACTO DE LA CORRUPCION EN EL MARCO DEL PREMIO JORGE PIEDRAHITA ADUEN EN EL DISTRITO DE CARTAGENA DE INDIAS"/>
    <s v="06"/>
    <s v="00"/>
    <n v="130000000"/>
    <n v="0"/>
    <n v="130000000"/>
    <n v="130000000"/>
    <n v="0"/>
    <n v="130000000"/>
    <n v="100"/>
    <n v="130000000"/>
    <n v="100"/>
    <n v="0"/>
    <n v="87282000"/>
  </r>
  <r>
    <n v="2022"/>
    <n v="100"/>
    <x v="6"/>
    <s v="INSTITUTO DE PATRIMONIO Y CULTURA DE CARTAGENA DE INDIAS"/>
    <s v="17 INSTITUTO DE PATRIMONIO Y CULTURA DE CARTAGENA DE INDIAS"/>
    <n v="2021130010265"/>
    <s v="08. PILAR CARTAGENA INCLUYENTE"/>
    <s v="8.5 LÍNEA ESTRATÉGICA ARTES, CULTURA Y PATRIMONIO PARA UNA CARTAGENA INCLUYENTE"/>
    <s v="8.5.4 PROGRAMA: VALORACION, CIUDADO Y APROPIACION SOCIAL DEL PATRIMONIO MATERIAL "/>
    <s v="2,3,3302,1603,2021130010265"/>
    <s v="057"/>
    <s v="1,2,4,3,02-057 - SGP CULTURA"/>
    <s v="INV"/>
    <s v="NO"/>
    <s v="FORTALECIMIENTO SALVAGUARDA VALORACION CUIDADO Y CONTROL DEL PATRIMONIO MATERIAL EN EL DISTRITO DE CARTAGENA DE INDIAS"/>
    <s v="2021130010265 FORTALECIMIENTO SALVAGUARDA VALORACION CUIDADO Y CONTROL DEL PATRIMONIO MATERIAL EN EL DISTRITO DE CARTAGENA DE INDIAS"/>
    <s v="06"/>
    <s v="00"/>
    <n v="104951903"/>
    <n v="0"/>
    <n v="104951903"/>
    <n v="104950912.64"/>
    <n v="990.36"/>
    <n v="104950912.64"/>
    <n v="100"/>
    <n v="69966945"/>
    <n v="66.67"/>
    <n v="990.36"/>
    <n v="61221944"/>
  </r>
  <r>
    <n v="2022"/>
    <n v="100"/>
    <x v="6"/>
    <s v="INSTITUTO DE PATRIMONIO Y CULTURA DE CARTAGENA DE INDIAS"/>
    <s v="17 INSTITUTO DE PATRIMONIO Y CULTURA DE CARTAGENA DE INDIAS"/>
    <n v="2021130010265"/>
    <s v="08. PILAR CARTAGENA INCLUYENTE"/>
    <s v="8.5 LÍNEA ESTRATÉGICA ARTES, CULTURA Y PATRIMONIO PARA UNA CARTAGENA INCLUYENTE"/>
    <s v="8.5.4 PROGRAMA: VALORACION, CIUDADO Y APROPIACION SOCIAL DEL PATRIMONIO MATERIAL "/>
    <s v="2,3,3302,1603,2021130010265"/>
    <s v="082"/>
    <s v="1,2,3,1,19-082 - ESTAMPILLAS PROCULTURA"/>
    <s v="INV"/>
    <s v="NO"/>
    <s v="FORTALECIMIENTO SALVAGUARDA VALORACION CUIDADO Y CONTROL DEL PATRIMONIO MATERIAL EN EL DISTRITO DE CARTAGENA DE INDIAS"/>
    <s v="2021130010265 FORTALECIMIENTO SALVAGUARDA VALORACION CUIDADO Y CONTROL DEL PATRIMONIO MATERIAL EN EL DISTRITO DE CARTAGENA DE INDIAS"/>
    <s v="06"/>
    <s v="00"/>
    <n v="131600000"/>
    <n v="0"/>
    <n v="131600000"/>
    <n v="0"/>
    <n v="131600000"/>
    <n v="0"/>
    <n v="0"/>
    <n v="0"/>
    <n v="0"/>
    <n v="131600000"/>
    <n v="0"/>
  </r>
  <r>
    <n v="2022"/>
    <n v="100"/>
    <x v="6"/>
    <s v="INSTITUTO DE PATRIMONIO Y CULTURA DE CARTAGENA DE INDIAS"/>
    <s v="17 INSTITUTO DE PATRIMONIO Y CULTURA DE CARTAGENA DE INDIAS"/>
    <n v="2021130010265"/>
    <s v="08. PILAR CARTAGENA INCLUYENTE"/>
    <s v="8.5 LÍNEA ESTRATÉGICA ARTES, CULTURA Y PATRIMONIO PARA UNA CARTAGENA INCLUYENTE"/>
    <s v="8.5.4 PROGRAMA: VALORACION, CIUDADO Y APROPIACION SOCIAL DEL PATRIMONIO MATERIAL "/>
    <s v="2,3,3302,1603,2021130010265"/>
    <s v="001"/>
    <s v="1,2,1,0,00-001 - ICLD"/>
    <s v="INV"/>
    <s v="NO"/>
    <s v="FORTALECIMIENTO SALVAGUARDA VALORACION CUIDADO Y CONTROL DEL PATRIMONIO MATERIAL EN EL DISTRITO DE CARTAGENA DE INDIAS"/>
    <s v="2021130010265 FORTALECIMIENTO SALVAGUARDA VALORACION CUIDADO Y CONTROL DEL PATRIMONIO MATERIAL EN EL DISTRITO DE CARTAGENA DE INDIAS"/>
    <s v="06"/>
    <s v="00"/>
    <n v="1650000000"/>
    <n v="0"/>
    <n v="1650000000"/>
    <n v="1650000000"/>
    <n v="0"/>
    <n v="1650000000"/>
    <n v="100"/>
    <n v="1650000000"/>
    <n v="100"/>
    <n v="0"/>
    <n v="1650000000"/>
  </r>
  <r>
    <n v="2022"/>
    <n v="100"/>
    <x v="4"/>
    <s v="DESPACHO DEL ALCALDE"/>
    <s v="01 DESPACHO DEL ALCALDE"/>
    <n v="2021130010266"/>
    <s v="07. PILAR CARTAGENA RESILIENTE"/>
    <s v="7.2 LÍNEA ESTRATÉGICA ESPACIO PÚBLICO, MOVILIDAD Y TRANSPORTE RESILIENTE"/>
    <s v="7.2.3 GENERACIÓN DEL ESPACIO PÚBLICO  "/>
    <s v="2,3,4002,1400,2021130010266"/>
    <s v="008"/>
    <s v="1,2,3,2,05-008 - OTRAS TASAS Y DERECHOS ADMINISTRATIVO AMOBLAMIENTO URBANO"/>
    <s v="INV"/>
    <s v="NO"/>
    <s v="GENERACION  DEL ESPACIO PUBLICO  CARTAGENA DE INDIAS"/>
    <s v="2021130010266 GENERACION  DEL ESPACIO PUBLICO  CARTAGENA DE INDIAS"/>
    <s v="06"/>
    <s v="00"/>
    <n v="285465995"/>
    <n v="-163965995"/>
    <n v="121500000"/>
    <n v="121500000"/>
    <n v="0"/>
    <n v="114500000"/>
    <n v="94.24"/>
    <n v="114500000"/>
    <n v="94.24"/>
    <n v="7000000"/>
    <n v="110500000"/>
  </r>
  <r>
    <n v="2022"/>
    <n v="100"/>
    <x v="4"/>
    <s v="DESPACHO DEL ALCALDE"/>
    <s v="01 DESPACHO DEL ALCALDE"/>
    <n v="2021130010266"/>
    <s v="07. PILAR CARTAGENA RESILIENTE"/>
    <s v="7.2 LÍNEA ESTRATÉGICA ESPACIO PÚBLICO, MOVILIDAD Y TRANSPORTE RESILIENTE"/>
    <s v="7.2.3 GENERACIÓN DEL ESPACIO PÚBLICO  "/>
    <s v="2,3,4002,1400,2021130010266"/>
    <s v="001"/>
    <s v="1,2,1,0,00-001 - ICLD"/>
    <s v="INV"/>
    <s v="NO"/>
    <s v="GENERACION  DEL ESPACIO PUBLICO  CARTAGENA DE INDIAS"/>
    <s v="2021130010266 GENERACION  DEL ESPACIO PUBLICO  CARTAGENA DE INDIAS"/>
    <s v="06"/>
    <s v="00"/>
    <n v="40000000"/>
    <n v="528724296"/>
    <n v="568724296"/>
    <n v="556631226.75"/>
    <n v="12093069.25"/>
    <n v="262141817.91999999"/>
    <n v="46.09"/>
    <n v="38500000"/>
    <n v="6.77"/>
    <n v="306582478.07999998"/>
    <n v="38500000"/>
  </r>
  <r>
    <n v="2022"/>
    <n v="100"/>
    <x v="4"/>
    <s v="DESPACHO DEL ALCALDE"/>
    <s v="01 DESPACHO DEL ALCALDE"/>
    <n v="2021130010267"/>
    <s v="07. PILAR CARTAGENA RESILIENTE"/>
    <s v="7.2 LÍNEA ESTRATÉGICA ESPACIO PÚBLICO, MOVILIDAD Y TRANSPORTE RESILIENTE"/>
    <s v="7.2.2 RECUPERACIÓN DEL ESPACIO PÚBLICO "/>
    <s v="2,3,4599,1000,2021130010267"/>
    <s v="864"/>
    <s v="1,3,3,4,16-93-008 R,B, OTRAS TASAS Y DERECHOS ADMINISTRATIVOS AMOBLAMIENTO URBANO"/>
    <s v="INV"/>
    <s v="NO"/>
    <s v="RECUPERACION DEL ESPACIO PUBLICO  CARTAGENA DE INDIAS"/>
    <s v="2021130010267 RECUPERACION DEL ESPACIO PUBLICO  CARTAGENA DE INDIAS"/>
    <s v="06"/>
    <s v="00"/>
    <n v="0"/>
    <n v="573534245.70000005"/>
    <n v="573534245.70000005"/>
    <n v="558000000"/>
    <n v="15534245.699999999"/>
    <n v="0"/>
    <n v="0"/>
    <n v="0"/>
    <n v="0"/>
    <n v="573534245.70000005"/>
    <n v="0"/>
  </r>
  <r>
    <n v="2022"/>
    <n v="100"/>
    <x v="4"/>
    <s v="DESPACHO DEL ALCALDE"/>
    <s v="01 DESPACHO DEL ALCALDE"/>
    <n v="2021130010267"/>
    <s v="07. PILAR CARTAGENA RESILIENTE"/>
    <s v="7.2 LÍNEA ESTRATÉGICA ESPACIO PÚBLICO, MOVILIDAD Y TRANSPORTE RESILIENTE"/>
    <s v="7.2.2 RECUPERACIÓN DEL ESPACIO PÚBLICO "/>
    <s v="2,3,4599,1000,2021130010267"/>
    <s v="866"/>
    <s v="1,3,3,4,16-93-147 RB OTRAS TASAS Y DERECHOS ADMINISTRATIVO AMOBLAMIENTO URBANO"/>
    <s v="INV"/>
    <s v="NO"/>
    <s v="RECUPERACION DEL ESPACIO PUBLICO  CARTAGENA DE INDIAS"/>
    <s v="2021130010267 RECUPERACION DEL ESPACIO PUBLICO  CARTAGENA DE INDIAS"/>
    <s v="06"/>
    <s v="00"/>
    <n v="0"/>
    <n v="9174285.5600000005"/>
    <n v="9174285.5600000005"/>
    <n v="0"/>
    <n v="9174285.5600000005"/>
    <n v="0"/>
    <n v="0"/>
    <n v="0"/>
    <n v="0"/>
    <n v="9174285.5600000005"/>
    <n v="0"/>
  </r>
  <r>
    <n v="2022"/>
    <n v="100"/>
    <x v="4"/>
    <s v="DESPACHO DEL ALCALDE"/>
    <s v="01 DESPACHO DEL ALCALDE"/>
    <n v="2021130010267"/>
    <s v="07. PILAR CARTAGENA RESILIENTE"/>
    <s v="7.2 LÍNEA ESTRATÉGICA ESPACIO PÚBLICO, MOVILIDAD Y TRANSPORTE RESILIENTE"/>
    <s v="7.2.2 RECUPERACIÓN DEL ESPACIO PÚBLICO "/>
    <s v="2,3,4599,1000,2021130010267"/>
    <s v="868"/>
    <s v="1,3,3,4,16-95-008 R,B, OTRAS TASAS Y DERECHOS ADMINISTRATIVOS AMOBLAMIENTO URBANO"/>
    <s v="INV"/>
    <s v="NO"/>
    <s v="RECUPERACION DEL ESPACIO PUBLICO  CARTAGENA DE INDIAS"/>
    <s v="2021130010267 RECUPERACION DEL ESPACIO PUBLICO  CARTAGENA DE INDIAS"/>
    <s v="06"/>
    <s v="00"/>
    <n v="0"/>
    <n v="265459697.66"/>
    <n v="265459697.66"/>
    <n v="159101447.53999999"/>
    <n v="106358250.12"/>
    <n v="83907231.650000006"/>
    <n v="31.61"/>
    <n v="49700000"/>
    <n v="18.72"/>
    <n v="181552466.00999999"/>
    <n v="47700000"/>
  </r>
  <r>
    <n v="2022"/>
    <n v="100"/>
    <x v="4"/>
    <s v="DESPACHO DEL ALCALDE"/>
    <s v="01 DESPACHO DEL ALCALDE"/>
    <n v="2021130010267"/>
    <s v="07. PILAR CARTAGENA RESILIENTE"/>
    <s v="7.2 LÍNEA ESTRATÉGICA ESPACIO PÚBLICO, MOVILIDAD Y TRANSPORTE RESILIENTE"/>
    <s v="7.2.2 RECUPERACIÓN DEL ESPACIO PÚBLICO "/>
    <s v="2,3,4599,1000,2021130010267"/>
    <s v="873"/>
    <s v="1,3,3,4,16-95-147 RB OTRAS TASAS Y DERECHOS ADMINISTRATIVO AMOBLAMIENTO URBANO"/>
    <s v="INV"/>
    <s v="NO"/>
    <s v="RECUPERACION DEL ESPACIO PUBLICO  CARTAGENA DE INDIAS"/>
    <s v="2021130010267 RECUPERACION DEL ESPACIO PUBLICO  CARTAGENA DE INDIAS"/>
    <s v="06"/>
    <s v="00"/>
    <n v="0"/>
    <n v="5497637"/>
    <n v="5497637"/>
    <n v="0"/>
    <n v="5497637"/>
    <n v="0"/>
    <n v="0"/>
    <n v="0"/>
    <n v="0"/>
    <n v="5497637"/>
    <n v="0"/>
  </r>
  <r>
    <n v="2022"/>
    <n v="100"/>
    <x v="4"/>
    <s v="DESPACHO DEL ALCALDE"/>
    <s v="01 DESPACHO DEL ALCALDE"/>
    <n v="2021130010267"/>
    <s v="07. PILAR CARTAGENA RESILIENTE"/>
    <s v="7.2 LÍNEA ESTRATÉGICA ESPACIO PÚBLICO, MOVILIDAD Y TRANSPORTE RESILIENTE"/>
    <s v="7.2.2 RECUPERACIÓN DEL ESPACIO PÚBLICO "/>
    <s v="2,3,4599,1000,2021130010267"/>
    <s v="147"/>
    <s v="1,3,2,3,05-147 - OTROS RENDIMIENTOS FINANCIEROS AMOBLAMIENTO URBANO"/>
    <s v="INV"/>
    <s v="NO"/>
    <s v="RECUPERACION DEL ESPACIO PUBLICO  CARTAGENA DE INDIAS"/>
    <s v="2021130010267 RECUPERACION DEL ESPACIO PUBLICO  CARTAGENA DE INDIAS"/>
    <s v="06"/>
    <s v="00"/>
    <n v="1"/>
    <n v="0"/>
    <n v="1"/>
    <n v="0"/>
    <n v="1"/>
    <n v="0"/>
    <n v="0"/>
    <n v="0"/>
    <n v="0"/>
    <n v="1"/>
    <n v="0"/>
  </r>
  <r>
    <n v="2022"/>
    <n v="100"/>
    <x v="4"/>
    <s v="DESPACHO DEL ALCALDE"/>
    <s v="01 DESPACHO DEL ALCALDE"/>
    <n v="2021130010267"/>
    <s v="07. PILAR CARTAGENA RESILIENTE"/>
    <s v="7.2 LÍNEA ESTRATÉGICA ESPACIO PÚBLICO, MOVILIDAD Y TRANSPORTE RESILIENTE"/>
    <s v="7.2.2 RECUPERACIÓN DEL ESPACIO PÚBLICO "/>
    <s v="2,3,4599,1000,2021130010267"/>
    <s v="008"/>
    <s v="1,2,3,2,05-008 - OTRAS TASAS Y DERECHOS ADMINISTRATIVO AMOBLAMIENTO URBANO"/>
    <s v="INV"/>
    <s v="NO"/>
    <s v="RECUPERACION DEL ESPACIO PUBLICO  CARTAGENA DE INDIAS"/>
    <s v="2021130010267 RECUPERACION DEL ESPACIO PUBLICO  CARTAGENA DE INDIAS"/>
    <s v="06"/>
    <s v="00"/>
    <n v="427985904"/>
    <n v="-128085904"/>
    <n v="299900000"/>
    <n v="299900000"/>
    <n v="0"/>
    <n v="299300000"/>
    <n v="99.8"/>
    <n v="299300000"/>
    <n v="99.8"/>
    <n v="600000"/>
    <n v="298450000"/>
  </r>
  <r>
    <n v="2022"/>
    <n v="100"/>
    <x v="4"/>
    <s v="DESPACHO DEL ALCALDE"/>
    <s v="01 DESPACHO DEL ALCALDE"/>
    <n v="2021130010267"/>
    <s v="07. PILAR CARTAGENA RESILIENTE"/>
    <s v="7.2 LÍNEA ESTRATÉGICA ESPACIO PÚBLICO, MOVILIDAD Y TRANSPORTE RESILIENTE"/>
    <s v="7.2.2 RECUPERACIÓN DEL ESPACIO PÚBLICO "/>
    <s v="2,3,4599,1000,2021130010267"/>
    <s v="080"/>
    <s v="1,2,3,2,05-080 - OTRAS TASAS Y DERECHOS ADMINISTRATIVOS OCUPACION DE VIAS"/>
    <s v="INV"/>
    <s v="NO"/>
    <s v="RECUPERACION DEL ESPACIO PUBLICO  CARTAGENA DE INDIAS"/>
    <s v="2021130010267 RECUPERACION DEL ESPACIO PUBLICO  CARTAGENA DE INDIAS"/>
    <s v="06"/>
    <s v="00"/>
    <n v="325868109"/>
    <n v="-325531342"/>
    <n v="336767"/>
    <n v="0"/>
    <n v="336767"/>
    <n v="0"/>
    <n v="0"/>
    <n v="0"/>
    <n v="0"/>
    <n v="336767"/>
    <n v="0"/>
  </r>
  <r>
    <n v="2022"/>
    <n v="100"/>
    <x v="4"/>
    <s v="DESPACHO DEL ALCALDE"/>
    <s v="01 DESPACHO DEL ALCALDE"/>
    <n v="2021130010267"/>
    <s v="07. PILAR CARTAGENA RESILIENTE"/>
    <s v="7.2 LÍNEA ESTRATÉGICA ESPACIO PÚBLICO, MOVILIDAD Y TRANSPORTE RESILIENTE"/>
    <s v="7.2.2 RECUPERACIÓN DEL ESPACIO PÚBLICO "/>
    <s v="2,3,4599,1000,2021130010267"/>
    <s v="001"/>
    <s v="1,2,1,0,00-001 - ICLD"/>
    <s v="INV"/>
    <s v="NO"/>
    <s v="RECUPERACION DEL ESPACIO PUBLICO  CARTAGENA DE INDIAS"/>
    <s v="2021130010267 RECUPERACION DEL ESPACIO PUBLICO  CARTAGENA DE INDIAS"/>
    <s v="06"/>
    <s v="00"/>
    <n v="1850000000"/>
    <n v="-420000000"/>
    <n v="1430000000"/>
    <n v="1370633278.4200001"/>
    <n v="59366721.579999998"/>
    <n v="1276472000"/>
    <n v="89.26"/>
    <n v="1210216000"/>
    <n v="84.63"/>
    <n v="153528000"/>
    <n v="1183000000"/>
  </r>
  <r>
    <n v="2022"/>
    <n v="100"/>
    <x v="4"/>
    <s v="DESPACHO DEL ALCALDE"/>
    <s v="01 DESPACHO DEL ALCALDE"/>
    <n v="2021130010268"/>
    <s v="07. PILAR CARTAGENA RESILIENTE"/>
    <s v="7.2 LÍNEA ESTRATÉGICA ESPACIO PÚBLICO, MOVILIDAD Y TRANSPORTE RESILIENTE"/>
    <s v="7.2.2 RECUPERACIÓN DEL ESPACIO PÚBLICO "/>
    <s v="2,3,4002,1400,2021130010268"/>
    <s v="001"/>
    <s v="1,2,1,0,00-001 - ICLD"/>
    <s v="INV"/>
    <s v="NO"/>
    <s v="MEJORAMIENTO DE PARQUES Y ZONAS VERDES PARA LA RECUPERACION  DEL  ESPACIO PUBLICO   CARTAGENA DE INDIAS"/>
    <s v="2021130010268 MEJORAMIENTO DE PARQUES Y ZONAS VERDES PARA LA RECUPERACION  DEL  ESPACIO PUBLICO   CARTAGENA DE INDIAS"/>
    <s v="06"/>
    <s v="00"/>
    <n v="150000000"/>
    <n v="-40000000"/>
    <n v="110000000"/>
    <n v="110000000"/>
    <n v="0"/>
    <n v="110000000"/>
    <n v="100"/>
    <n v="110000000"/>
    <n v="100"/>
    <n v="0"/>
    <n v="110000000"/>
  </r>
  <r>
    <n v="2022"/>
    <n v="100"/>
    <x v="5"/>
    <s v="INSTITUTO DE DEPORTE Y RECREACION"/>
    <s v="15 INSTITUTO DE DEPORTE Y RECREACION"/>
    <n v="2021130010270"/>
    <s v="08. PILAR CARTAGENA INCLUYENTE"/>
    <s v="8.4 LÍNEA ESTRATÉGICA DEPORTE Y RECREACIÓN PARA LA TRANSFORMACION SOCIAL "/>
    <s v="8.4.6 PROGRAMA: OBSERVATORIO DE CIENCIAS APLICADAS AL DEPORTE, LA RECREACIÓN, LA ACTIVIDAD FÍSICA Y EL APROVECHAMIENTO DEL TIEMPO LIBRE EN EL DISTRITO DE CARTAGENA DE INDIAS."/>
    <s v="2,3,4302,1604,2021130010270"/>
    <s v="841"/>
    <s v="1,3,3,2,00-95-097 R,B, ICDE IDER 3% ICA"/>
    <s v="INV"/>
    <s v="NO"/>
    <s v="IMPLEMENTACION DEL OBSERVATORIO DE CIENCIAS APLICADAS AL DEPORTE, LA RECREACION, LA ACTIVIDAD FISICA Y EL APROVECHAMIENTO DEL TIEMPO LIBRE EN EL DISTRITO DE CARTAGENA DE INDIAS"/>
    <s v="2021130010270 IMPLEMENTACION DEL OBSERVATORIO DE CIENCIAS APLICADAS AL DEPORTE, LA RECREACION, LA ACTIVIDAD FISICA Y EL APROVECHAMIENTO DEL TIEMPO LIBRE EN EL DISTRITO DE CARTAGENA DE INDIAS"/>
    <s v="06"/>
    <s v="00"/>
    <n v="0"/>
    <n v="50000000"/>
    <n v="50000000"/>
    <n v="6082332.71"/>
    <n v="43917667.289999999"/>
    <n v="6082332.71"/>
    <n v="12.16"/>
    <n v="6082332.71"/>
    <n v="12.16"/>
    <n v="43917667.289999999"/>
    <n v="0"/>
  </r>
  <r>
    <n v="2022"/>
    <n v="100"/>
    <x v="5"/>
    <s v="INSTITUTO DE DEPORTE Y RECREACION"/>
    <s v="15 INSTITUTO DE DEPORTE Y RECREACION"/>
    <n v="2021130010270"/>
    <s v="08. PILAR CARTAGENA INCLUYENTE"/>
    <s v="8.4 LÍNEA ESTRATÉGICA DEPORTE Y RECREACIÓN PARA LA TRANSFORMACION SOCIAL "/>
    <s v="8.4.6 PROGRAMA: OBSERVATORIO DE CIENCIAS APLICADAS AL DEPORTE, LA RECREACIÓN, LA ACTIVIDAD FÍSICA Y EL APROVECHAMIENTO DEL TIEMPO LIBRE EN EL DISTRITO DE CARTAGENA DE INDIAS."/>
    <s v="2,3,4302,1604,2021130010270"/>
    <s v="025"/>
    <s v="1,2,3,2,05-025 - OTRAS TASAS Y DERECHOS ADMINISTRATIVOS TASA PRODEPORTE"/>
    <s v="INV"/>
    <s v="NO"/>
    <s v="IMPLEMENTACION DEL OBSERVATORIO DE CIENCIAS APLICADAS AL DEPORTE, LA RECREACION, LA ACTIVIDAD FISICA Y EL APROVECHAMIENTO DEL TIEMPO LIBRE EN EL DISTRITO DE  CARTAGENA DE INDIAS"/>
    <s v="2021130010270 IMPLEMENTACION DEL OBSERVATORIO DE CIENCIAS APLICADAS AL DEPORTE, LA RECREACION, LA ACTIVIDAD FISICA Y EL APROVECHAMIENTO DEL TIEMPO LIBRE EN EL DISTRITO DE  CARTAGENA DE INDIAS"/>
    <s v="06"/>
    <s v="00"/>
    <n v="300000000"/>
    <n v="0"/>
    <n v="300000000"/>
    <n v="246712660"/>
    <n v="53287340"/>
    <n v="246712660"/>
    <n v="82.24"/>
    <n v="246712660"/>
    <n v="82.24"/>
    <n v="53287340"/>
    <n v="148957475"/>
  </r>
  <r>
    <n v="2022"/>
    <n v="100"/>
    <x v="5"/>
    <s v="INSTITUTO DE DEPORTE Y RECREACION"/>
    <s v="15 INSTITUTO DE DEPORTE Y RECREACION"/>
    <n v="2021130010270"/>
    <s v="08. PILAR CARTAGENA INCLUYENTE"/>
    <s v="8.4 LÍNEA ESTRATÉGICA DEPORTE Y RECREACIÓN PARA LA TRANSFORMACION SOCIAL "/>
    <s v="8.4.6 PROGRAMA: OBSERVATORIO DE CIENCIAS APLICADAS AL DEPORTE, LA RECREACIÓN, LA ACTIVIDAD FÍSICA Y EL APROVECHAMIENTO DEL TIEMPO LIBRE EN EL DISTRITO DE CARTAGENA DE INDIAS."/>
    <s v="2,3,4302,1604,2021130010270"/>
    <s v="097"/>
    <s v="1,2,2,0,00-097 - ICDE IDER 3% ICA"/>
    <s v="INV"/>
    <s v="NO"/>
    <s v="IMPLEMENTACION DEL OBSERVATORIO DE CIENCIAS APLICADAS AL DEPORTE, LA RECREACION, LA ACTIVIDAD FISICA Y EL APROVECHAMIENTO DEL TIEMPO LIBRE EN EL DISTRITO DE  CARTAGENA DE INDIAS"/>
    <s v="2021130010270 IMPLEMENTACION DEL OBSERVATORIO DE CIENCIAS APLICADAS AL DEPORTE, LA RECREACION, LA ACTIVIDAD FISICA Y EL APROVECHAMIENTO DEL TIEMPO LIBRE EN EL DISTRITO DE  CARTAGENA DE INDIAS"/>
    <s v="06"/>
    <s v="00"/>
    <n v="281072622"/>
    <n v="0"/>
    <n v="281072622"/>
    <n v="278215000"/>
    <n v="2857622"/>
    <n v="278215000"/>
    <n v="98.98"/>
    <n v="278215000"/>
    <n v="98.98"/>
    <n v="2857622"/>
    <n v="198415000"/>
  </r>
  <r>
    <n v="2022"/>
    <n v="100"/>
    <x v="5"/>
    <s v="INSTITUTO DE DEPORTE Y RECREACION"/>
    <s v="15 INSTITUTO DE DEPORTE Y RECREACION"/>
    <n v="2021130010270"/>
    <s v="08. PILAR CARTAGENA INCLUYENTE"/>
    <s v="8.4 LÍNEA ESTRATÉGICA DEPORTE Y RECREACIÓN PARA LA TRANSFORMACION SOCIAL "/>
    <s v="8.4.6 PROGRAMA: OBSERVATORIO DE CIENCIAS APLICADAS AL DEPORTE, LA RECREACIÓN, LA ACTIVIDAD FÍSICA Y EL APROVECHAMIENTO DEL TIEMPO LIBRE EN EL DISTRITO DE CARTAGENA DE INDIAS."/>
    <s v="2,3,4302,1604,2021130010270"/>
    <s v="011"/>
    <s v="1,3,2,3,05-011 - OTROS RENDIMIENTOS FINANCIEROS IDER"/>
    <s v="INV"/>
    <s v="NO"/>
    <s v="IMPLEMENTACION DEL OBSERVATORIO DE CIENCIAS APLICADAS AL DEPORTE, LA RECREACION, LA ACTIVIDAD FISICA Y EL APROVECHAMIENTO DEL TIEMPO LIBRE EN EL DISTRITO DE  CARTAGENA DE INDIAS"/>
    <s v="2021130010270 IMPLEMENTACION DEL OBSERVATORIO DE CIENCIAS APLICADAS AL DEPORTE, LA RECREACION, LA ACTIVIDAD FISICA Y EL APROVECHAMIENTO DEL TIEMPO LIBRE EN EL DISTRITO DE  CARTAGENA DE INDIAS"/>
    <s v="06"/>
    <s v="00"/>
    <n v="21903864"/>
    <n v="0"/>
    <n v="21903864"/>
    <n v="0"/>
    <n v="21903864"/>
    <n v="0"/>
    <n v="0"/>
    <n v="0"/>
    <n v="0"/>
    <n v="21903864"/>
    <n v="0"/>
  </r>
  <r>
    <n v="2022"/>
    <n v="100"/>
    <x v="5"/>
    <s v="INSTITUTO DE DEPORTE Y RECREACION"/>
    <s v="15 INSTITUTO DE DEPORTE Y RECREACION"/>
    <n v="2021130010270"/>
    <s v="08. PILAR CARTAGENA INCLUYENTE"/>
    <s v="8.4 LÍNEA ESTRATÉGICA DEPORTE Y RECREACIÓN PARA LA TRANSFORMACION SOCIAL "/>
    <s v="8.4.6 PROGRAMA: OBSERVATORIO DE CIENCIAS APLICADAS AL DEPORTE, LA RECREACIÓN, LA ACTIVIDAD FÍSICA Y EL APROVECHAMIENTO DEL TIEMPO LIBRE EN EL DISTRITO DE CARTAGENA DE INDIAS."/>
    <s v="2,3,4302,1604,2021130010270"/>
    <s v="024"/>
    <s v="1,2,3,1,12-024 - IMPUESTO DE ESPECTACULOS PUBLICOS NACIONAL IDER"/>
    <s v="INV"/>
    <s v="NO"/>
    <s v="IMPLEMENTACION DEL OBSERVATORIO DE CIENCIAS APLICADAS AL DEPORTE, LA RECREACION, LA ACTIVIDAD FISICA Y EL APROVECHAMIENTO DEL TIEMPO LIBRE EN EL DISTRITO DE  CARTAGENA DE INDIAS"/>
    <s v="2021130010270 IMPLEMENTACION DEL OBSERVATORIO DE CIENCIAS APLICADAS AL DEPORTE, LA RECREACION, LA ACTIVIDAD FISICA Y EL APROVECHAMIENTO DEL TIEMPO LIBRE EN EL DISTRITO DE  CARTAGENA DE INDIAS"/>
    <s v="06"/>
    <s v="00"/>
    <n v="42456659"/>
    <n v="0"/>
    <n v="42456659"/>
    <n v="0"/>
    <n v="42456659"/>
    <n v="0"/>
    <n v="0"/>
    <n v="0"/>
    <n v="0"/>
    <n v="42456659"/>
    <n v="0"/>
  </r>
  <r>
    <n v="2022"/>
    <n v="100"/>
    <x v="15"/>
    <s v="SECRETARIA DE PLANEACION"/>
    <s v="09 SECRETARIA DE PLANEACION"/>
    <n v="2021130010271"/>
    <s v="07. PILAR CARTAGENA RESILIENTE"/>
    <s v="7.7 LÍNEA ESTRATÉGICA INSTRUMENTOS DE ORDENAMIENTO TERRITORIAL."/>
    <s v="7.7.2 ADMINISTRANDO JUNTOS EL CONTROL URBANO"/>
    <s v="2,3,4002,1400,2021130010271"/>
    <s v="001"/>
    <s v="1,2,1,0,00-001 - ICLD"/>
    <s v="INV"/>
    <s v="NO"/>
    <s v="NORMALIZACION URBANISTICA DE CARTAGENA DE INDIAS"/>
    <s v="2021130010271 NORMALIZACION URBANISTICA DE CARTAGENA DE INDIAS"/>
    <s v="06"/>
    <s v="00"/>
    <n v="689200641.92999995"/>
    <n v="0"/>
    <n v="689200641.92999995"/>
    <n v="660399999"/>
    <n v="28800642.93"/>
    <n v="655199999"/>
    <n v="95.07"/>
    <n v="619599999"/>
    <n v="89.9"/>
    <n v="34000642.93"/>
    <n v="617986666"/>
  </r>
  <r>
    <n v="2022"/>
    <n v="100"/>
    <x v="15"/>
    <s v="SECRETARIA DE PLANEACION"/>
    <s v="09 SECRETARIA DE PLANEACION"/>
    <n v="2021130010271"/>
    <s v="07. PILAR CARTAGENA RESILIENTE"/>
    <s v="7.7 LÍNEA ESTRATÉGICA INSTRUMENTOS DE ORDENAMIENTO TERRITORIAL."/>
    <s v="7.7.2 ADMINISTRANDO JUNTOS EL CONTROL URBANO"/>
    <s v="2,3,4002,1400,2021130010271"/>
    <s v="921"/>
    <s v="1,3,3,8,03-93-075 R,B, SGP-PROPOSITO GENERAL-PROPOSITO GENERAL LIBRE INVERSION"/>
    <s v="INV"/>
    <s v="NO"/>
    <s v="NORMALIZACION URBANISTICA DE CARTAGENA DE INDIAS"/>
    <s v="2021130010271 NORMALIZACION URBANISTICA DE CARTAGENA DE INDIAS"/>
    <s v="06"/>
    <s v="00"/>
    <n v="0"/>
    <n v="0.16"/>
    <n v="0.16"/>
    <n v="0"/>
    <n v="0.16"/>
    <n v="0"/>
    <n v="0"/>
    <n v="0"/>
    <n v="0"/>
    <n v="0.16"/>
    <n v="0"/>
  </r>
  <r>
    <n v="2022"/>
    <n v="100"/>
    <x v="15"/>
    <s v="SECRETARIA DE PLANEACION"/>
    <s v="09 SECRETARIA DE PLANEACION"/>
    <n v="2021130010271"/>
    <s v="07. PILAR CARTAGENA RESILIENTE"/>
    <s v="7.7 LÍNEA ESTRATÉGICA INSTRUMENTOS DE ORDENAMIENTO TERRITORIAL."/>
    <s v="7.7.2 ADMINISTRANDO JUNTOS EL CONTROL URBANO"/>
    <s v="2,3,4002,1400,2021130010271"/>
    <s v="812"/>
    <s v="1,3,3,11,03-93-062 - RB DIVIDENDOS ACUACAR"/>
    <s v="INV"/>
    <s v="NO"/>
    <s v="NORMALIZACION URBANISTICA DE CARTAGENA DE INDIAS"/>
    <s v="2021130010271 NORMALIZACION URBANISTICA DE CARTAGENA DE INDIAS"/>
    <s v="06"/>
    <s v="00"/>
    <n v="0"/>
    <n v="63171482.390000001"/>
    <n v="63171482.390000001"/>
    <n v="62700000"/>
    <n v="471482.39"/>
    <n v="62700000"/>
    <n v="99.25"/>
    <n v="62700000"/>
    <n v="99.25"/>
    <n v="471482.39"/>
    <n v="41800000"/>
  </r>
  <r>
    <n v="2022"/>
    <n v="100"/>
    <x v="15"/>
    <s v="SECRETARIA DE PLANEACION"/>
    <s v="09 SECRETARIA DE PLANEACION"/>
    <n v="2021130010271"/>
    <s v="07. PILAR CARTAGENA RESILIENTE"/>
    <s v="7.7 LÍNEA ESTRATÉGICA INSTRUMENTOS DE ORDENAMIENTO TERRITORIAL."/>
    <s v="7.7.2 ADMINISTRANDO JUNTOS EL CONTROL URBANO"/>
    <s v="2,3,4002,1400,2021130010271"/>
    <s v="813"/>
    <s v="1,3,3,11,03-93-138 R,B, DIVIDENDOS SOCIEDAD PORTUARIA"/>
    <s v="INV"/>
    <s v="NO"/>
    <s v="NORMALIZACION URBANISTICA DE CARTAGENA DE INDIAS"/>
    <s v="2021130010271 NORMALIZACION URBANISTICA DE CARTAGENA DE INDIAS"/>
    <s v="06"/>
    <s v="00"/>
    <n v="0"/>
    <n v="105389633"/>
    <n v="105389633"/>
    <n v="105389633"/>
    <n v="0"/>
    <n v="95000000"/>
    <n v="90.14"/>
    <n v="76000000"/>
    <n v="72.11"/>
    <n v="10389633"/>
    <n v="0"/>
  </r>
  <r>
    <n v="2022"/>
    <n v="100"/>
    <x v="15"/>
    <s v="SECRETARIA DE PLANEACION"/>
    <s v="09 SECRETARIA DE PLANEACION"/>
    <n v="2021130010271"/>
    <s v="07. PILAR CARTAGENA RESILIENTE"/>
    <s v="7.7 LÍNEA ESTRATÉGICA INSTRUMENTOS DE ORDENAMIENTO TERRITORIAL."/>
    <s v="7.7.2 ADMINISTRANDO JUNTOS EL CONTROL URBANO"/>
    <s v="2,3,4002,1400,2021130010271"/>
    <s v="850"/>
    <s v="1,3,3,3,17-93-124 RB IMPUESTO DE TRANSPORTE POR OLEODUCTOS Y GASODUCTOS"/>
    <s v="INV"/>
    <s v="NO"/>
    <s v="NORMALIZACION URBANISTICA DE CARTAGENA DE INDIAS"/>
    <s v="2021130010271 NORMALIZACION URBANISTICA DE CARTAGENA DE INDIAS"/>
    <s v="06"/>
    <s v="00"/>
    <n v="0"/>
    <n v="0.72"/>
    <n v="0.72"/>
    <n v="0"/>
    <n v="0.72"/>
    <n v="0"/>
    <n v="0"/>
    <n v="0"/>
    <n v="0"/>
    <n v="0.72"/>
    <n v="0"/>
  </r>
  <r>
    <n v="2022"/>
    <n v="100"/>
    <x v="15"/>
    <s v="SECRETARIA DE PLANEACION"/>
    <s v="09 SECRETARIA DE PLANEACION"/>
    <n v="2021130010271"/>
    <s v="07. PILAR CARTAGENA RESILIENTE"/>
    <s v="7.7 LÍNEA ESTRATÉGICA INSTRUMENTOS DE ORDENAMIENTO TERRITORIAL."/>
    <s v="7.7.2 ADMINISTRANDO JUNTOS EL CONTROL URBANO"/>
    <s v="2,3,4002,1400,2021130010271"/>
    <s v="851"/>
    <s v="1,3,3,3,17-93-126 RB IMPUESTO DE TRANSPORTE POR OLEODUCTOS Y GASODUCTOS"/>
    <s v="INV"/>
    <s v="NO"/>
    <s v="NORMALIZACION URBANISTICA DE CARTAGENA DE INDIAS"/>
    <s v="2021130010271 NORMALIZACION URBANISTICA DE CARTAGENA DE INDIAS"/>
    <s v="06"/>
    <s v="00"/>
    <n v="0"/>
    <n v="0.62"/>
    <n v="0.62"/>
    <n v="0"/>
    <n v="0.62"/>
    <n v="0"/>
    <n v="0"/>
    <n v="0"/>
    <n v="0"/>
    <n v="0.62"/>
    <n v="0"/>
  </r>
  <r>
    <n v="2022"/>
    <n v="100"/>
    <x v="15"/>
    <s v="SECRETARIA DE PLANEACION"/>
    <s v="09 SECRETARIA DE PLANEACION"/>
    <n v="2021130010271"/>
    <s v="07. PILAR CARTAGENA RESILIENTE"/>
    <s v="7.7 LÍNEA ESTRATÉGICA INSTRUMENTOS DE ORDENAMIENTO TERRITORIAL."/>
    <s v="7.7.2 ADMINISTRANDO JUNTOS EL CONTROL URBANO"/>
    <s v="2,3,4002,1400,2021130010271"/>
    <s v="922"/>
    <s v="1,3,3,8,03-95-070 R,B, SGP-PROPOSITO GENERAL-PROPOSITO GENERAL LIBRE INVERSION"/>
    <s v="INV"/>
    <s v="NO"/>
    <s v="NORMALIZACION URBANISTICA DE CARTAGENA DE INDIAS"/>
    <s v="2021130010271 NORMALIZACION URBANISTICA DE CARTAGENA DE INDIAS"/>
    <s v="06"/>
    <s v="00"/>
    <n v="0"/>
    <n v="73146669.659999996"/>
    <n v="73146669.659999996"/>
    <n v="0"/>
    <n v="73146669.659999996"/>
    <n v="0"/>
    <n v="0"/>
    <n v="0"/>
    <n v="0"/>
    <n v="73146669.659999996"/>
    <n v="0"/>
  </r>
  <r>
    <n v="2022"/>
    <n v="100"/>
    <x v="15"/>
    <s v="SECRETARIA DE PLANEACION"/>
    <s v="09 SECRETARIA DE PLANEACION"/>
    <n v="2021130010271"/>
    <s v="07. PILAR CARTAGENA RESILIENTE"/>
    <s v="7.7 LÍNEA ESTRATÉGICA INSTRUMENTOS DE ORDENAMIENTO TERRITORIAL."/>
    <s v="7.7.2 ADMINISTRANDO JUNTOS EL CONTROL URBANO"/>
    <s v="2,3,4002,1400,2021130010271"/>
    <s v="070"/>
    <s v="1,2,4,3,03-070 - SGP LIBRE INVERSION"/>
    <s v="INV"/>
    <s v="NO"/>
    <s v="NORMALIZACION URBANISTICA DE CARTAGENA DE INDIAS"/>
    <s v="2021130010271 NORMALIZACION URBANISTICA DE CARTAGENA DE INDIAS"/>
    <s v="06"/>
    <s v="00"/>
    <n v="631000000"/>
    <n v="-72735679"/>
    <n v="558264321"/>
    <n v="515831618"/>
    <n v="42432703"/>
    <n v="471259600"/>
    <n v="84.42"/>
    <n v="471259600"/>
    <n v="84.42"/>
    <n v="87004721"/>
    <n v="466859600"/>
  </r>
  <r>
    <n v="2022"/>
    <n v="100"/>
    <x v="4"/>
    <s v="DESPACHO DEL ALCALDE"/>
    <s v="01 DESPACHO DEL ALCALDE"/>
    <n v="2021130010272"/>
    <s v="07. PILAR CARTAGENA RESILIENTE"/>
    <s v="7.2 LÍNEA ESTRATÉGICA ESPACIO PÚBLICO, MOVILIDAD Y TRANSPORTE RESILIENTE"/>
    <s v="7.2.3 GENERACIÓN DEL ESPACIO PÚBLICO  "/>
    <s v="2,3,2402,0600,2021130010272"/>
    <s v="001"/>
    <s v="1,2,1,0,00-001 - ICLD"/>
    <s v="INV"/>
    <s v="NO"/>
    <s v="IMPLEMENTACION DEL SISTEMA DISTRITAL DE CICLOINFRAESTRUCTURA  CARTAGENA DE INDIAS"/>
    <s v="2021130010272 IMPLEMENTACION DEL SISTEMA DISTRITAL DE CICLOINFRAESTRUCTURA  CARTAGENA DE INDIAS"/>
    <s v="06"/>
    <s v="00"/>
    <n v="4905727078"/>
    <n v="-4905727078"/>
    <n v="0"/>
    <n v="0"/>
    <n v="0"/>
    <n v="0"/>
    <n v="0"/>
    <n v="0"/>
    <n v="0"/>
    <n v="0"/>
    <n v="0"/>
  </r>
  <r>
    <n v="2022"/>
    <n v="100"/>
    <x v="14"/>
    <s v="SECRETARIA DE HACIENDA PUBLICA"/>
    <s v="03 SECRETARIA DE HACIENDA PUBLICA"/>
    <n v="2021130010274"/>
    <s v="10. PILAR: CARTAGENA TRANSPARENTE"/>
    <s v="10.8 LÍNEA ESTRATÉGICA: FINANZAS PÚBLICAS PARA SALVAR A CARTAGENA"/>
    <s v="10.8.2 PROGRAMA: SANEAMIENTO FISCAL Y FINANCIERO"/>
    <s v="2,3,4599,1000,2021130010274"/>
    <s v="804"/>
    <s v="1,3,1,1,11-001 - REINTEGRO ICLD"/>
    <s v="INV"/>
    <s v="NO"/>
    <s v="IMPLEMENTACION DEL PLAN DE SANEAMIENTO FISCAL Y FINANCIERO DEL DISTRITO DE CARTAGENA DE INDIAS"/>
    <s v="2021130010274 IMPLEMENTACION DEL PLAN DE SANEAMIENTO FISCAL Y FINANCIERO DEL DISTRITO DE CARTAGENA DE INDIAS"/>
    <s v="06"/>
    <s v="00"/>
    <n v="0"/>
    <n v="8609950282"/>
    <n v="8609950282"/>
    <n v="8609950282"/>
    <n v="0"/>
    <n v="8609950282"/>
    <n v="100"/>
    <n v="8395771931.9700003"/>
    <n v="97.51"/>
    <n v="0"/>
    <n v="6314856432.0900002"/>
  </r>
  <r>
    <n v="2022"/>
    <n v="100"/>
    <x v="14"/>
    <s v="SECRETARIA DE HACIENDA PUBLICA"/>
    <s v="03 SECRETARIA DE HACIENDA PUBLICA"/>
    <n v="2021130010274"/>
    <s v="10. PILAR: CARTAGENA TRANSPARENTE"/>
    <s v="10.8 LÍNEA ESTRATÉGICA: FINANZAS PÚBLICAS PARA SALVAR A CARTAGENA"/>
    <s v="10.8.2 PROGRAMA: SANEAMIENTO FISCAL Y FINANCIERO"/>
    <s v="2,3,4599,1000,2021130010274"/>
    <s v="001"/>
    <s v="1,2,1,0,00-001 - ICLD"/>
    <s v="INV"/>
    <s v="NO"/>
    <s v="IMPLEMENTACION DEL PLAN DE SANEAMIENTO FISCAL Y FINANCIERO DEL DISTRITO DE CARTAGENA DE INDIAS"/>
    <s v="2021130010274 IMPLEMENTACION DEL PLAN DE SANEAMIENTO FISCAL Y FINANCIERO DEL DISTRITO DE CARTAGENA DE INDIAS"/>
    <s v="06"/>
    <s v="00"/>
    <n v="20000000000"/>
    <n v="0"/>
    <n v="20000000000"/>
    <n v="20000000000"/>
    <n v="0"/>
    <n v="19998588824"/>
    <n v="99.99"/>
    <n v="19233479591.959999"/>
    <n v="96.17"/>
    <n v="1411176"/>
    <n v="4792737"/>
  </r>
  <r>
    <n v="2022"/>
    <n v="100"/>
    <x v="3"/>
    <s v="SECRETARIA DEL INTERIOR Y CONVIVENCIA CIUDADANAL"/>
    <s v="02 SECRETARIA DEL INTERIOR Y CONVIVENCIA CIUDADANAL"/>
    <n v="2021130010275"/>
    <s v="10. PILAR: CARTAGENA TRANSPARENTE"/>
    <s v="10.3 LÍNEA ESTRATÉGICA: CONVIVENCIA Y SEGURIDAD PARA LA GOBERNABILIDAD"/>
    <s v="10.3.7 PROGRAMA:  FORTALECIMIENTO SISTEMA DE RESPONSABILIDAD PENAL PARA ADOLESCENTES –SRPA"/>
    <s v="2,3,4102,1000,2021130010275"/>
    <s v="001"/>
    <s v="1,2,1,0,00-001 - ICLD"/>
    <s v="INV"/>
    <s v="NO"/>
    <s v="FORTALECIMIENTO DEL SISTEMA DE RESPONSABILIDAD PENAL PARA ADOLESCENTES- SRPA EN EL CARTAGENA DE INDIAS"/>
    <s v="2021130010275 FORTALECIMIENTO DEL SISTEMA DE RESPONSABILIDAD PENAL PARA ADOLESCENTES- SRPA EN EL CARTAGENA DE INDIAS"/>
    <s v="06"/>
    <s v="00"/>
    <n v="213729577"/>
    <n v="0"/>
    <n v="213729577"/>
    <n v="213729500"/>
    <n v="77"/>
    <n v="213729500"/>
    <n v="100"/>
    <n v="213729500"/>
    <n v="100"/>
    <n v="77"/>
    <n v="213729500"/>
  </r>
  <r>
    <n v="2022"/>
    <n v="100"/>
    <x v="3"/>
    <s v="SECRETARIA DEL INTERIOR Y CONVIVENCIA CIUDADANAL"/>
    <s v="02 SECRETARIA DEL INTERIOR Y CONVIVENCIA CIUDADANAL"/>
    <n v="2021130010276"/>
    <s v="11. EJE TRANSVERSAL: CARTAGENA CON ATENCION Y GARANTIA DE DERECHOS A POBLACION DIFERENCIAL."/>
    <s v="11.1 LÍNEA ESTRATÉGICA PARA LA EQUIDAD E INCLUSIÓN DE LOS NEGROS, AFROS, PALENQUEROS E INDÍGENA."/>
    <s v="11.1.10 PROGRAMA: INTEGRIDAD CULTURAL, GOBIERNO PROPIO, VIVIENDA Y HÁBITAT PARA LAS COMUNIDADES INDÍGENAS EN EL DISTRITO CARTAGENA"/>
    <s v="2,3,4502,1000,2021130010276"/>
    <s v="816"/>
    <s v="1,3,3,11,03-95-138 R,B, DIVIDENDOS SOCIEDAD PORTUARIA"/>
    <s v="INV"/>
    <s v="NO"/>
    <s v="IMPLEMENTACION DE LA JURISDICCION ESPECIAL INDIGENA- JEI EN EL DISTRITO DE CARTAGENA DE INDIAS"/>
    <s v="2021130010276 IMPLEMENTACION DE LA JURISDICCION ESPECIAL INDIGENA- JEI EN EL DISTRITO DE CARTAGENA DE INDIAS"/>
    <s v="06"/>
    <s v="00"/>
    <n v="0"/>
    <n v="0"/>
    <n v="0"/>
    <n v="0"/>
    <n v="0"/>
    <n v="0"/>
    <n v="0"/>
    <n v="0"/>
    <n v="0"/>
    <n v="0"/>
    <n v="0"/>
  </r>
  <r>
    <n v="2022"/>
    <n v="100"/>
    <x v="3"/>
    <s v="SECRETARIA DEL INTERIOR Y CONVIVENCIA CIUDADANAL"/>
    <s v="02 SECRETARIA DEL INTERIOR Y CONVIVENCIA CIUDADANAL"/>
    <n v="2021130010276"/>
    <s v="11. EJE TRANSVERSAL: CARTAGENA CON ATENCION Y GARANTIA DE DERECHOS A POBLACION DIFERENCIAL."/>
    <s v="11.1 LÍNEA ESTRATÉGICA PARA LA EQUIDAD E INCLUSIÓN DE LOS NEGROS, AFROS, PALENQUEROS E INDÍGENA."/>
    <s v="11.1.10 PROGRAMA: INTEGRIDAD CULTURAL, GOBIERNO PROPIO, VIVIENDA Y HÁBITAT PARA LAS COMUNIDADES INDÍGENAS EN EL DISTRITO CARTAGENA"/>
    <s v="2,3,4502,1000,2021130010276"/>
    <s v="001"/>
    <s v="1,2,1,0,00-001 - ICLD"/>
    <s v="INV"/>
    <s v="NO"/>
    <s v="IMPLEMENTACION DE LA JURISDICCION ESPECIAL INDIGENA- JEI EN EL DISTRITO DE CARTAGENA DE INDIAS"/>
    <s v="2021130010276 IMPLEMENTACION DE LA JURISDICCION ESPECIAL INDIGENA- JEI EN EL DISTRITO DE CARTAGENA DE INDIAS"/>
    <s v="06"/>
    <s v="00"/>
    <n v="57430985"/>
    <n v="0"/>
    <n v="57430985"/>
    <n v="57420000"/>
    <n v="10985"/>
    <n v="57420000"/>
    <n v="99.98"/>
    <n v="0"/>
    <n v="0"/>
    <n v="10985"/>
    <n v="0"/>
  </r>
  <r>
    <n v="2022"/>
    <n v="100"/>
    <x v="13"/>
    <s v="SECRETARIA GENERAL"/>
    <s v="05 SECRETARIA GENERAL"/>
    <n v="2021130010278"/>
    <s v="09. PILAR CARTAGENA CONTINGENTE"/>
    <s v="9.3 LÍNEA ESTRATÉGICA: TURISMO, MOTOR DE REACTIVACIÓN ECONÓMICA PARA CARTAGENA DE INDIAS"/>
    <s v="9.3.1 PROGRAMA: PROMOCIÓN NACIONAL E INTERNACIONAL DE CARTAGENA DE INDIAS"/>
    <s v="2,3,3502,0200,2021130010278"/>
    <s v="001"/>
    <s v="1,2,1,0,00-001 - ICLD"/>
    <s v="INV"/>
    <s v="NO"/>
    <s v="IMPLEMENTACION DEL PROYECTO CARTAGENA XVI FESTIVAL DE MUSICA CARTAGENA DE INDIAS"/>
    <s v="2021130010278 IMPLEMENTACION DEL PROYECTO CARTAGENA XVI FESTIVAL DE MUSICA CARTAGENA DE INDIAS"/>
    <s v="06"/>
    <s v="00"/>
    <n v="51300000"/>
    <n v="-51300000"/>
    <n v="0"/>
    <n v="0"/>
    <n v="0"/>
    <n v="0"/>
    <n v="0"/>
    <n v="0"/>
    <n v="0"/>
    <n v="0"/>
    <n v="0"/>
  </r>
  <r>
    <n v="2022"/>
    <n v="100"/>
    <x v="19"/>
    <s v="DISTRISEGURIDAD"/>
    <s v="22 DISTRISEGURIDAD"/>
    <n v="2021130010279"/>
    <s v="10. PILAR: CARTAGENA TRANSPARENTE"/>
    <s v="10.3 LÍNEA ESTRATÉGICA: CONVIVENCIA Y SEGURIDAD PARA LA GOBERNABILIDAD"/>
    <s v="10.3.10 PROGRAMA: VIGILANCIA DE LAS PLAYAS DEL DISTRITO DE CARTAGENA"/>
    <s v="2,3,4501,1000,2021130010279"/>
    <s v="940"/>
    <s v="1,3,3,4,21-95-084 - RB RENDIMIENTOS FINANCIEROS DISTRISEGURIDAD"/>
    <s v="INV"/>
    <s v="NO"/>
    <s v="IMPLEMENTACION DEL PROGRAMA VIGILANCIA DE LAS PLAYAS DEL DISTRITO DE CARTAGENA DE INDIAS"/>
    <s v="2021130010279 IMPLEMENTACION DEL PROGRAMA VIGILANCIA DE LAS PLAYAS DEL DISTRITO DE CARTAGENA DE INDIAS"/>
    <s v="06"/>
    <s v="00"/>
    <n v="0"/>
    <n v="13602141"/>
    <n v="13602141"/>
    <n v="0"/>
    <n v="13602141"/>
    <n v="0"/>
    <n v="0"/>
    <n v="0"/>
    <n v="0"/>
    <n v="13602141"/>
    <n v="0"/>
  </r>
  <r>
    <n v="2022"/>
    <n v="100"/>
    <x v="19"/>
    <s v="DISTRISEGURIDAD"/>
    <s v="22 DISTRISEGURIDAD"/>
    <n v="2021130010279"/>
    <s v="10. PILAR: CARTAGENA TRANSPARENTE"/>
    <s v="10.3 LÍNEA ESTRATÉGICA: CONVIVENCIA Y SEGURIDAD PARA LA GOBERNABILIDAD"/>
    <s v="10.3.10 PROGRAMA: VIGILANCIA DE LAS PLAYAS DEL DISTRITO DE CARTAGENA"/>
    <s v="2,3,4501,1000,2021130010279"/>
    <s v="840"/>
    <s v="1,3,3,2,00-95-083 RB  ICDE DISTRISEGURIDAD 10% DELINEACION URBANA"/>
    <s v="INV"/>
    <s v="NO"/>
    <s v="IMPLEMENTACION DEL PROGRAMA VIGILANCIA DE LAS PLAYAS DEL DISTRITO DE CARTAGENA DE INDIAS"/>
    <s v="2021130010279 IMPLEMENTACION DEL PROGRAMA VIGILANCIA DE LAS PLAYAS DEL DISTRITO DE CARTAGENA DE INDIAS"/>
    <s v="06"/>
    <s v="00"/>
    <n v="0"/>
    <n v="332551035"/>
    <n v="332551035"/>
    <n v="0"/>
    <n v="332551035"/>
    <n v="0"/>
    <n v="0"/>
    <n v="0"/>
    <n v="0"/>
    <n v="332551035"/>
    <n v="0"/>
  </r>
  <r>
    <n v="2022"/>
    <n v="100"/>
    <x v="19"/>
    <s v="DISTRISEGURIDAD"/>
    <s v="22 DISTRISEGURIDAD"/>
    <n v="2021130010279"/>
    <s v="10. PILAR: CARTAGENA TRANSPARENTE"/>
    <s v="10.3 LÍNEA ESTRATÉGICA: CONVIVENCIA Y SEGURIDAD PARA LA GOBERNABILIDAD"/>
    <s v="10.3.10 PROGRAMA: VIGILANCIA DE LAS PLAYAS DEL DISTRITO DE CARTAGENA"/>
    <s v="2,3,4501,1000,2021130010279"/>
    <s v="838"/>
    <s v="1,3,3,2,00-95-051 RB ICDE DISTRISEGURIDAD 1% IPU"/>
    <s v="INV"/>
    <s v="NO"/>
    <s v="IMPLEMENTACION DEL PROGRAMA VIGILANCIA DE LAS PLAYAS DEL DISTRITO DE CARTAGENA DE INDIAS"/>
    <s v="2021130010279 IMPLEMENTACION DEL PROGRAMA VIGILANCIA DE LAS PLAYAS DEL DISTRITO DE CARTAGENA DE INDIAS"/>
    <s v="06"/>
    <s v="00"/>
    <n v="0"/>
    <n v="68793476.879999995"/>
    <n v="68793476.879999995"/>
    <n v="68793476"/>
    <n v="0.88"/>
    <n v="68793476"/>
    <n v="100"/>
    <n v="68793476"/>
    <n v="100"/>
    <n v="0.88"/>
    <n v="0"/>
  </r>
  <r>
    <n v="2022"/>
    <n v="100"/>
    <x v="19"/>
    <s v="DISTRISEGURIDAD"/>
    <s v="22 DISTRISEGURIDAD"/>
    <n v="2021130010279"/>
    <s v="10. PILAR: CARTAGENA TRANSPARENTE"/>
    <s v="10.3 LÍNEA ESTRATÉGICA: CONVIVENCIA Y SEGURIDAD PARA LA GOBERNABILIDAD"/>
    <s v="10.3.10 PROGRAMA: VIGILANCIA DE LAS PLAYAS DEL DISTRITO DE CARTAGENA"/>
    <s v="2,3,4501,1000,2021130010279"/>
    <s v="832"/>
    <s v="1,3,3,2,00-93-083 RB  ICDE DISTRISEGURIDAD 10% DELINEACION URBANA"/>
    <s v="INV"/>
    <s v="NO"/>
    <s v="IMPLEMENTACION DEL PROGRAMA VIGILANCIA DE LAS PLAYAS DEL DISTRITO DE CARTAGENA DE INDIAS"/>
    <s v="2021130010279 IMPLEMENTACION DEL PROGRAMA VIGILANCIA DE LAS PLAYAS DEL DISTRITO DE CARTAGENA DE INDIAS"/>
    <s v="06"/>
    <s v="00"/>
    <n v="0"/>
    <n v="283745623"/>
    <n v="283745623"/>
    <n v="283745623"/>
    <n v="0"/>
    <n v="283745623"/>
    <n v="100"/>
    <n v="283745623"/>
    <n v="100"/>
    <n v="0"/>
    <n v="283745623"/>
  </r>
  <r>
    <n v="2022"/>
    <n v="100"/>
    <x v="19"/>
    <s v="DISTRISEGURIDAD"/>
    <s v="22 DISTRISEGURIDAD"/>
    <n v="2021130010279"/>
    <s v="10. PILAR: CARTAGENA TRANSPARENTE"/>
    <s v="10.3 LÍNEA ESTRATÉGICA: CONVIVENCIA Y SEGURIDAD PARA LA GOBERNABILIDAD"/>
    <s v="10.3.10 PROGRAMA: VIGILANCIA DE LAS PLAYAS DEL DISTRITO DE CARTAGENA"/>
    <s v="2,3,4501,1000,2021130010279"/>
    <s v="076"/>
    <s v="1,2,2,0,00-076 - ICDE IMPUESTO A LA TELEFONIA BASICA CONMUTADA"/>
    <s v="INV"/>
    <s v="NO"/>
    <s v="IMPLEMENTACION DEL PROGRAMA VIGILANCIA DE LAS PLAYAS DEL DISTRITO DE  CARTAGENA DE INDIAS"/>
    <s v="2021130010279 IMPLEMENTACION DEL PROGRAMA VIGILANCIA DE LAS PLAYAS DEL DISTRITO DE  CARTAGENA DE INDIAS"/>
    <s v="06"/>
    <s v="00"/>
    <n v="1444666499"/>
    <n v="0"/>
    <n v="1444666499"/>
    <n v="0"/>
    <n v="1444666499"/>
    <n v="0"/>
    <n v="0"/>
    <n v="0"/>
    <n v="0"/>
    <n v="1444666499"/>
    <n v="0"/>
  </r>
  <r>
    <n v="2022"/>
    <n v="100"/>
    <x v="14"/>
    <s v="SECRETARIA DE HACIENDA PUBLICA"/>
    <s v="03 SECRETARIA DE HACIENDA PUBLICA"/>
    <n v="2021130010280"/>
    <s v="09. PILAR CARTAGENA CONTINGENTE"/>
    <s v="9.1 LÍNEA ESTRATÉGICA: DESARROLLO ECONÓMICO Y EMPLEABILIDAD"/>
    <s v="9.1.3 PROGRAMA: &quot;EMPLEO INCLUSIVO PARA LOS JÓVENES”"/>
    <s v="2,3,4103,1500,2021130010280"/>
    <s v="813"/>
    <s v="1,3,3,11,03-93-138 R,B, DIVIDENDOS SOCIEDAD PORTUARIA"/>
    <s v="INV"/>
    <s v="NO"/>
    <s v="IDENTIFICACION Y CREACION DE INICIATIVAS PRODUCTIVAS ADAPTADAS A LAS CONDICIONES DE CRISIS SANITARIAS SOCIALES Y AMBIENTALES EN POBLACION JOVEN DEL DISTRITO DE CARTAGENA DE INDIAS"/>
    <s v="2021130010280 IDENTIFICACION Y CREACION DE INICIATIVAS PRODUCTIVAS ADAPTADAS A LAS CONDICIONES DE CRISIS SANITARIAS SOCIALES Y AMBIENTALES EN POBLACION JOVEN DEL DISTRITO DE CARTAGENA DE INDIAS"/>
    <s v="06"/>
    <s v="00"/>
    <n v="0"/>
    <n v="300000000"/>
    <n v="300000000"/>
    <n v="300000000"/>
    <n v="0"/>
    <n v="0"/>
    <n v="0"/>
    <n v="0"/>
    <n v="0"/>
    <n v="300000000"/>
    <n v="0"/>
  </r>
  <r>
    <n v="2022"/>
    <n v="100"/>
    <x v="14"/>
    <s v="SECRETARIA DE HACIENDA PUBLICA"/>
    <s v="03 SECRETARIA DE HACIENDA PUBLICA"/>
    <n v="2021130010280"/>
    <s v="09. PILAR CARTAGENA CONTINGENTE"/>
    <s v="9.1 LÍNEA ESTRATÉGICA: DESARROLLO ECONÓMICO Y EMPLEABILIDAD"/>
    <s v="9.1.3 PROGRAMA: &quot;EMPLEO INCLUSIVO PARA LOS JÓVENES”"/>
    <s v="2,3,4103,1500,2021130010280"/>
    <s v="001"/>
    <s v="1,2,1,0,00-001 - ICLD"/>
    <s v="INV"/>
    <s v="NO"/>
    <s v="IDENTIFICACION Y CREACION DE INICIATIVAS PRODUCTIVAS ADAPTADAS A LAS CONDICIONES DE CRISIS SANITARIAS SOCIALES Y AMBIENTALES EN POBLACION JOVEN DEL DISTRITO DE CARTAGENA DE INDIAS"/>
    <s v="2021130010280 IDENTIFICACION Y CREACION DE INICIATIVAS PRODUCTIVAS ADAPTADAS A LAS CONDICIONES DE CRISIS SANITARIAS SOCIALES Y AMBIENTALES EN POBLACION JOVEN DEL DISTRITO DE CARTAGENA DE INDIAS"/>
    <s v="06"/>
    <s v="00"/>
    <n v="102872690"/>
    <n v="0"/>
    <n v="102872690"/>
    <n v="102872690"/>
    <n v="0"/>
    <n v="0"/>
    <n v="0"/>
    <n v="0"/>
    <n v="0"/>
    <n v="102872690"/>
    <n v="0"/>
  </r>
  <r>
    <n v="2022"/>
    <n v="100"/>
    <x v="14"/>
    <s v="SECRETARIA DE HACIENDA PUBLICA"/>
    <s v="03 SECRETARIA DE HACIENDA PUBLICA"/>
    <n v="2021130010281"/>
    <s v="11. EJE TRANSVERSAL: CARTAGENA CON ATENCION Y GARANTIA DE DERECHOS A POBLACION DIFERENCIAL."/>
    <s v="11.1 LÍNEA ESTRATÉGICA PARA LA EQUIDAD E INCLUSIÓN DE LOS NEGROS, AFROS, PALENQUEROS E INDÍGENA."/>
    <s v="11.1.7 PROGRAMA: FORTALECIMIENTO DE LA POBLACIÓN INDÍGENA EN EL DISTRITO DE CARTAGENA."/>
    <s v="2,3,4103,1500,2021130010281"/>
    <s v="816"/>
    <s v="1,3,3,11,03-95-138 R,B, DIVIDENDOS SOCIEDAD PORTUARIA"/>
    <s v="INV"/>
    <s v="NO"/>
    <s v="FORTALECIMIENTO DE LAS ESTRATEGIAS PARA LA GENERACION DE INGRESOS DE LA POBLACION INDIGENA EN EL DISTRITO DE CARTAGENA,"/>
    <s v="2021130010281 FORTALECIMIENTO DE LAS ESTRATEGIAS PARA LA GENERACION DE INGRESOS DE LA POBLACION INDIGENA EN EL DISTRITO DE CARTAGENA,"/>
    <s v="06"/>
    <s v="00"/>
    <n v="0"/>
    <n v="200000000"/>
    <n v="200000000"/>
    <n v="95000000"/>
    <n v="105000000"/>
    <n v="86450000"/>
    <n v="43.23"/>
    <n v="43225000"/>
    <n v="21.61"/>
    <n v="113550000"/>
    <n v="0"/>
  </r>
  <r>
    <n v="2022"/>
    <n v="100"/>
    <x v="14"/>
    <s v="SECRETARIA DE HACIENDA PUBLICA"/>
    <s v="03 SECRETARIA DE HACIENDA PUBLICA"/>
    <n v="2021130010281"/>
    <s v="11. EJE TRANSVERSAL: CARTAGENA CON ATENCION Y GARANTIA DE DERECHOS A POBLACION DIFERENCIAL."/>
    <s v="11.1 LÍNEA ESTRATÉGICA PARA LA EQUIDAD E INCLUSIÓN DE LOS NEGROS, AFROS, PALENQUEROS E INDÍGENA."/>
    <s v="11.1.7 PROGRAMA: FORTALECIMIENTO DE LA POBLACIÓN INDÍGENA EN EL DISTRITO DE CARTAGENA."/>
    <s v="2,3,4103,1500,2021130010281"/>
    <s v="001"/>
    <s v="1,2,1,0,00-001 - ICLD"/>
    <s v="INV"/>
    <s v="NO"/>
    <s v="FORTALECIMIENTO DE LAS ESTRATEGIAS PARA LA GENERACION DE INGRESOS DE LA POBLACION INDIGENA EN EL DISTRITO DE CARTAGENA,"/>
    <s v="2021130010281 FORTALECIMIENTO DE LAS ESTRATEGIAS PARA LA GENERACION DE INGRESOS DE LA POBLACION INDIGENA EN EL DISTRITO DE CARTAGENA,"/>
    <s v="06"/>
    <s v="00"/>
    <n v="100000000"/>
    <n v="0"/>
    <n v="100000000"/>
    <n v="57647120"/>
    <n v="42352880"/>
    <n v="41447120"/>
    <n v="41.45"/>
    <n v="41447120"/>
    <n v="41.45"/>
    <n v="58552880"/>
    <n v="41447120"/>
  </r>
  <r>
    <n v="2022"/>
    <n v="100"/>
    <x v="14"/>
    <s v="SECRETARIA DE HACIENDA PUBLICA"/>
    <s v="03 SECRETARIA DE HACIENDA PUBLICA"/>
    <n v="2021130010282"/>
    <s v="11. EJE TRANSVERSAL: CARTAGENA CON ATENCION Y GARANTIA DE DERECHOS A POBLACION DIFERENCIAL."/>
    <s v="11.1 LÍNEA ESTRATÉGICA PARA LA EQUIDAD E INCLUSIÓN DE LOS NEGROS, AFROS, PALENQUEROS E INDÍGENA."/>
    <s v="11.1.2 FORTALECIMIENTO E INCLUSIÓN PRODUCTIVA PARA POBLACIÓN NEGRA, AFROCOLOMBIANA, RAIZAL Y PALENQUERA EN EL DISTRITO DE CARTAGENA"/>
    <s v="2,3,4103,1500,2021130010282"/>
    <s v="816"/>
    <s v="1,3,3,11,03-95-138 R,B, DIVIDENDOS SOCIEDAD PORTUARIA"/>
    <s v="INV"/>
    <s v="NO"/>
    <s v="FORTALECIMIENTO DE LAS ESTRATEGIAS DE INCLUSION PRODUCTIVA PARA POBLACION NEGRA, AFROCOLOMBIANA, RAIZAL Y PALENQUERA EN EL DISTRITO DE CARTAGENA "/>
    <s v="2021130010282 FORTALECIMIENTO DE LAS ESTRATEGIAS DE INCLUSION PRODUCTIVA PARA POBLACION NEGRA, AFROCOLOMBIANA, RAIZAL Y PALENQUERA EN EL DISTRITO DE CARTAGENA "/>
    <s v="06"/>
    <s v="00"/>
    <n v="0"/>
    <n v="300000000"/>
    <n v="300000000"/>
    <n v="9000000"/>
    <n v="291000000"/>
    <n v="0"/>
    <n v="0"/>
    <n v="0"/>
    <n v="0"/>
    <n v="300000000"/>
    <n v="0"/>
  </r>
  <r>
    <n v="2022"/>
    <n v="100"/>
    <x v="14"/>
    <s v="SECRETARIA DE HACIENDA PUBLICA"/>
    <s v="03 SECRETARIA DE HACIENDA PUBLICA"/>
    <n v="2021130010282"/>
    <s v="11. EJE TRANSVERSAL: CARTAGENA CON ATENCION Y GARANTIA DE DERECHOS A POBLACION DIFERENCIAL."/>
    <s v="11.1 LÍNEA ESTRATÉGICA PARA LA EQUIDAD E INCLUSIÓN DE LOS NEGROS, AFROS, PALENQUEROS E INDÍGENA."/>
    <s v="11.1.2 FORTALECIMIENTO E INCLUSIÓN PRODUCTIVA PARA POBLACIÓN NEGRA, AFROCOLOMBIANA, RAIZAL Y PALENQUERA EN EL DISTRITO DE CARTAGENA"/>
    <s v="2,3,4103,1500,2021130010282"/>
    <s v="001"/>
    <s v="1,2,1,0,00-001 - ICLD"/>
    <s v="INV"/>
    <s v="NO"/>
    <s v="FORTALECIMIENTO DE LAS ESTRATEGIAS DE INCLUSION PRODUCTIVA PARA POBLACION NEGRA, AFROCOLOMBIANA, RAIZAL Y PALENQUERA EN EL DISTRITO DE CARTAGENA "/>
    <s v="2021130010282 FORTALECIMIENTO DE LAS ESTRATEGIAS DE INCLUSION PRODUCTIVA PARA POBLACION NEGRA, AFROCOLOMBIANA, RAIZAL Y PALENQUERA EN EL DISTRITO DE CARTAGENA "/>
    <s v="06"/>
    <s v="00"/>
    <n v="400000000"/>
    <n v="0"/>
    <n v="400000000"/>
    <n v="400000000"/>
    <n v="0"/>
    <n v="0"/>
    <n v="0"/>
    <n v="0"/>
    <n v="0"/>
    <n v="400000000"/>
    <n v="0"/>
  </r>
  <r>
    <n v="2022"/>
    <n v="100"/>
    <x v="3"/>
    <s v="SECRETARIA DEL INTERIOR Y CONVIVENCIA CIUDADANAL"/>
    <s v="02 SECRETARIA DEL INTERIOR Y CONVIVENCIA CIUDADANAL"/>
    <n v="2021130010283"/>
    <s v="10. PILAR: CARTAGENA TRANSPARENTE"/>
    <s v="10.3 LÍNEA ESTRATÉGICA: CONVIVENCIA Y SEGURIDAD PARA LA GOBERNABILIDAD"/>
    <s v="10.3.1 PLAN INTEGRAL DE SEGURIDAD Y CONVIVENCIA CIUDADANA"/>
    <s v="2,3,4501,1000,2021130010283"/>
    <s v="856"/>
    <s v="1,3,3,4,01-95-040  RB CONTRIBUCION SOBRE CONTRATOS DE OBRA PUBLICA"/>
    <s v="INV"/>
    <s v="NO"/>
    <s v="FORTALECIMIENTO DE LAS CAPACIDADES TECNOLOGICAS Y OPERATIVAS DE LA UNIDAD ADMINISTRATIVA ESPECIAL MIGRACION COLOMBIA EN EL DISTRITO DE   CARTAGENA DE INDIAS"/>
    <s v="2021130010283 FORTALECIMIENTO DE LAS CAPACIDADES TECNOLOGICAS Y OPERATIVAS DE LA UNIDAD ADMINISTRATIVA ESPECIAL MIGRACION COLOMBIA EN EL DISTRITO DE   CARTAGENA DE INDIAS"/>
    <s v="06"/>
    <s v="00"/>
    <n v="0"/>
    <n v="1021123073.04"/>
    <n v="1021123073.04"/>
    <n v="960989437.38"/>
    <n v="60133635.659999996"/>
    <n v="706014392.38999999"/>
    <n v="69.14"/>
    <n v="605642783.30999994"/>
    <n v="59.31"/>
    <n v="315108680.64999998"/>
    <n v="1424653.06"/>
  </r>
  <r>
    <n v="2022"/>
    <n v="100"/>
    <x v="3"/>
    <s v="SECRETARIA DEL INTERIOR Y CONVIVENCIA CIUDADANAL"/>
    <s v="02 SECRETARIA DEL INTERIOR Y CONVIVENCIA CIUDADANAL"/>
    <n v="2021130010283"/>
    <s v="10. PILAR: CARTAGENA TRANSPARENTE"/>
    <s v="10.3 LÍNEA ESTRATÉGICA: CONVIVENCIA Y SEGURIDAD PARA LA GOBERNABILIDAD"/>
    <s v="10.3.1 PLAN INTEGRAL DE SEGURIDAD Y CONVIVENCIA CIUDADANA"/>
    <s v="2,3,4501,1000,2021130010283"/>
    <s v="040"/>
    <s v="1,2,3,2,01-040 - CONTRIBUCION SOBRE CONTRATOS DE OBRA PUBLICA"/>
    <s v="INV"/>
    <s v="NO"/>
    <s v="FORTALECIMIENTO DE LAS CAPACIDADES TECNOLOGICAS Y OPERATIVAS DE LA UNIDAD ADMINISTRATIVA ESPECIAL MIGRACION COLOMBIA EN EL DISTRITO DE   CARTAGENA DE INDIAS"/>
    <s v="2021130010283 FORTALECIMIENTO DE LAS CAPACIDADES TECNOLOGICAS Y OPERATIVAS DE LA UNIDAD ADMINISTRATIVA ESPECIAL MIGRACION COLOMBIA EN EL DISTRITO DE   CARTAGENA DE INDIAS"/>
    <s v="06"/>
    <s v="00"/>
    <n v="1021476709"/>
    <n v="0"/>
    <n v="1021476709"/>
    <n v="0"/>
    <n v="1021476709"/>
    <n v="0"/>
    <n v="0"/>
    <n v="0"/>
    <n v="0"/>
    <n v="1021476709"/>
    <n v="0"/>
  </r>
  <r>
    <n v="2022"/>
    <n v="100"/>
    <x v="13"/>
    <s v="SECRETARIA GENERAL"/>
    <s v="05 SECRETARIA GENERAL"/>
    <n v="2021130010284"/>
    <s v="10. PILAR: CARTAGENA TRANSPARENTE"/>
    <s v="10.2 LÍNEA ESTRATÉGICA: CARTAGENA INTELIGENTE CON TODOS Y PARA TODOS"/>
    <s v="10.2.4 PROGRAMA: ORGANIZACIÓN Y RECUPERACIÓN DEL PATRIMONIO PÚBLICO DE CARTAGENA "/>
    <s v="2,3,4599,1000,2021130010284"/>
    <s v="001"/>
    <s v="1,2,1,0,00-001 - ICLD"/>
    <s v="INV"/>
    <s v="NO"/>
    <s v="INVENTARIO ?SANEAMIENTO INTEGRAL DEL PATRIMONIO INMOBILIARIO DEL DISTRITO DE CARTAGENA?, CARTAGENA DE INDIAS"/>
    <s v="2021130010284 INVENTARIO ?SANEAMIENTO INTEGRAL DEL PATRIMONIO INMOBILIARIO DEL DISTRITO DE CARTAGENA?, CARTAGENA DE INDIAS"/>
    <s v="06"/>
    <s v="00"/>
    <n v="300000000"/>
    <n v="0"/>
    <n v="300000000"/>
    <n v="259394131"/>
    <n v="40605869"/>
    <n v="232153638.00999999"/>
    <n v="77.38"/>
    <n v="232153638.00999999"/>
    <n v="77.38"/>
    <n v="67846361.989999995"/>
    <n v="214716971.34"/>
  </r>
  <r>
    <n v="2022"/>
    <n v="100"/>
    <x v="13"/>
    <s v="SECRETARIA GENERAL"/>
    <s v="05 SECRETARIA GENERAL"/>
    <n v="2021130010285"/>
    <s v="10. PILAR: CARTAGENA TRANSPARENTE"/>
    <s v="10.1 LÍNEA ESTRATÉGICA GESTIÓN Y DESEMPEÑO INSTITUCIONAL PARA LA GOBERNANZA"/>
    <s v="10.1.2 PROGRAMA: TRANSPARENCIA PARA EL FORTALECIMIENTO DE LA CONFIANZA EN LAS INSTITUCIONES DEL DISTRITO DE CARTAGENA."/>
    <s v="2,3,4502,1000,2021130010285"/>
    <s v="001"/>
    <s v="1,2,1,0,00-001 - ICLD"/>
    <s v="INV"/>
    <s v="NO"/>
    <s v="DISE?O IMPLEMENTACION DE LA ESTRATEGIA DISTRITAL DE TRANSPARENCIA, PREVENCION DE LA CORRUPCION Y CULTURA CIUDADANA ANTICORRUPCION, PARA EL FORTALECIMIENTO DE LA CONFIANZA EN LAS INSTITUCIONES DEL DISTRITO DE CARTAGENA DE INDIAS"/>
    <s v="2021130010285 DISE?O IMPLEMENTACION DE LA ESTRATEGIA DISTRITAL DE TRANSPARENCIA, PREVENCION DE LA CORRUPCION Y CULTURA CIUDADANA ANTICORRUPCION, PARA EL FORTALECIMIENTO DE LA CONFIANZA EN LAS INSTITUCIONES DEL DISTRITO DE CARTAGENA DE INDIAS"/>
    <s v="06"/>
    <s v="00"/>
    <n v="43092000"/>
    <n v="90000000"/>
    <n v="133092000"/>
    <n v="78000000"/>
    <n v="55092000"/>
    <n v="72857100"/>
    <n v="54.74"/>
    <n v="72857100"/>
    <n v="54.74"/>
    <n v="60234900"/>
    <n v="43000000"/>
  </r>
  <r>
    <n v="2022"/>
    <n v="100"/>
    <x v="13"/>
    <s v="SECRETARIA GENERAL"/>
    <s v="05 SECRETARIA GENERAL"/>
    <n v="2021130010286"/>
    <s v="10. PILAR: CARTAGENA TRANSPARENTE"/>
    <s v="10.2 LÍNEA ESTRATÉGICA: CARTAGENA INTELIGENTE CON TODOS Y PARA TODOS"/>
    <s v="10.2.4 PROGRAMA: ORGANIZACIÓN Y RECUPERACIÓN DEL PATRIMONIO PÚBLICO DE CARTAGENA "/>
    <s v="2,3,4599,1000,2021130010286"/>
    <s v="001"/>
    <s v="1,2,1,0,00-001 - ICLD"/>
    <s v="INV"/>
    <s v="NO"/>
    <s v="DISE?O IMPLEMENTACION DE AUDITORIA FORENSE PARA LA PROTECCION Y RECUPERACION DEL PATRIMONIO PUBLICO DE CARTAGENA DE INDIAS"/>
    <s v="2021130010286 DISE?O IMPLEMENTACION DE AUDITORIA FORENSE PARA LA PROTECCION Y RECUPERACION DEL PATRIMONIO PUBLICO DE CARTAGENA DE INDIAS"/>
    <s v="06"/>
    <s v="00"/>
    <n v="300000000"/>
    <n v="-213600000"/>
    <n v="86400000"/>
    <n v="0"/>
    <n v="86400000"/>
    <n v="0"/>
    <n v="0"/>
    <n v="0"/>
    <n v="0"/>
    <n v="86400000"/>
    <n v="0"/>
  </r>
  <r>
    <n v="2022"/>
    <n v="100"/>
    <x v="13"/>
    <s v="SECRETARIA GENERAL"/>
    <s v="05 SECRETARIA GENERAL"/>
    <n v="2021130010287"/>
    <s v="10. PILAR: CARTAGENA TRANSPARENTE"/>
    <s v="10.2 LÍNEA ESTRATÉGICA: CARTAGENA INTELIGENTE CON TODOS Y PARA TODOS"/>
    <s v="10.2.2 PROGRAMA: CARTAGENEROS CONECTADOS Y ALFABETIZADOS"/>
    <s v="2,3,4599,4000,2021130010287"/>
    <s v="001"/>
    <s v="1,2,1,0,00-001 - ICLD"/>
    <s v="INV"/>
    <s v="NO"/>
    <s v="INSTALACION DE ZONAS WIFI EN LA ALCALDIA DISTRITAL DE CARTAGENA DE INDIAS"/>
    <s v="2021130010287 INSTALACION DE ZONAS WIFI EN LA ALCALDIA DISTRITAL DE CARTAGENA DE INDIAS"/>
    <s v="06"/>
    <s v="00"/>
    <n v="384615384"/>
    <n v="0"/>
    <n v="384615384"/>
    <n v="384615384"/>
    <n v="0"/>
    <n v="384147383.75999999"/>
    <n v="99.88"/>
    <n v="266117597"/>
    <n v="69.19"/>
    <n v="468000.24"/>
    <n v="195722484"/>
  </r>
  <r>
    <n v="2022"/>
    <n v="100"/>
    <x v="13"/>
    <s v="SECRETARIA GENERAL"/>
    <s v="05 SECRETARIA GENERAL"/>
    <n v="2021130010288"/>
    <s v="07. PILAR CARTAGENA RESILIENTE"/>
    <s v="7.6 LÍNEA ESTRATÉGICA SERVICIOS PÚBLICOS BÁSICOS DEL DISTRITO DE CARTAGENA DE INDIAS: “TODOS CON TODO”"/>
    <s v="7.6.4 SISTEMA DE INFORMACIÓN DE LOS SERVICIOS PÚBLICOS, “SERVINFO”"/>
    <s v="2,3,4599,1000,2021130010288"/>
    <s v="001"/>
    <s v="1,2,1,0,00-001 - ICLD"/>
    <s v="INV"/>
    <s v="NO"/>
    <s v="DESARROLLO DE UN SISTEMA DE INFORMACION DE LOS SERVICIOS PUBLICOS DEL DISTRITO CARTAGENA DE INDIAS"/>
    <s v="2021130010288 DESARROLLO DE UN SISTEMA DE INFORMACION DE LOS SERVICIOS PUBLICOS DEL DISTRITO CARTAGENA DE INDIAS"/>
    <s v="06"/>
    <s v="00"/>
    <n v="150000000"/>
    <n v="0"/>
    <n v="150000000"/>
    <n v="149300000"/>
    <n v="700000"/>
    <n v="140733333"/>
    <n v="93.82"/>
    <n v="129933333"/>
    <n v="86.62"/>
    <n v="9266667"/>
    <n v="54800000"/>
  </r>
  <r>
    <n v="2022"/>
    <n v="100"/>
    <x v="13"/>
    <s v="SECRETARIA GENERAL"/>
    <s v="05 SECRETARIA GENERAL"/>
    <n v="2021130010289"/>
    <s v="09. PILAR CARTAGENA CONTINGENTE"/>
    <s v="9.3 LÍNEA ESTRATÉGICA: TURISMO, MOTOR DE REACTIVACIÓN ECONÓMICA PARA CARTAGENA DE INDIAS"/>
    <s v="9.3.1 PROGRAMA: PROMOCIÓN NACIONAL E INTERNACIONAL DE CARTAGENA DE INDIAS"/>
    <s v="2,3,3502,1603,2021130010289"/>
    <s v="001"/>
    <s v="1,2,1,0,00-001 - ICLD"/>
    <s v="INV"/>
    <s v="NO"/>
    <s v="APOYO PARA LA IMPLEMENTACION DE HAY FESTIVAL CARTAGENA DE INDIAS DIGITAL EN EL DISTRITO DE CARTAGENA DE INDIAS "/>
    <s v="2021130010289 APOYO PARA LA IMPLEMENTACION DE HAY FESTIVAL CARTAGENA DE INDIAS DIGITAL EN EL DISTRITO DE CARTAGENA DE INDIAS "/>
    <s v="06"/>
    <s v="00"/>
    <n v="25650000"/>
    <n v="-25650000"/>
    <n v="0"/>
    <n v="0"/>
    <n v="0"/>
    <n v="0"/>
    <n v="0"/>
    <n v="0"/>
    <n v="0"/>
    <n v="0"/>
    <n v="0"/>
  </r>
  <r>
    <n v="2022"/>
    <n v="100"/>
    <x v="13"/>
    <s v="SECRETARIA GENERAL"/>
    <s v="05 SECRETARIA GENERAL"/>
    <n v="2021130010290"/>
    <s v="09. PILAR CARTAGENA CONTINGENTE"/>
    <s v="9.1 LÍNEA ESTRATÉGICA: DESARROLLO ECONÓMICO Y EMPLEABILIDAD"/>
    <s v="9.1.9 PROGRAMA: DESARROLLO DEL ECOSISTEMA DIGITAL BASADO EN LA CUARTA REVOLUCION INDUSTRIAL "/>
    <s v="2,3,2399,0400,2021130010290"/>
    <s v="001"/>
    <s v="1,2,1,0,00-001 - ICLD"/>
    <s v="INV"/>
    <s v="NO"/>
    <s v="DESARROLLO DEL ECOSISTEMA DIGITAL BASADO EN LA CUARTA REVOLUCION INDUSTRIAL CARTAGENA DE INDIAS "/>
    <s v="2021130010290 DESARROLLO DEL ECOSISTEMA DIGITAL BASADO EN LA CUARTA REVOLUCION INDUSTRIAL CARTAGENA DE INDIAS "/>
    <s v="06"/>
    <s v="00"/>
    <n v="1"/>
    <n v="0"/>
    <n v="1"/>
    <n v="0"/>
    <n v="1"/>
    <n v="0"/>
    <n v="0"/>
    <n v="0"/>
    <n v="0"/>
    <n v="1"/>
    <n v="0"/>
  </r>
  <r>
    <n v="2022"/>
    <n v="100"/>
    <x v="13"/>
    <s v="SECRETARIA GENERAL"/>
    <s v="05 SECRETARIA GENERAL"/>
    <n v="2021130010292"/>
    <s v="07. PILAR CARTAGENA RESILIENTE"/>
    <s v="7.6 LÍNEA ESTRATÉGICA SERVICIOS PÚBLICOS BÁSICOS DEL DISTRITO DE CARTAGENA DE INDIAS: “TODOS CON TODO”"/>
    <s v="7.6.1 DE AHORRO Y USO EFICIENTE DE LOS SERVICIOS PÚBLICOS, &quot;AGUA Y SANEAMIENTO BÁSICO PARA TODOS&quot;"/>
    <s v="2,3,4003,1400,2021130010292"/>
    <s v="053"/>
    <s v="1,2,3,2,05-053 - OTRAS TASAS Y DERECHOS ADMINISTRATIVOS CONTRAPRESTACION PORTUARIA"/>
    <s v="INV"/>
    <s v="NO"/>
    <s v="DEFINICION E IMPLEMENTACION DEL ESQUEMA DE PRESTACION DE LOS SERVICIOS DE ACUEDUCTO Y ALCANTARILLADO DE LAS COMUNIDADES DE TIERRA BOMBA, ARCHIPIELAGO DE SAN BERNARDO, ISLA FUERTE E ISLA DE BARU,"/>
    <s v="2021130010292 DEFINICION E IMPLEMENTACION DEL ESQUEMA DE PRESTACION DE LOS SERVICIOS DE ACUEDUCTO Y ALCANTARILLADO DE LAS COMUNIDADES DE TIERRA BOMBA, ARCHIPIELAGO DE SAN BERNARDO, ISLA FUERTE E ISLA DE BARU,"/>
    <s v="06"/>
    <s v="00"/>
    <n v="1114827103"/>
    <n v="0"/>
    <n v="1114827103"/>
    <n v="1114827103"/>
    <n v="0"/>
    <n v="1114827103"/>
    <n v="100"/>
    <n v="1114827103"/>
    <n v="100"/>
    <n v="0"/>
    <n v="1114827103"/>
  </r>
  <r>
    <n v="2022"/>
    <n v="100"/>
    <x v="13"/>
    <s v="SECRETARIA GENERAL"/>
    <s v="05 SECRETARIA GENERAL"/>
    <n v="2021130010292"/>
    <s v="07. PILAR CARTAGENA RESILIENTE"/>
    <s v="7.6 LÍNEA ESTRATÉGICA SERVICIOS PÚBLICOS BÁSICOS DEL DISTRITO DE CARTAGENA DE INDIAS: “TODOS CON TODO”"/>
    <s v="7.6.1 DE AHORRO Y USO EFICIENTE DE LOS SERVICIOS PÚBLICOS, &quot;AGUA Y SANEAMIENTO BÁSICO PARA TODOS&quot;"/>
    <s v="2,3,4003,1400,2021130010292"/>
    <s v="001"/>
    <s v="1,2,1,0,00-001 - ICLD"/>
    <s v="INV"/>
    <s v="NO"/>
    <s v="DEFINICION E IMPLEMENTACION DEL ESQUEMA DE PRESTACION DE LOS SERVICIOS  DE ACUEDUCTO Y ALCANTARILLAO DE LAS COMUNIDADES DE TIERRABOMBA, ARCHIPIELAGO DE SAN BERNARDO, ISLA FUERTE E ISLA DE BARU"/>
    <s v="2021130010292 DEFINICION E IMPLEMENTACION DEL ESQUEMA DE PRESTACION DE LOS SERVICIOS  DE ACUEDUCTO Y ALCANTARILLAO DE LAS COMUNIDADES DE TIERRABOMBA, ARCHIPIELAGO DE SAN BERNARDO, ISLA FUERTE E ISLA DE BARU"/>
    <s v="06"/>
    <s v="00"/>
    <n v="0"/>
    <n v="407691530"/>
    <n v="407691530"/>
    <n v="407691530"/>
    <n v="0"/>
    <n v="407691530"/>
    <n v="100"/>
    <n v="0"/>
    <n v="0"/>
    <n v="0"/>
    <n v="0"/>
  </r>
  <r>
    <n v="2022"/>
    <n v="100"/>
    <x v="13"/>
    <s v="SECRETARIA GENERAL"/>
    <s v="05 SECRETARIA GENERAL"/>
    <n v="2021130010293"/>
    <s v="07. PILAR CARTAGENA RESILIENTE"/>
    <s v="7.6 LÍNEA ESTRATÉGICA SERVICIOS PÚBLICOS BÁSICOS DEL DISTRITO DE CARTAGENA DE INDIAS: “TODOS CON TODO”"/>
    <s v="7.6.1 DE AHORRO Y USO EFICIENTE DE LOS SERVICIOS PÚBLICOS, &quot;AGUA Y SANEAMIENTO BÁSICO PARA TODOS&quot;"/>
    <s v="2,3,4003,1400,2021130010293"/>
    <s v="001"/>
    <s v="1,2,1,0,00-001 - ICLD"/>
    <s v="INV"/>
    <s v="NO"/>
    <s v="SANEAMIENTO DE FORMA SEGURA PARA TODOS EN EL DISTRITO DE CARTAGENA "/>
    <s v="2021130010293 SANEAMIENTO DE FORMA SEGURA PARA TODOS EN EL DISTRITO DE CARTAGENA "/>
    <s v="06"/>
    <s v="00"/>
    <n v="3042908059"/>
    <n v="-3018408059"/>
    <n v="24500000"/>
    <n v="24500000"/>
    <n v="0"/>
    <n v="24500000"/>
    <n v="100"/>
    <n v="24500000"/>
    <n v="100"/>
    <n v="0"/>
    <n v="24500000"/>
  </r>
  <r>
    <n v="2022"/>
    <n v="100"/>
    <x v="14"/>
    <s v="SECRETARIA DE HACIENDA PUBLICA"/>
    <s v="03 SECRETARIA DE HACIENDA PUBLICA"/>
    <n v="2022130010001"/>
    <s v="10. PILAR: CARTAGENA TRANSPARENTE"/>
    <s v="10.8 LÍNEA ESTRATÉGICA: FINANZAS PÚBLICAS PARA SALVAR A CARTAGENA"/>
    <s v="10.8.1 PROGRAMA: FINANZAS SOSTENIBLES PARA SALVAR A CARTAGENA"/>
    <s v="2,3,4599,1000,2022130010001"/>
    <s v="872"/>
    <s v="1,3,3,4,16-95-108 RB  OTRAS TASAS Y DERECHOS ADMINISTRATIVOS CONTRAPRESTACION PORTUARIA"/>
    <s v="INV"/>
    <s v="NO"/>
    <s v="IMPLEMENTACION DE ESTRATEGIAS PARA EL MEJORAMIENTO Y SOSTENIBILIDAD DE LAS FINANZAS EN EL DISTRITO DE CARTAGENA DE INDIAS  CARTAGENA DE INDIAS"/>
    <s v="2022130010001 IMPLEMENTACION DE ESTRATEGIAS PARA EL MEJORAMIENTO Y SOSTENIBILIDAD DE LAS FINANZAS EN EL DISTRITO DE CARTAGENA DE INDIAS  CARTAGENA DE INDIAS"/>
    <s v="06"/>
    <s v="00"/>
    <n v="0"/>
    <n v="177723944.69"/>
    <n v="177723944.69"/>
    <n v="99279000"/>
    <n v="78444944.689999998"/>
    <n v="38080000"/>
    <n v="21.43"/>
    <n v="0"/>
    <n v="0"/>
    <n v="139643944.69"/>
    <n v="0"/>
  </r>
  <r>
    <n v="2022"/>
    <n v="100"/>
    <x v="14"/>
    <s v="SECRETARIA DE HACIENDA PUBLICA"/>
    <s v="03 SECRETARIA DE HACIENDA PUBLICA"/>
    <n v="2022130010001"/>
    <s v="10. PILAR: CARTAGENA TRANSPARENTE"/>
    <s v="10.8 LÍNEA ESTRATÉGICA: FINANZAS PÚBLICAS PARA SALVAR A CARTAGENA"/>
    <s v="10.8.1 PROGRAMA: FINANZAS SOSTENIBLES PARA SALVAR A CARTAGENA"/>
    <s v="2,3,4599,1000,2022130010001"/>
    <s v="001"/>
    <s v="1,2,1,0,00-001 - ICLD"/>
    <s v="INV"/>
    <s v="NO"/>
    <s v="IMPLEMENTACION DE ESTRATEGIAS PARA EL MEJORAMIENTO Y SOSTENIBILIDAD DE LAS FINANZAS EN EL DISTRITO DE CARTAGENA DE INDIAS  CARTAGENA DE INDIAS"/>
    <s v="2022130010001 IMPLEMENTACION DE ESTRATEGIAS PARA EL MEJORAMIENTO Y SOSTENIBILIDAD DE LAS FINANZAS EN EL DISTRITO DE CARTAGENA DE INDIAS  CARTAGENA DE INDIAS"/>
    <s v="06"/>
    <s v="00"/>
    <n v="5105047952"/>
    <n v="6500000000"/>
    <n v="11605047952"/>
    <n v="11593221106"/>
    <n v="11826846"/>
    <n v="9580823313"/>
    <n v="82.56"/>
    <n v="8677554990.0400009"/>
    <n v="74.77"/>
    <n v="2024224639"/>
    <n v="8610976110"/>
  </r>
  <r>
    <n v="2022"/>
    <n v="100"/>
    <x v="14"/>
    <s v="SECRETARIA DE HACIENDA PUBLICA"/>
    <s v="03 SECRETARIA DE HACIENDA PUBLICA"/>
    <n v="2022130010001"/>
    <s v="10. PILAR: CARTAGENA TRANSPARENTE"/>
    <s v="10.8 LÍNEA ESTRATÉGICA: FINANZAS PÚBLICAS PARA SALVAR A CARTAGENA"/>
    <s v="10.8.1 PROGRAMA: FINANZAS SOSTENIBLES PARA SALVAR A CARTAGENA"/>
    <s v="2,3,4599,1000,2022130010001"/>
    <s v="816"/>
    <s v="1,3,3,11,03-95-138 R,B, DIVIDENDOS SOCIEDAD PORTUARIA"/>
    <s v="INV"/>
    <s v="NO"/>
    <s v="IMPLEMENTACION DE ESTRATEGIAS PARA EL MEJORAMIENTO Y SOSTENIBILIDAD DE LAS FINANZAS EN EL DISTRITO DE CARTAGENA DE INDIAS  CARTAGENA DE INDIAS"/>
    <s v="2022130010001 IMPLEMENTACION DE ESTRATEGIAS PARA EL MEJORAMIENTO Y SOSTENIBILIDAD DE LAS FINANZAS EN EL DISTRITO DE CARTAGENA DE INDIAS  CARTAGENA DE INDIAS"/>
    <s v="06"/>
    <s v="00"/>
    <n v="0"/>
    <n v="1469474825.8399999"/>
    <n v="1469474825.8399999"/>
    <n v="1469474825"/>
    <n v="0.84"/>
    <n v="0"/>
    <n v="0"/>
    <n v="0"/>
    <n v="0"/>
    <n v="1469474825.8399999"/>
    <n v="0"/>
  </r>
  <r>
    <n v="2022"/>
    <n v="100"/>
    <x v="14"/>
    <s v="SECRETARIA DE HACIENDA PUBLICA"/>
    <s v="03 SECRETARIA DE HACIENDA PUBLICA"/>
    <n v="2022130010001"/>
    <s v="10. PILAR: CARTAGENA TRANSPARENTE"/>
    <s v="10.8 LÍNEA ESTRATÉGICA: FINANZAS PÚBLICAS PARA SALVAR A CARTAGENA"/>
    <s v="10.8.1 PROGRAMA: FINANZAS SOSTENIBLES PARA SALVAR A CARTAGENA"/>
    <s v="2,3,4599,1000,2022130010001"/>
    <s v="817"/>
    <s v="1,3,3,11,03-95-139 RB DIVIDENDOS TERMINAL DE TRANSPORTE"/>
    <s v="INV"/>
    <s v="NO"/>
    <s v="IMPLEMENTACION DE ESTRATEGIAS PARA EL MEJORAMIENTO Y SOSTENIBILIDAD DE LAS FINANZAS EN EL DISTRITO DE CARTAGENA DE INDIAS  CARTAGENA DE INDIAS"/>
    <s v="2022130010001 IMPLEMENTACION DE ESTRATEGIAS PARA EL MEJORAMIENTO Y SOSTENIBILIDAD DE LAS FINANZAS EN EL DISTRITO DE CARTAGENA DE INDIAS  CARTAGENA DE INDIAS"/>
    <s v="06"/>
    <s v="00"/>
    <n v="0"/>
    <n v="19334250"/>
    <n v="19334250"/>
    <n v="0"/>
    <n v="19334250"/>
    <n v="0"/>
    <n v="0"/>
    <n v="0"/>
    <n v="0"/>
    <n v="19334250"/>
    <n v="0"/>
  </r>
  <r>
    <n v="2022"/>
    <n v="100"/>
    <x v="14"/>
    <s v="SECRETARIA DE HACIENDA PUBLICA"/>
    <s v="03 SECRETARIA DE HACIENDA PUBLICA"/>
    <n v="2022130010001"/>
    <s v="10. PILAR: CARTAGENA TRANSPARENTE"/>
    <s v="10.8 LÍNEA ESTRATÉGICA: FINANZAS PÚBLICAS PARA SALVAR A CARTAGENA"/>
    <s v="10.8.1 PROGRAMA: FINANZAS SOSTENIBLES PARA SALVAR A CARTAGENA"/>
    <s v="2,3,4599,1000,2022130010001"/>
    <s v="852"/>
    <s v="1,3,3,3,17-95-124 RB IMPUESTO DE TRANSPORTE POR OLEODUCTOS Y GASODUCTOS"/>
    <s v="INV"/>
    <s v="NO"/>
    <s v="IMPLEMENTACION DE ESTRATEGIAS PARA EL MEJORAMIENTO Y SOSTENIBILIDAD DE LAS FINANZAS EN EL DISTRITO DE CARTAGENA DE INDIAS  CARTAGENA DE INDIAS"/>
    <s v="2022130010001 IMPLEMENTACION DE ESTRATEGIAS PARA EL MEJORAMIENTO Y SOSTENIBILIDAD DE LAS FINANZAS EN EL DISTRITO DE CARTAGENA DE INDIAS  CARTAGENA DE INDIAS"/>
    <s v="06"/>
    <s v="00"/>
    <n v="0"/>
    <n v="2256570854"/>
    <n v="2256570854"/>
    <n v="2186352000"/>
    <n v="70218854"/>
    <n v="0"/>
    <n v="0"/>
    <n v="0"/>
    <n v="0"/>
    <n v="2256570854"/>
    <n v="0"/>
  </r>
  <r>
    <n v="2022"/>
    <n v="100"/>
    <x v="14"/>
    <s v="SECRETARIA DE HACIENDA PUBLICA"/>
    <s v="03 SECRETARIA DE HACIENDA PUBLICA"/>
    <n v="2022130010001"/>
    <s v="10. PILAR: CARTAGENA TRANSPARENTE"/>
    <s v="10.8 LÍNEA ESTRATÉGICA: FINANZAS PÚBLICAS PARA SALVAR A CARTAGENA"/>
    <s v="10.8.1 PROGRAMA: FINANZAS SOSTENIBLES PARA SALVAR A CARTAGENA"/>
    <s v="2,3,4599,1000,2022130010001"/>
    <s v="138"/>
    <s v="1,3,1,1,03-138 - DIVIDENDOS SOCIEDAD PORTUARIA"/>
    <s v="INV"/>
    <s v="NO"/>
    <s v="IMPLEMENTACION DE ESTRATEGIAS PARA EL MEJORAMIENTO Y SOSTENIBILIDAD DE LAS FINANZAS EN EL DISTRITO DE CARTAGENA DE INDIAS  CARTAGENA DE INDIAS"/>
    <s v="2022130010001 IMPLEMENTACION DE ESTRATEGIAS PARA EL MEJORAMIENTO Y SOSTENIBILIDAD DE LAS FINANZAS EN EL DISTRITO DE CARTAGENA DE INDIAS  CARTAGENA DE INDIAS"/>
    <s v="06"/>
    <s v="00"/>
    <n v="1190136463"/>
    <n v="0"/>
    <n v="1190136463"/>
    <n v="1190136463"/>
    <n v="0"/>
    <n v="1190136463"/>
    <n v="100"/>
    <n v="0"/>
    <n v="0"/>
    <n v="0"/>
    <n v="0"/>
  </r>
  <r>
    <n v="2022"/>
    <n v="100"/>
    <x v="14"/>
    <s v="SECRETARIA DE HACIENDA PUBLICA"/>
    <s v="03 SECRETARIA DE HACIENDA PUBLICA"/>
    <n v="2022130010001"/>
    <s v="10. PILAR: CARTAGENA TRANSPARENTE"/>
    <s v="10.8 LÍNEA ESTRATÉGICA: FINANZAS PÚBLICAS PARA SALVAR A CARTAGENA"/>
    <s v="10.8.1 PROGRAMA: FINANZAS SOSTENIBLES PARA SALVAR A CARTAGENA"/>
    <s v="2,3,4599,1000,2022130010001"/>
    <s v="139"/>
    <s v="1,3,1,1,03-139 - DIVIDENDOS TERMINAL DE TRANSPORTE"/>
    <s v="INV"/>
    <s v="NO"/>
    <s v="IMPLEMENTACION DE ESTRATEGIAS PARA EL MEJORAMIENTO Y SOSTENIBILIDAD DE LAS FINANZAS EN EL DISTRITO DE CARTAGENA DE INDIAS  CARTAGENA DE INDIAS"/>
    <s v="2022130010001 IMPLEMENTACION DE ESTRATEGIAS PARA EL MEJORAMIENTO Y SOSTENIBILIDAD DE LAS FINANZAS EN EL DISTRITO DE CARTAGENA DE INDIAS  CARTAGENA DE INDIAS"/>
    <s v="06"/>
    <s v="00"/>
    <n v="69585022"/>
    <n v="0"/>
    <n v="69585022"/>
    <n v="69585022"/>
    <n v="0"/>
    <n v="69585022"/>
    <n v="100"/>
    <n v="0"/>
    <n v="0"/>
    <n v="0"/>
    <n v="0"/>
  </r>
  <r>
    <n v="2022"/>
    <n v="100"/>
    <x v="14"/>
    <s v="SECRETARIA DE HACIENDA PUBLICA"/>
    <s v="03 SECRETARIA DE HACIENDA PUBLICA"/>
    <n v="2022130010001"/>
    <s v="10. PILAR: CARTAGENA TRANSPARENTE"/>
    <s v="10.8 LÍNEA ESTRATÉGICA: FINANZAS PÚBLICAS PARA SALVAR A CARTAGENA"/>
    <s v="10.8.1 PROGRAMA: FINANZAS SOSTENIBLES PARA SALVAR A CARTAGENA"/>
    <s v="2,3,4599,1000,2022130010001"/>
    <s v="160"/>
    <s v="1,3,2,3,05-160 - OTROS RENDIMIENTOS FINANCIEROS DIVIDENDOS"/>
    <s v="INV"/>
    <s v="NO"/>
    <s v="IMPLEMENTACION DE ESTRATEGIAS PARA EL MEJORAMIENTO Y SOSTENIBILIDAD DE LAS FINANZAS EN EL DISTRITO DE CARTAGENA DE INDIAS  CARTAGENA DE INDIAS"/>
    <s v="2022130010001 IMPLEMENTACION DE ESTRATEGIAS PARA EL MEJORAMIENTO Y SOSTENIBILIDAD DE LAS FINANZAS EN EL DISTRITO DE CARTAGENA DE INDIAS  CARTAGENA DE INDIAS"/>
    <s v="06"/>
    <s v="00"/>
    <n v="1"/>
    <n v="0"/>
    <n v="1"/>
    <n v="0"/>
    <n v="1"/>
    <n v="0"/>
    <n v="0"/>
    <n v="0"/>
    <n v="0"/>
    <n v="1"/>
    <n v="0"/>
  </r>
  <r>
    <n v="2022"/>
    <n v="100"/>
    <x v="14"/>
    <s v="SECRETARIA DE HACIENDA PUBLICA"/>
    <s v="03 SECRETARIA DE HACIENDA PUBLICA"/>
    <n v="2022130010001"/>
    <s v="10. PILAR: CARTAGENA TRANSPARENTE"/>
    <s v="10.8 LÍNEA ESTRATÉGICA: FINANZAS PÚBLICAS PARA SALVAR A CARTAGENA"/>
    <s v="10.8.1 PROGRAMA: FINANZAS SOSTENIBLES PARA SALVAR A CARTAGENA"/>
    <s v="2,3,4599,1000,2022130010001"/>
    <s v="175"/>
    <s v="1,3,3,0,00-175 - SUPERAVIT"/>
    <s v="INV"/>
    <s v="NO"/>
    <s v="IMPLEMENTACION DE ESTRATEGIAS PARA EL MEJORAMIENTO Y SOSTENIBILIDAD DE LAS FINANZAS EN EL DISTRITO DE CARTAGENA DE INDIAS  CARTAGENA DE INDIAS"/>
    <s v="2022130010001 IMPLEMENTACION DE ESTRATEGIAS PARA EL MEJORAMIENTO Y SOSTENIBILIDAD DE LAS FINANZAS EN EL DISTRITO DE CARTAGENA DE INDIAS  CARTAGENA DE INDIAS"/>
    <s v="06"/>
    <s v="00"/>
    <n v="1"/>
    <n v="0"/>
    <n v="1"/>
    <n v="0"/>
    <n v="1"/>
    <n v="0"/>
    <n v="0"/>
    <n v="0"/>
    <n v="0"/>
    <n v="1"/>
    <n v="0"/>
  </r>
  <r>
    <n v="2022"/>
    <n v="100"/>
    <x v="14"/>
    <s v="SECRETARIA DE HACIENDA PUBLICA"/>
    <s v="03 SECRETARIA DE HACIENDA PUBLICA"/>
    <n v="2022130010001"/>
    <s v="10. PILAR: CARTAGENA TRANSPARENTE"/>
    <s v="10.8 LÍNEA ESTRATÉGICA: FINANZAS PÚBLICAS PARA SALVAR A CARTAGENA"/>
    <s v="10.8.1 PROGRAMA: FINANZAS SOSTENIBLES PARA SALVAR A CARTAGENA"/>
    <s v="2,3,4599,1000,2022130010001"/>
    <s v="176"/>
    <s v="1,3,1,1,11-176 - REINTEGRO"/>
    <s v="INV"/>
    <s v="NO"/>
    <s v="IMPLEMENTACION DE ESTRATEGIAS PARA EL MEJORAMIENTO Y SOSTENIBILIDAD DE LAS FINANZAS EN EL DISTRITO DE CARTAGENA DE INDIAS  CARTAGENA DE INDIAS"/>
    <s v="2022130010001 IMPLEMENTACION DE ESTRATEGIAS PARA EL MEJORAMIENTO Y SOSTENIBILIDAD DE LAS FINANZAS EN EL DISTRITO DE CARTAGENA DE INDIAS  CARTAGENA DE INDIAS"/>
    <s v="06"/>
    <s v="00"/>
    <n v="1"/>
    <n v="0"/>
    <n v="1"/>
    <n v="0"/>
    <n v="1"/>
    <n v="0"/>
    <n v="0"/>
    <n v="0"/>
    <n v="0"/>
    <n v="1"/>
    <n v="0"/>
  </r>
  <r>
    <n v="2022"/>
    <n v="100"/>
    <x v="14"/>
    <s v="SECRETARIA DE HACIENDA PUBLICA"/>
    <s v="03 SECRETARIA DE HACIENDA PUBLICA"/>
    <n v="2022130010001"/>
    <s v="10. PILAR: CARTAGENA TRANSPARENTE"/>
    <s v="10.8 LÍNEA ESTRATÉGICA: FINANZAS PÚBLICAS PARA SALVAR A CARTAGENA"/>
    <s v="10.8.1 PROGRAMA: FINANZAS SOSTENIBLES PARA SALVAR A CARTAGENA"/>
    <s v="2,3,4599,1000,2022130010001"/>
    <s v="178"/>
    <s v="1,3,1,1,05-178 - RECURSOS DE CREDITO INTERNO"/>
    <s v="INV"/>
    <s v="NO"/>
    <s v="IMPLEMENTACION DE ESTRATEGIAS PARA EL MEJORAMIENTO Y SOSTENIBILIDAD DE LAS FINANZAS EN EL DISTRITO DE CARTAGENA DE INDIAS  CARTAGENA DE INDIAS"/>
    <s v="2022130010001 IMPLEMENTACION DE ESTRATEGIAS PARA EL MEJORAMIENTO Y SOSTENIBILIDAD DE LAS FINANZAS EN EL DISTRITO DE CARTAGENA DE INDIAS  CARTAGENA DE INDIAS"/>
    <s v="06"/>
    <s v="00"/>
    <n v="1"/>
    <n v="0"/>
    <n v="1"/>
    <n v="0"/>
    <n v="1"/>
    <n v="0"/>
    <n v="0"/>
    <n v="0"/>
    <n v="0"/>
    <n v="1"/>
    <n v="0"/>
  </r>
  <r>
    <n v="2022"/>
    <n v="100"/>
    <x v="14"/>
    <s v="SECRETARIA DE HACIENDA PUBLICA"/>
    <s v="03 SECRETARIA DE HACIENDA PUBLICA"/>
    <n v="2022130010001"/>
    <s v="10. PILAR: CARTAGENA TRANSPARENTE"/>
    <s v="10.8 LÍNEA ESTRATÉGICA: FINANZAS PÚBLICAS PARA SALVAR A CARTAGENA"/>
    <s v="10.8.1 PROGRAMA: FINANZAS SOSTENIBLES PARA SALVAR A CARTAGENA"/>
    <s v="2,3,4599,1000,2022130010001"/>
    <s v="922"/>
    <s v="1,3,3,8,03-95-070 R,B, SGP-PROPOSITO GENERAL-PROPOSITO GENERAL LIBRE INVERSION"/>
    <s v="INV"/>
    <s v="NO"/>
    <s v="IMPLEMENTACION DE ESTRATEGIAS PARA EL MEJORAMIENTO Y SOSTENIBILIDAD DE LAS FINANZAS EN EL DISTRITO DE CARTAGENA DE INDIAS CARTAGENA DE INDIAS"/>
    <s v="2022130010001 IMPLEMENTACION DE ESTRATEGIAS PARA EL MEJORAMIENTO Y SOSTENIBILIDAD DE LAS FINANZAS EN EL DISTRITO DE CARTAGENA DE INDIAS CARTAGENA DE INDIAS"/>
    <s v="06"/>
    <s v="00"/>
    <n v="0"/>
    <n v="3840290930.3099999"/>
    <n v="3840290930.3099999"/>
    <n v="3531260745"/>
    <n v="309030185.31"/>
    <n v="2375017460.8000002"/>
    <n v="61.84"/>
    <n v="2090624965"/>
    <n v="54.44"/>
    <n v="1465273469.51"/>
    <n v="1925108590"/>
  </r>
  <r>
    <n v="2022"/>
    <n v="100"/>
    <x v="14"/>
    <s v="SECRETARIA DE HACIENDA PUBLICA"/>
    <s v="03 SECRETARIA DE HACIENDA PUBLICA"/>
    <n v="2022130010001"/>
    <s v="10. PILAR: CARTAGENA TRANSPARENTE"/>
    <s v="10.8 LÍNEA ESTRATÉGICA: FINANZAS PÚBLICAS PARA SALVAR A CARTAGENA"/>
    <s v="10.8.1 PROGRAMA: FINANZAS SOSTENIBLES PARA SALVAR A CARTAGENA"/>
    <s v="2,3,4599,1000,2022130010001"/>
    <s v="070"/>
    <s v="1,2,4,3,03-070 - SGP LIBRE INVERSION"/>
    <s v="INV"/>
    <s v="NO"/>
    <s v="IMPLEMENTACION DE ESTRATEGIAS PARA EL MEJORAMIENTO Y SOSTENIBILIDAD DE LAS FINANZAS EN EL DISTRITO DE CARTAGENA DE INDIAS  CARTAGENA DE INDIAS"/>
    <s v="2022130010001 IMPLEMENTACION DE ESTRATEGIAS PARA EL MEJORAMIENTO Y SOSTENIBILIDAD DE LAS FINANZAS EN EL DISTRITO DE CARTAGENA DE INDIAS  CARTAGENA DE INDIAS"/>
    <s v="06"/>
    <s v="00"/>
    <n v="6152814228"/>
    <n v="0"/>
    <n v="6152814228"/>
    <n v="6152814228"/>
    <n v="0"/>
    <n v="6152814228"/>
    <n v="100"/>
    <n v="4800000000"/>
    <n v="78.010000000000005"/>
    <n v="0"/>
    <n v="4800000000"/>
  </r>
  <r>
    <n v="2022"/>
    <n v="100"/>
    <x v="14"/>
    <s v="SECRETARIA DE HACIENDA PUBLICA"/>
    <s v="03 SECRETARIA DE HACIENDA PUBLICA"/>
    <n v="2022130010001"/>
    <s v="10. PILAR: CARTAGENA TRANSPARENTE"/>
    <s v="10.8 LÍNEA ESTRATÉGICA: FINANZAS PÚBLICAS PARA SALVAR A CARTAGENA"/>
    <s v="10.8.1 PROGRAMA: FINANZAS SOSTENIBLES PARA SALVAR A CARTAGENA"/>
    <s v="2,3,4599,1000,2022130010001"/>
    <s v="075"/>
    <s v="1,3,2,2,08-075 - RF SGP PROPOSITO GENERAL"/>
    <s v="INV"/>
    <s v="NO"/>
    <s v="IMPLEMENTACION DE ESTRATEGIAS PARA EL MEJORAMIENTO Y SOSTENIBILIDAD DE LAS FINANZAS EN EL DISTRITO DE CARTAGENA DE INDIAS  CARTAGENA DE INDIAS"/>
    <s v="2022130010001 IMPLEMENTACION DE ESTRATEGIAS PARA EL MEJORAMIENTO Y SOSTENIBILIDAD DE LAS FINANZAS EN EL DISTRITO DE CARTAGENA DE INDIAS  CARTAGENA DE INDIAS"/>
    <s v="06"/>
    <s v="00"/>
    <n v="375240882"/>
    <n v="0"/>
    <n v="375240882"/>
    <n v="375240882"/>
    <n v="0"/>
    <n v="375240882"/>
    <n v="100"/>
    <n v="0"/>
    <n v="0"/>
    <n v="0"/>
    <n v="0"/>
  </r>
  <r>
    <n v="2022"/>
    <n v="100"/>
    <x v="14"/>
    <s v="SECRETARIA DE HACIENDA PUBLICA"/>
    <s v="03 SECRETARIA DE HACIENDA PUBLICA"/>
    <n v="2022130010001"/>
    <s v="10. PILAR: CARTAGENA TRANSPARENTE"/>
    <s v="10.8 LÍNEA ESTRATÉGICA: FINANZAS PÚBLICAS PARA SALVAR A CARTAGENA"/>
    <s v="10.8.1 PROGRAMA: FINANZAS SOSTENIBLES PARA SALVAR A CARTAGENA"/>
    <s v="2,3,4599,1000,2022130010001"/>
    <s v="108"/>
    <s v="1,3,2,1,05-108 - R,F, OTRAS TASAS CONTRAPRESTACION PORTUARIA"/>
    <s v="INV"/>
    <s v="NO"/>
    <s v="IMPLEMENTACION DE ESTRATEGIAS PARA EL MEJORAMIENTO Y SOSTENIBILIDAD DE LAS FINANZAS EN EL DISTRITO DE CARTAGENA DE INDIAS  CARTAGENA DE INDIAS"/>
    <s v="2022130010001 IMPLEMENTACION DE ESTRATEGIAS PARA EL MEJORAMIENTO Y SOSTENIBILIDAD DE LAS FINANZAS EN EL DISTRITO DE CARTAGENA DE INDIAS  CARTAGENA DE INDIAS"/>
    <s v="06"/>
    <s v="00"/>
    <n v="1"/>
    <n v="0"/>
    <n v="1"/>
    <n v="0"/>
    <n v="1"/>
    <n v="0"/>
    <n v="0"/>
    <n v="0"/>
    <n v="0"/>
    <n v="1"/>
    <n v="0"/>
  </r>
  <r>
    <n v="2022"/>
    <n v="100"/>
    <x v="14"/>
    <s v="SECRETARIA DE HACIENDA PUBLICA"/>
    <s v="03 SECRETARIA DE HACIENDA PUBLICA"/>
    <n v="2022130010001"/>
    <s v="10. PILAR: CARTAGENA TRANSPARENTE"/>
    <s v="10.8 LÍNEA ESTRATÉGICA: FINANZAS PÚBLICAS PARA SALVAR A CARTAGENA"/>
    <s v="10.8.1 PROGRAMA: FINANZAS SOSTENIBLES PARA SALVAR A CARTAGENA"/>
    <s v="2,3,4599,1000,2022130010001"/>
    <s v="126"/>
    <s v="1,3,2,3,05-126 - OTROS RENDIMIENTOS FINANCIEROS IMP TRANSPORTE POR OLEODUCTO"/>
    <s v="INV"/>
    <s v="NO"/>
    <s v="IMPLEMENTACION DE ESTRATEGIAS PARA EL MEJORAMIENTO Y SOSTENIBILIDAD DE LAS FINANZAS EN EL DISTRITO DE CARTAGENA DE INDIAS  CARTAGENA DE INDIAS"/>
    <s v="2022130010001 IMPLEMENTACION DE ESTRATEGIAS PARA EL MEJORAMIENTO Y SOSTENIBILIDAD DE LAS FINANZAS EN EL DISTRITO DE CARTAGENA DE INDIAS  CARTAGENA DE INDIAS"/>
    <s v="06"/>
    <s v="00"/>
    <n v="1"/>
    <n v="0"/>
    <n v="1"/>
    <n v="0"/>
    <n v="1"/>
    <n v="0"/>
    <n v="0"/>
    <n v="0"/>
    <n v="0"/>
    <n v="1"/>
    <n v="0"/>
  </r>
  <r>
    <n v="2022"/>
    <n v="100"/>
    <x v="14"/>
    <s v="SECRETARIA DE HACIENDA PUBLICA"/>
    <s v="03 SECRETARIA DE HACIENDA PUBLICA"/>
    <n v="2022130010001"/>
    <s v="10. PILAR: CARTAGENA TRANSPARENTE"/>
    <s v="10.8 LÍNEA ESTRATÉGICA: FINANZAS PÚBLICAS PARA SALVAR A CARTAGENA"/>
    <s v="10.8.1 PROGRAMA: FINANZAS SOSTENIBLES PARA SALVAR A CARTAGENA"/>
    <s v="2,3,4599,1000,2022130010001"/>
    <s v="923"/>
    <s v="1,3,3,8,03-95-075 R,B, SGP-PROPOSITO GENERAL-PROPOSITO GENERAL LIBRE INVERSION"/>
    <s v="INV"/>
    <s v="NO"/>
    <s v="IMPLEMENTACION DE ESTRATEGIAS PARA EL MEJORAMIENTO Y SOSTENIBILIDAD DE LAS FINANZAS EN EL DISTRITO DE CARTAGENA DE INDIAS  CARTAGENA DE INDIAS"/>
    <s v="2022130010001 IMPLEMENTACION DE ESTRATEGIAS PARA EL MEJORAMIENTO Y SOSTENIBILIDAD DE LAS FINANZAS EN EL DISTRITO DE CARTAGENA DE INDIAS  CARTAGENA DE INDIAS"/>
    <s v="06"/>
    <s v="00"/>
    <n v="0"/>
    <n v="314486520"/>
    <n v="314486520"/>
    <n v="250798250"/>
    <n v="63688270"/>
    <n v="174553000"/>
    <n v="55.5"/>
    <n v="0"/>
    <n v="0"/>
    <n v="139933520"/>
    <n v="0"/>
  </r>
  <r>
    <n v="2022"/>
    <n v="100"/>
    <x v="0"/>
    <s v="LOCALIDAD TURISTICA Y DE LA VIRGEN"/>
    <s v="04 LOCALIDAD TURISTICA Y DE LA VIRGEN"/>
    <n v="2022130010002"/>
    <s v="10. PILAR: CARTAGENA TRANSPARENTE"/>
    <s v="10.7 LÍNEA ESTRATÉGICA: PARTICIPACIÓN Y DESCENTRALIZACIÓN"/>
    <s v="10.7.2 PROGRAMA: MODERNIZACIÓN DEL SISTEMA DISTRITAL DE PLANEACIÓN Y DESCENTRALIZACIÓN  "/>
    <s v="2,3,2408,0600,2022130010002"/>
    <s v="001"/>
    <s v="1,2,1,0,00-001 - ICLD"/>
    <s v="INV"/>
    <s v="NO"/>
    <s v="CONSTRUCCION Y ADECUACION DE LA MALLA VIAL DEL LA LOCALIDAD DE LA VIRGEN Y TURISTICA DEL DISTRITO DE CARTAGENA DE INDIAS BOLIVAR"/>
    <s v="2022130010002 CONSTRUCCION Y ADECUACION DE LA MALLA VIAL DEL LA LOCALIDAD DE LA VIRGEN Y TURISTICA DEL DISTRITO DE CARTAGENA DE INDIAS BOLIVAR"/>
    <s v="06"/>
    <s v="00"/>
    <n v="1000000000"/>
    <n v="3225437500"/>
    <n v="4225437500"/>
    <n v="0"/>
    <n v="4225437500"/>
    <n v="0"/>
    <n v="0"/>
    <n v="0"/>
    <n v="0"/>
    <n v="4225437500"/>
    <n v="0"/>
  </r>
  <r>
    <n v="2022"/>
    <n v="100"/>
    <x v="0"/>
    <s v="LOCALIDAD TURISTICA Y DE LA VIRGEN"/>
    <s v="04 LOCALIDAD TURISTICA Y DE LA VIRGEN"/>
    <n v="2022130010003"/>
    <s v="10. PILAR: CARTAGENA TRANSPARENTE"/>
    <s v="10.7 LÍNEA ESTRATÉGICA: PARTICIPACIÓN Y DESCENTRALIZACIÓN"/>
    <s v="10.7.2 PROGRAMA: MODERNIZACIÓN DEL SISTEMA DISTRITAL DE PLANEACIÓN Y DESCENTRALIZACIÓN  "/>
    <s v="2,3,4302,1604,2022130010003"/>
    <s v="001"/>
    <s v="1,2,1,0,00-001 - ICLD"/>
    <s v="INV"/>
    <s v="NO"/>
    <s v="ADECUACION DE ESCENARIOS PARA RECREACION Y DEPORTE EN LA LOCALIDAD DE LA VIRGEN Y TURISTICA"/>
    <s v="2022130010003 ADECUACION DE ESCENARIOS PARA RECREACION Y DEPORTE EN LA LOCALIDAD DE LA VIRGEN Y TURISTICA"/>
    <s v="06"/>
    <s v="00"/>
    <n v="899980235.58000004"/>
    <n v="0"/>
    <n v="899980235.58000004"/>
    <n v="0"/>
    <n v="899980235.58000004"/>
    <n v="0"/>
    <n v="0"/>
    <n v="0"/>
    <n v="0"/>
    <n v="899980235.58000004"/>
    <n v="0"/>
  </r>
  <r>
    <n v="2022"/>
    <n v="100"/>
    <x v="1"/>
    <s v="LOCALIDAD HISTORICA Y DEL CARIBE NORTE"/>
    <s v="11 LOCALIDAD HISTORICA Y DEL CARIBE NORTE"/>
    <n v="2022130010004"/>
    <s v="10. PILAR: CARTAGENA TRANSPARENTE"/>
    <s v="10.7 LÍNEA ESTRATÉGICA: PARTICIPACIÓN Y DESCENTRALIZACIÓN"/>
    <s v="10.7.2 PROGRAMA: MODERNIZACIÓN DEL SISTEMA DISTRITAL DE PLANEACIÓN Y DESCENTRALIZACIÓN  "/>
    <s v="2,3,4104,1500,2022130010004"/>
    <s v="001"/>
    <s v="1,2,1,0,00-001 - ICLD"/>
    <s v="INV"/>
    <s v="NO"/>
    <s v="IMPLEMENTACION PROYECTO CAMPA?AS PARA EL RESCATE DE LOS DERECHOS A LOS ADULTOS MAYORES DE LA LOCALIDAD, HISTORICA Y DEL CARIBENORTE  "/>
    <s v="2022130010004 IMPLEMENTACION PROYECTO CAMPA?AS PARA EL RESCATE DE LOS DERECHOS A LOS ADULTOS MAYORES DE LA LOCALIDAD, HISTORICA Y DEL CARIBENORTE  "/>
    <s v="06"/>
    <s v="00"/>
    <n v="0"/>
    <n v="88940116"/>
    <n v="88940116"/>
    <n v="88940116"/>
    <n v="0"/>
    <n v="88940116"/>
    <n v="100"/>
    <n v="88940116"/>
    <n v="100"/>
    <n v="0"/>
    <n v="88940116"/>
  </r>
  <r>
    <n v="2022"/>
    <n v="100"/>
    <x v="0"/>
    <s v="LOCALIDAD TURISTICA Y DE LA VIRGEN"/>
    <s v="04 LOCALIDAD TURISTICA Y DE LA VIRGEN"/>
    <n v="2022130010005"/>
    <s v="10. PILAR: CARTAGENA TRANSPARENTE"/>
    <s v="10.7 LÍNEA ESTRATÉGICA: PARTICIPACIÓN Y DESCENTRALIZACIÓN"/>
    <s v="10.7.2 PROGRAMA: MODERNIZACIÓN DEL SISTEMA DISTRITAL DE PLANEACIÓN Y DESCENTRALIZACIÓN  "/>
    <s v="2,3,4104,0300,2022130010005"/>
    <s v="001"/>
    <s v="1,2,1,0,00-001 - ICLD"/>
    <s v="INV"/>
    <s v="NO"/>
    <s v="FORTALECIMIENTO AL CUIDADO INCLUSIVO DE LA POBLACION CON DISCAPACIDAD EN LA LOCALIDAD  DE LA VIRGEN Y TURISTICA EN CARTAGENA DE INDIAS,     "/>
    <s v="2022130010005 FORTALECIMIENTO AL CUIDADO INCLUSIVO DE LA POBLACION CON DISCAPACIDAD EN LA LOCALIDAD  DE LA VIRGEN Y TURISTICA EN CARTAGENA DE INDIAS,     "/>
    <s v="06"/>
    <s v="00"/>
    <n v="189200000"/>
    <n v="-128742647"/>
    <n v="60457353"/>
    <n v="0"/>
    <n v="60457353"/>
    <n v="0"/>
    <n v="0"/>
    <n v="0"/>
    <n v="0"/>
    <n v="60457353"/>
    <n v="0"/>
  </r>
  <r>
    <n v="2022"/>
    <n v="100"/>
    <x v="0"/>
    <s v="LOCALIDAD TURISTICA Y DE LA VIRGEN"/>
    <s v="04 LOCALIDAD TURISTICA Y DE LA VIRGEN"/>
    <n v="2022130010006"/>
    <s v="10. PILAR: CARTAGENA TRANSPARENTE"/>
    <s v="10.7 LÍNEA ESTRATÉGICA: PARTICIPACIÓN Y DESCENTRALIZACIÓN"/>
    <s v="10.7.2 PROGRAMA: MODERNIZACIÓN DEL SISTEMA DISTRITAL DE PLANEACIÓN Y DESCENTRALIZACIÓN  "/>
    <s v="2,3,4501,1000,2022130010006"/>
    <s v="001"/>
    <s v="1,2,1,0,00-001 - ICLD"/>
    <s v="INV"/>
    <s v="NO"/>
    <s v="FORTALECIMIENTO DE LA CONVIVENCIA Y SEGURIDAD CIUDADANA"/>
    <s v="2022130010006 FORTALECIMIENTO DE LA CONVIVENCIA Y SEGURIDAD CIUDADANA"/>
    <s v="06"/>
    <s v="00"/>
    <n v="300000000"/>
    <n v="-300000000"/>
    <n v="0"/>
    <n v="0"/>
    <n v="0"/>
    <n v="0"/>
    <n v="0"/>
    <n v="0"/>
    <n v="0"/>
    <n v="0"/>
    <n v="0"/>
  </r>
  <r>
    <n v="2022"/>
    <n v="100"/>
    <x v="0"/>
    <s v="LOCALIDAD TURISTICA Y DE LA VIRGEN"/>
    <s v="04 LOCALIDAD TURISTICA Y DE LA VIRGEN"/>
    <n v="2022130010007"/>
    <s v="10. PILAR: CARTAGENA TRANSPARENTE"/>
    <s v="10.7 LÍNEA ESTRATÉGICA: PARTICIPACIÓN Y DESCENTRALIZACIÓN"/>
    <s v="10.7.2 PROGRAMA: MODERNIZACIÓN DEL SISTEMA DISTRITAL DE PLANEACIÓN Y DESCENTRALIZACIÓN  "/>
    <s v="2,3,4501,0100,2022130010007"/>
    <s v="001"/>
    <s v="1,2,1,0,00-001 - ICLD"/>
    <s v="INV"/>
    <s v="NO"/>
    <s v="IMPLEMENTACION Y MANTENIMIENTO DE HERRAMIENTAS TECNOLOGICAS PARA SEGURIDAD Y SOCORRO EN LA LOCALIDAD DE LA VIRGEN Y TURISTICA DE CARTAGENA DE INDIAS CARTAGENA DE INDIAS"/>
    <s v="2022130010007 IMPLEMENTACION Y MANTENIMIENTO DE HERRAMIENTAS TECNOLOGICAS PARA SEGURIDAD Y SOCORRO EN LA LOCALIDAD DE LA VIRGEN Y TURISTICA DE CARTAGENA DE INDIAS CARTAGENA DE INDIAS"/>
    <s v="06"/>
    <s v="00"/>
    <n v="300000000"/>
    <n v="-300000000"/>
    <n v="0"/>
    <n v="0"/>
    <n v="0"/>
    <n v="0"/>
    <n v="0"/>
    <n v="0"/>
    <n v="0"/>
    <n v="0"/>
    <n v="0"/>
  </r>
  <r>
    <n v="2022"/>
    <n v="100"/>
    <x v="0"/>
    <s v="LOCALIDAD TURISTICA Y DE LA VIRGEN"/>
    <s v="04 LOCALIDAD TURISTICA Y DE LA VIRGEN"/>
    <n v="2022130010009"/>
    <s v="10. PILAR: CARTAGENA TRANSPARENTE"/>
    <s v="10.7 LÍNEA ESTRATÉGICA: PARTICIPACIÓN Y DESCENTRALIZACIÓN"/>
    <s v="10.7.2 PROGRAMA: MODERNIZACIÓN DEL SISTEMA DISTRITAL DE PLANEACIÓN Y DESCENTRALIZACIÓN  "/>
    <s v="2,3,1709,1000,2022130010009"/>
    <s v="001"/>
    <s v="1,2,1,0,00-001 - ICLD"/>
    <s v="INV"/>
    <s v="NO"/>
    <s v="CONSTRUCCION DE POZOS PROFUNDOS PARA EL DESARROLLO AGROPECUARIO EN LA VEREDA PUA EN EL CORREGIMIENTO DE ARROYO DE PIEDRA DEL DISTRITO DE   CARTAGENA DE INDIAS"/>
    <s v="2022130010009 CONSTRUCCION DE POZOS PROFUNDOS PARA EL DESARROLLO AGROPECUARIO EN LA VEREDA PUA EN EL CORREGIMIENTO DE ARROYO DE PIEDRA DEL DISTRITO DE   CARTAGENA DE INDIAS"/>
    <s v="06"/>
    <s v="00"/>
    <n v="0"/>
    <n v="0"/>
    <n v="0"/>
    <n v="0"/>
    <n v="0"/>
    <n v="0"/>
    <n v="0"/>
    <n v="0"/>
    <n v="0"/>
    <n v="0"/>
    <n v="0"/>
  </r>
  <r>
    <n v="2022"/>
    <n v="100"/>
    <x v="3"/>
    <s v="SECRETARIA DEL INTERIOR Y CONVIVENCIA CIUDADANAL"/>
    <s v="02 SECRETARIA DEL INTERIOR Y CONVIVENCIA CIUDADANAL"/>
    <n v="2022130010013"/>
    <s v="10. PILAR: CARTAGENA TRANSPARENTE"/>
    <s v="10.3 LÍNEA ESTRATÉGICA: CONVIVENCIA Y SEGURIDAD PARA LA GOBERNABILIDAD"/>
    <s v="10.3.1 PLAN INTEGRAL DE SEGURIDAD Y CONVIVENCIA CIUDADANA"/>
    <s v="2,3,4501,1000,2022130010013"/>
    <s v="856"/>
    <s v="1,3,3,4,01-95-040  RB CONTRIBUCION SOBRE CONTRATOS DE OBRA PUBLICA"/>
    <s v="INV"/>
    <s v="NO"/>
    <s v="FORTALECIMIENTO INTEGRAL  DE LAS CAPACIDADES INSTITUCIONALES DE LA POLICIA METROPOLITANA DE  CARTAGENA DE INDIAS"/>
    <s v="2022130010013 FORTALECIMIENTO INTEGRAL  DE LAS CAPACIDADES INSTITUCIONALES DE LA POLICIA METROPOLITANA DE  CARTAGENA DE INDIAS"/>
    <s v="06"/>
    <s v="00"/>
    <n v="0"/>
    <n v="2206177398.8600001"/>
    <n v="2206177398.8600001"/>
    <n v="1423220970"/>
    <n v="782956428.86000001"/>
    <n v="1423220970"/>
    <n v="64.510000000000005"/>
    <n v="478937187.44"/>
    <n v="21.71"/>
    <n v="782956428.86000001"/>
    <n v="208766135.56"/>
  </r>
  <r>
    <m/>
    <m/>
    <x v="21"/>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830BF15-C0A3-4384-90A1-714167312120}" name="TablaDinámica1"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F26" firstHeaderRow="0" firstDataRow="1" firstDataCol="1"/>
  <pivotFields count="29">
    <pivotField showAll="0"/>
    <pivotField showAll="0"/>
    <pivotField axis="axisRow" showAll="0">
      <items count="23">
        <item x="4"/>
        <item x="3"/>
        <item x="14"/>
        <item x="0"/>
        <item x="13"/>
        <item x="17"/>
        <item x="7"/>
        <item x="9"/>
        <item x="15"/>
        <item x="8"/>
        <item x="1"/>
        <item x="16"/>
        <item x="12"/>
        <item x="20"/>
        <item x="5"/>
        <item x="10"/>
        <item x="6"/>
        <item x="11"/>
        <item x="19"/>
        <item x="2"/>
        <item x="18"/>
        <item x="2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dataField="1" showAll="0"/>
    <pivotField showAll="0"/>
    <pivotField dataField="1" showAll="0"/>
    <pivotField showAll="0"/>
    <pivotField showAll="0"/>
    <pivotField dataField="1" showAll="0"/>
  </pivotFields>
  <rowFields count="1">
    <field x="2"/>
  </rowFields>
  <rowItems count="23">
    <i>
      <x/>
    </i>
    <i>
      <x v="1"/>
    </i>
    <i>
      <x v="2"/>
    </i>
    <i>
      <x v="3"/>
    </i>
    <i>
      <x v="4"/>
    </i>
    <i>
      <x v="5"/>
    </i>
    <i>
      <x v="6"/>
    </i>
    <i>
      <x v="7"/>
    </i>
    <i>
      <x v="8"/>
    </i>
    <i>
      <x v="9"/>
    </i>
    <i>
      <x v="10"/>
    </i>
    <i>
      <x v="11"/>
    </i>
    <i>
      <x v="12"/>
    </i>
    <i>
      <x v="13"/>
    </i>
    <i>
      <x v="14"/>
    </i>
    <i>
      <x v="15"/>
    </i>
    <i>
      <x v="16"/>
    </i>
    <i>
      <x v="17"/>
    </i>
    <i>
      <x v="18"/>
    </i>
    <i>
      <x v="19"/>
    </i>
    <i>
      <x v="20"/>
    </i>
    <i>
      <x v="21"/>
    </i>
    <i t="grand">
      <x/>
    </i>
  </rowItems>
  <colFields count="1">
    <field x="-2"/>
  </colFields>
  <colItems count="5">
    <i>
      <x/>
    </i>
    <i i="1">
      <x v="1"/>
    </i>
    <i i="2">
      <x v="2"/>
    </i>
    <i i="3">
      <x v="3"/>
    </i>
    <i i="4">
      <x v="4"/>
    </i>
  </colItems>
  <dataFields count="5">
    <dataField name="Suma de VIGENTE" fld="20" baseField="0" baseItem="0"/>
    <dataField name="Suma de DISPONIBILIDADES" fld="21" baseField="0" baseItem="0"/>
    <dataField name="Suma de COMPROMISOS" fld="23" baseField="0" baseItem="0"/>
    <dataField name="Suma de GIROS" fld="25" baseField="0" baseItem="0"/>
    <dataField name="Suma de PAGOS"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21" cacheId="2" applyNumberFormats="0" applyBorderFormats="0" applyFontFormats="0" applyPatternFormats="0" applyAlignmentFormats="0" applyWidthHeightFormats="1" dataCaption="Valores" grandTotalCaption="TOTAL " updatedVersion="8" minRefreshableVersion="3" useAutoFormatting="1" itemPrintTitles="1" createdVersion="8" indent="0" outline="1" outlineData="1" multipleFieldFilters="0" rowHeaderCaption="UNIDAD EJECUTORA">
  <location ref="A3:J53" firstHeaderRow="0" firstDataRow="1" firstDataCol="1" rowPageCount="1" colPageCount="1"/>
  <pivotFields count="33">
    <pivotField showAll="0"/>
    <pivotField showAll="0"/>
    <pivotField axis="axisPage" showAll="0">
      <items count="22">
        <item x="4"/>
        <item x="3"/>
        <item x="14"/>
        <item x="0"/>
        <item x="13"/>
        <item x="17"/>
        <item x="7"/>
        <item x="9"/>
        <item x="15"/>
        <item x="8"/>
        <item x="1"/>
        <item x="16"/>
        <item x="12"/>
        <item x="20"/>
        <item x="5"/>
        <item x="10"/>
        <item x="6"/>
        <item x="11"/>
        <item x="19"/>
        <item x="2"/>
        <item x="18"/>
        <item t="default"/>
      </items>
    </pivotField>
    <pivotField showAll="0"/>
    <pivotField axis="axisRow" showAll="0">
      <items count="22">
        <item x="4"/>
        <item x="3"/>
        <item x="14"/>
        <item x="0"/>
        <item x="13"/>
        <item x="17"/>
        <item x="7"/>
        <item x="9"/>
        <item x="15"/>
        <item x="8"/>
        <item x="1"/>
        <item x="16"/>
        <item x="12"/>
        <item x="20"/>
        <item x="5"/>
        <item x="10"/>
        <item x="6"/>
        <item x="11"/>
        <item x="19"/>
        <item x="2"/>
        <item x="18"/>
        <item t="default"/>
      </items>
    </pivotField>
    <pivotField numFmtId="1" showAll="0"/>
    <pivotField axis="axisRow" showAll="0">
      <items count="6">
        <item x="1"/>
        <item x="2"/>
        <item x="3"/>
        <item x="0"/>
        <item x="4"/>
        <item t="default"/>
      </items>
    </pivotField>
    <pivotField axis="axisRow" showAll="0">
      <items count="34">
        <item x="19"/>
        <item x="27"/>
        <item x="1"/>
        <item x="2"/>
        <item x="8"/>
        <item x="30"/>
        <item x="0"/>
        <item x="32"/>
        <item x="25"/>
        <item x="29"/>
        <item x="12"/>
        <item x="15"/>
        <item x="13"/>
        <item x="28"/>
        <item x="23"/>
        <item x="31"/>
        <item x="16"/>
        <item x="10"/>
        <item x="18"/>
        <item x="3"/>
        <item x="14"/>
        <item x="20"/>
        <item x="17"/>
        <item x="9"/>
        <item x="6"/>
        <item x="7"/>
        <item x="4"/>
        <item x="5"/>
        <item x="24"/>
        <item x="11"/>
        <item x="21"/>
        <item x="26"/>
        <item x="22"/>
        <item t="default"/>
      </items>
    </pivotField>
    <pivotField axis="axisRow" showAll="0">
      <items count="161">
        <item x="62"/>
        <item x="155"/>
        <item x="112"/>
        <item x="156"/>
        <item x="118"/>
        <item x="154"/>
        <item x="140"/>
        <item x="60"/>
        <item x="153"/>
        <item x="102"/>
        <item x="7"/>
        <item x="2"/>
        <item x="52"/>
        <item x="1"/>
        <item x="22"/>
        <item x="151"/>
        <item x="105"/>
        <item x="114"/>
        <item x="82"/>
        <item x="3"/>
        <item x="15"/>
        <item x="49"/>
        <item x="135"/>
        <item x="134"/>
        <item x="139"/>
        <item x="142"/>
        <item x="138"/>
        <item x="141"/>
        <item x="128"/>
        <item x="0"/>
        <item x="103"/>
        <item x="159"/>
        <item x="150"/>
        <item x="86"/>
        <item x="152"/>
        <item x="137"/>
        <item x="110"/>
        <item x="79"/>
        <item x="80"/>
        <item x="83"/>
        <item x="126"/>
        <item x="131"/>
        <item x="132"/>
        <item x="129"/>
        <item x="28"/>
        <item x="27"/>
        <item x="29"/>
        <item x="26"/>
        <item x="43"/>
        <item x="42"/>
        <item x="32"/>
        <item x="122"/>
        <item x="124"/>
        <item x="123"/>
        <item x="111"/>
        <item x="69"/>
        <item x="136"/>
        <item x="55"/>
        <item x="119"/>
        <item x="46"/>
        <item x="50"/>
        <item x="117"/>
        <item x="45"/>
        <item x="127"/>
        <item x="106"/>
        <item x="53"/>
        <item x="147"/>
        <item x="146"/>
        <item x="38"/>
        <item x="20"/>
        <item x="144"/>
        <item x="145"/>
        <item x="74"/>
        <item x="89"/>
        <item x="57"/>
        <item x="59"/>
        <item x="88"/>
        <item x="108"/>
        <item x="85"/>
        <item x="5"/>
        <item x="4"/>
        <item x="81"/>
        <item x="35"/>
        <item x="36"/>
        <item x="37"/>
        <item x="98"/>
        <item x="67"/>
        <item x="63"/>
        <item x="116"/>
        <item x="125"/>
        <item x="157"/>
        <item x="101"/>
        <item x="66"/>
        <item x="149"/>
        <item x="51"/>
        <item x="90"/>
        <item x="91"/>
        <item x="97"/>
        <item x="21"/>
        <item x="94"/>
        <item x="93"/>
        <item x="95"/>
        <item x="18"/>
        <item x="92"/>
        <item x="96"/>
        <item x="11"/>
        <item x="87"/>
        <item x="61"/>
        <item x="48"/>
        <item x="47"/>
        <item x="58"/>
        <item x="130"/>
        <item x="39"/>
        <item x="33"/>
        <item x="100"/>
        <item x="16"/>
        <item x="30"/>
        <item x="44"/>
        <item x="34"/>
        <item x="31"/>
        <item x="41"/>
        <item x="19"/>
        <item x="17"/>
        <item x="14"/>
        <item x="99"/>
        <item x="12"/>
        <item x="8"/>
        <item x="78"/>
        <item x="13"/>
        <item x="133"/>
        <item x="148"/>
        <item x="6"/>
        <item x="9"/>
        <item x="10"/>
        <item x="77"/>
        <item x="54"/>
        <item x="40"/>
        <item x="56"/>
        <item x="104"/>
        <item x="76"/>
        <item x="25"/>
        <item x="109"/>
        <item x="113"/>
        <item x="115"/>
        <item x="24"/>
        <item x="23"/>
        <item x="70"/>
        <item x="64"/>
        <item x="73"/>
        <item x="71"/>
        <item x="75"/>
        <item x="158"/>
        <item x="65"/>
        <item x="72"/>
        <item x="107"/>
        <item x="84"/>
        <item x="121"/>
        <item x="120"/>
        <item x="143"/>
        <item x="68"/>
        <item t="default"/>
      </items>
    </pivotField>
    <pivotField showAll="0"/>
    <pivotField showAll="0"/>
    <pivotField showAll="0"/>
    <pivotField showAll="0"/>
    <pivotField showAll="0"/>
    <pivotField showAll="0"/>
    <pivotField axis="axisRow" showAll="0">
      <items count="402">
        <item x="1"/>
        <item x="0"/>
        <item x="3"/>
        <item x="2"/>
        <item x="4"/>
        <item x="5"/>
        <item x="6"/>
        <item x="8"/>
        <item x="7"/>
        <item x="9"/>
        <item x="11"/>
        <item x="10"/>
        <item x="12"/>
        <item x="13"/>
        <item x="16"/>
        <item x="15"/>
        <item x="14"/>
        <item x="18"/>
        <item x="17"/>
        <item x="19"/>
        <item x="20"/>
        <item x="21"/>
        <item x="22"/>
        <item x="23"/>
        <item x="25"/>
        <item x="24"/>
        <item x="27"/>
        <item x="26"/>
        <item x="28"/>
        <item x="29"/>
        <item x="30"/>
        <item x="31"/>
        <item x="32"/>
        <item x="33"/>
        <item x="34"/>
        <item x="35"/>
        <item x="36"/>
        <item x="37"/>
        <item x="38"/>
        <item x="39"/>
        <item x="40"/>
        <item x="41"/>
        <item x="42"/>
        <item x="43"/>
        <item x="44"/>
        <item x="45"/>
        <item x="46"/>
        <item x="47"/>
        <item x="48"/>
        <item x="49"/>
        <item x="50"/>
        <item x="51"/>
        <item x="52"/>
        <item x="53"/>
        <item x="54"/>
        <item x="55"/>
        <item x="56"/>
        <item x="58"/>
        <item x="57"/>
        <item x="59"/>
        <item x="60"/>
        <item x="61"/>
        <item x="62"/>
        <item x="63"/>
        <item x="65"/>
        <item x="64"/>
        <item x="66"/>
        <item x="67"/>
        <item x="68"/>
        <item x="69"/>
        <item x="70"/>
        <item x="71"/>
        <item x="72"/>
        <item x="74"/>
        <item x="73"/>
        <item x="75"/>
        <item x="76"/>
        <item x="77"/>
        <item x="78"/>
        <item x="79"/>
        <item x="80"/>
        <item x="81"/>
        <item x="82"/>
        <item x="83"/>
        <item x="84"/>
        <item x="85"/>
        <item x="86"/>
        <item x="87"/>
        <item x="88"/>
        <item x="89"/>
        <item x="90"/>
        <item x="91"/>
        <item x="92"/>
        <item x="93"/>
        <item x="95"/>
        <item x="94"/>
        <item x="96"/>
        <item x="97"/>
        <item x="98"/>
        <item x="99"/>
        <item x="101"/>
        <item x="100"/>
        <item x="103"/>
        <item x="102"/>
        <item x="104"/>
        <item x="105"/>
        <item x="106"/>
        <item x="107"/>
        <item x="108"/>
        <item x="109"/>
        <item x="110"/>
        <item x="111"/>
        <item x="112"/>
        <item x="114"/>
        <item x="113"/>
        <item x="115"/>
        <item x="116"/>
        <item x="117"/>
        <item x="118"/>
        <item x="119"/>
        <item x="122"/>
        <item x="120"/>
        <item x="121"/>
        <item x="123"/>
        <item x="124"/>
        <item x="125"/>
        <item x="126"/>
        <item x="127"/>
        <item x="129"/>
        <item x="128"/>
        <item x="130"/>
        <item x="131"/>
        <item x="132"/>
        <item x="133"/>
        <item x="134"/>
        <item x="135"/>
        <item x="136"/>
        <item x="137"/>
        <item x="138"/>
        <item x="139"/>
        <item x="140"/>
        <item x="141"/>
        <item x="142"/>
        <item x="143"/>
        <item x="144"/>
        <item x="145"/>
        <item x="146"/>
        <item x="147"/>
        <item x="148"/>
        <item x="149"/>
        <item x="151"/>
        <item x="150"/>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3"/>
        <item x="192"/>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4"/>
        <item x="233"/>
        <item x="235"/>
        <item x="236"/>
        <item x="237"/>
        <item x="238"/>
        <item x="239"/>
        <item x="240"/>
        <item x="241"/>
        <item x="242"/>
        <item x="243"/>
        <item x="244"/>
        <item x="246"/>
        <item x="245"/>
        <item x="247"/>
        <item x="248"/>
        <item x="249"/>
        <item x="250"/>
        <item x="251"/>
        <item x="252"/>
        <item x="253"/>
        <item x="254"/>
        <item x="255"/>
        <item x="256"/>
        <item x="257"/>
        <item x="258"/>
        <item x="259"/>
        <item x="260"/>
        <item x="261"/>
        <item x="262"/>
        <item x="263"/>
        <item x="264"/>
        <item x="265"/>
        <item x="266"/>
        <item x="268"/>
        <item x="267"/>
        <item x="269"/>
        <item x="270"/>
        <item x="271"/>
        <item x="272"/>
        <item x="273"/>
        <item x="274"/>
        <item x="275"/>
        <item x="277"/>
        <item x="276"/>
        <item x="278"/>
        <item x="279"/>
        <item x="280"/>
        <item x="281"/>
        <item x="282"/>
        <item x="283"/>
        <item x="285"/>
        <item x="284"/>
        <item x="288"/>
        <item x="286"/>
        <item x="287"/>
        <item x="289"/>
        <item x="290"/>
        <item x="291"/>
        <item x="292"/>
        <item x="293"/>
        <item x="294"/>
        <item x="295"/>
        <item x="297"/>
        <item x="296"/>
        <item x="298"/>
        <item x="299"/>
        <item x="300"/>
        <item x="301"/>
        <item x="302"/>
        <item x="303"/>
        <item x="304"/>
        <item x="305"/>
        <item x="306"/>
        <item x="307"/>
        <item x="308"/>
        <item x="309"/>
        <item x="310"/>
        <item x="311"/>
        <item x="312"/>
        <item x="313"/>
        <item x="314"/>
        <item x="316"/>
        <item x="315"/>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7"/>
        <item x="346"/>
        <item x="348"/>
        <item x="349"/>
        <item x="350"/>
        <item x="351"/>
        <item x="352"/>
        <item x="353"/>
        <item x="354"/>
        <item x="355"/>
        <item x="357"/>
        <item x="356"/>
        <item x="358"/>
        <item x="360"/>
        <item x="359"/>
        <item x="361"/>
        <item x="362"/>
        <item x="363"/>
        <item x="364"/>
        <item x="365"/>
        <item x="366"/>
        <item x="368"/>
        <item x="367"/>
        <item x="369"/>
        <item x="370"/>
        <item x="371"/>
        <item x="372"/>
        <item x="373"/>
        <item x="374"/>
        <item x="376"/>
        <item x="375"/>
        <item x="377"/>
        <item x="378"/>
        <item x="379"/>
        <item x="380"/>
        <item x="381"/>
        <item x="382"/>
        <item x="383"/>
        <item x="384"/>
        <item x="385"/>
        <item x="386"/>
        <item x="387"/>
        <item x="389"/>
        <item x="388"/>
        <item x="390"/>
        <item x="391"/>
        <item x="392"/>
        <item x="393"/>
        <item x="394"/>
        <item x="395"/>
        <item x="396"/>
        <item x="397"/>
        <item x="398"/>
        <item x="399"/>
        <item x="400"/>
        <item t="default"/>
      </items>
    </pivotField>
    <pivotField showAll="0"/>
    <pivotField showAll="0"/>
    <pivotField dataField="1" numFmtId="43" showAll="0"/>
    <pivotField numFmtId="43" showAll="0"/>
    <pivotField dataField="1" numFmtId="43" showAll="0"/>
    <pivotField numFmtId="43" showAll="0"/>
    <pivotField numFmtId="43" showAll="0"/>
    <pivotField dataField="1" numFmtId="43" showAll="0"/>
    <pivotField numFmtId="43" showAll="0"/>
    <pivotField dataField="1" numFmtId="43" showAll="0"/>
    <pivotField numFmtId="43" showAll="0"/>
    <pivotField numFmtId="43" showAll="0"/>
    <pivotField dataField="1" numFmtId="43" showAl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5">
    <field x="4"/>
    <field x="6"/>
    <field x="7"/>
    <field x="8"/>
    <field x="15"/>
  </rowFields>
  <rowItems count="50">
    <i>
      <x/>
    </i>
    <i r="1">
      <x/>
    </i>
    <i r="2">
      <x v="17"/>
    </i>
    <i r="3">
      <x v="65"/>
    </i>
    <i r="4">
      <x v="108"/>
    </i>
    <i r="3">
      <x v="66"/>
    </i>
    <i r="4">
      <x v="365"/>
    </i>
    <i r="4">
      <x v="366"/>
    </i>
    <i r="3">
      <x v="67"/>
    </i>
    <i r="4">
      <x v="364"/>
    </i>
    <i r="4">
      <x v="370"/>
    </i>
    <i r="3">
      <x v="68"/>
    </i>
    <i r="4">
      <x v="79"/>
    </i>
    <i r="3">
      <x v="69"/>
    </i>
    <i r="4">
      <x v="42"/>
    </i>
    <i r="2">
      <x v="19"/>
    </i>
    <i r="3">
      <x v="78"/>
    </i>
    <i r="4">
      <x v="236"/>
    </i>
    <i r="3">
      <x v="79"/>
    </i>
    <i r="4">
      <x v="12"/>
    </i>
    <i r="3">
      <x v="80"/>
    </i>
    <i r="4">
      <x v="10"/>
    </i>
    <i r="4">
      <x v="11"/>
    </i>
    <i r="1">
      <x v="1"/>
    </i>
    <i r="2">
      <x v="23"/>
    </i>
    <i r="3">
      <x v="95"/>
    </i>
    <i r="4">
      <x v="250"/>
    </i>
    <i r="3">
      <x v="96"/>
    </i>
    <i r="4">
      <x v="251"/>
    </i>
    <i r="4">
      <x v="358"/>
    </i>
    <i r="3">
      <x v="97"/>
    </i>
    <i r="4">
      <x v="257"/>
    </i>
    <i r="3">
      <x v="98"/>
    </i>
    <i r="4">
      <x v="43"/>
    </i>
    <i r="3">
      <x v="99"/>
    </i>
    <i r="4">
      <x v="254"/>
    </i>
    <i r="3">
      <x v="100"/>
    </i>
    <i r="4">
      <x v="253"/>
    </i>
    <i r="3">
      <x v="101"/>
    </i>
    <i r="4">
      <x v="255"/>
    </i>
    <i r="3">
      <x v="102"/>
    </i>
    <i r="4">
      <x v="40"/>
    </i>
    <i r="3">
      <x v="103"/>
    </i>
    <i r="4">
      <x v="252"/>
    </i>
    <i r="3">
      <x v="104"/>
    </i>
    <i r="4">
      <x v="256"/>
    </i>
    <i r="2">
      <x v="26"/>
    </i>
    <i r="3">
      <x v="131"/>
    </i>
    <i r="4">
      <x v="13"/>
    </i>
    <i t="grand">
      <x/>
    </i>
  </rowItems>
  <colFields count="1">
    <field x="-2"/>
  </colFields>
  <colItems count="9">
    <i>
      <x/>
    </i>
    <i i="1">
      <x v="1"/>
    </i>
    <i i="2">
      <x v="2"/>
    </i>
    <i i="3">
      <x v="3"/>
    </i>
    <i i="4">
      <x v="4"/>
    </i>
    <i i="5">
      <x v="5"/>
    </i>
    <i i="6">
      <x v="6"/>
    </i>
    <i i="7">
      <x v="7"/>
    </i>
    <i i="8">
      <x v="8"/>
    </i>
  </colItems>
  <pageFields count="1">
    <pageField fld="2" item="0" hier="-1"/>
  </pageFields>
  <dataFields count="9">
    <dataField name="PPTO INICIAL" fld="18" baseField="4" baseItem="0"/>
    <dataField name="PPTO VIGENTE" fld="20" baseField="4" baseItem="0"/>
    <dataField name="COMPROMISOS." fld="23" baseField="4" baseItem="0"/>
    <dataField name="GIROS." fld="25" baseField="4" baseItem="0"/>
    <dataField name="PAGOS " fld="28" baseField="4" baseItem="0"/>
    <dataField name=" SALDO APROPIACIÓN CDP" fld="29" baseField="4" baseItem="0" numFmtId="43"/>
    <dataField name="SALDO APROPIACIÓN RP" fld="30" baseField="4" baseItem="0" numFmtId="43"/>
    <dataField name="Suma de % CDP" fld="31" baseField="0" baseItem="0" numFmtId="43"/>
    <dataField name="Suma de % RP" fld="32" baseField="0" baseItem="0" numFmtId="43"/>
  </dataFields>
  <formats count="341">
    <format dxfId="7243">
      <pivotArea dataOnly="0" labelOnly="1" fieldPosition="0">
        <references count="1">
          <reference field="4" count="0"/>
        </references>
      </pivotArea>
    </format>
    <format dxfId="7242">
      <pivotArea dataOnly="0" labelOnly="1" fieldPosition="0">
        <references count="1">
          <reference field="4" count="1">
            <x v="0"/>
          </reference>
        </references>
      </pivotArea>
    </format>
    <format dxfId="7241">
      <pivotArea dataOnly="0" labelOnly="1" fieldPosition="0">
        <references count="1">
          <reference field="6" count="0"/>
        </references>
      </pivotArea>
    </format>
    <format dxfId="7240">
      <pivotArea dataOnly="0" labelOnly="1" fieldPosition="0">
        <references count="1">
          <reference field="7" count="0"/>
        </references>
      </pivotArea>
    </format>
    <format dxfId="7239">
      <pivotArea dataOnly="0" labelOnly="1" fieldPosition="0">
        <references count="1">
          <reference field="7" count="0"/>
        </references>
      </pivotArea>
    </format>
    <format dxfId="7238">
      <pivotArea dataOnly="0" labelOnly="1" fieldPosition="0">
        <references count="1">
          <reference field="8" count="0"/>
        </references>
      </pivotArea>
    </format>
    <format dxfId="7237">
      <pivotArea outline="0" collapsedLevelsAreSubtotals="1" fieldPosition="0"/>
    </format>
    <format dxfId="7236">
      <pivotArea dataOnly="0" labelOnly="1" outline="0" fieldPosition="0">
        <references count="1">
          <reference field="2" count="0"/>
        </references>
      </pivotArea>
    </format>
    <format dxfId="7235">
      <pivotArea dataOnly="0" labelOnly="1" outline="0" fieldPosition="0">
        <references count="1">
          <reference field="4294967294" count="9">
            <x v="0"/>
            <x v="1"/>
            <x v="2"/>
            <x v="3"/>
            <x v="4"/>
            <x v="5"/>
            <x v="6"/>
            <x v="7"/>
            <x v="8"/>
          </reference>
        </references>
      </pivotArea>
    </format>
    <format dxfId="7234">
      <pivotArea field="2" type="button" dataOnly="0" labelOnly="1" outline="0" axis="axisPage" fieldPosition="0"/>
    </format>
    <format dxfId="7233">
      <pivotArea field="4" type="button" dataOnly="0" labelOnly="1" outline="0" axis="axisRow" fieldPosition="0"/>
    </format>
    <format dxfId="7232">
      <pivotArea dataOnly="0" labelOnly="1" fieldPosition="0">
        <references count="1">
          <reference field="4" count="0"/>
        </references>
      </pivotArea>
    </format>
    <format dxfId="7231">
      <pivotArea dataOnly="0" labelOnly="1" grandRow="1" outline="0" fieldPosition="0"/>
    </format>
    <format dxfId="7230">
      <pivotArea dataOnly="0" labelOnly="1" fieldPosition="0">
        <references count="2">
          <reference field="4" count="1" selected="0">
            <x v="0"/>
          </reference>
          <reference field="6" count="2">
            <x v="0"/>
            <x v="1"/>
          </reference>
        </references>
      </pivotArea>
    </format>
    <format dxfId="7229">
      <pivotArea dataOnly="0" labelOnly="1" fieldPosition="0">
        <references count="2">
          <reference field="4" count="1" selected="0">
            <x v="1"/>
          </reference>
          <reference field="6" count="3">
            <x v="0"/>
            <x v="3"/>
            <x v="4"/>
          </reference>
        </references>
      </pivotArea>
    </format>
    <format dxfId="7228">
      <pivotArea dataOnly="0" labelOnly="1" fieldPosition="0">
        <references count="2">
          <reference field="4" count="1" selected="0">
            <x v="2"/>
          </reference>
          <reference field="6" count="3">
            <x v="2"/>
            <x v="3"/>
            <x v="4"/>
          </reference>
        </references>
      </pivotArea>
    </format>
    <format dxfId="7227">
      <pivotArea dataOnly="0" labelOnly="1" fieldPosition="0">
        <references count="2">
          <reference field="4" count="1" selected="0">
            <x v="3"/>
          </reference>
          <reference field="6" count="1">
            <x v="3"/>
          </reference>
        </references>
      </pivotArea>
    </format>
    <format dxfId="7226">
      <pivotArea dataOnly="0" labelOnly="1" fieldPosition="0">
        <references count="2">
          <reference field="4" count="1" selected="0">
            <x v="4"/>
          </reference>
          <reference field="6" count="4">
            <x v="0"/>
            <x v="1"/>
            <x v="2"/>
            <x v="3"/>
          </reference>
        </references>
      </pivotArea>
    </format>
    <format dxfId="7225">
      <pivotArea dataOnly="0" labelOnly="1" fieldPosition="0">
        <references count="2">
          <reference field="4" count="1" selected="0">
            <x v="5"/>
          </reference>
          <reference field="6" count="2">
            <x v="0"/>
            <x v="4"/>
          </reference>
        </references>
      </pivotArea>
    </format>
    <format dxfId="7224">
      <pivotArea dataOnly="0" labelOnly="1" fieldPosition="0">
        <references count="2">
          <reference field="4" count="1" selected="0">
            <x v="6"/>
          </reference>
          <reference field="6" count="1">
            <x v="1"/>
          </reference>
        </references>
      </pivotArea>
    </format>
    <format dxfId="7223">
      <pivotArea dataOnly="0" labelOnly="1" fieldPosition="0">
        <references count="2">
          <reference field="4" count="1" selected="0">
            <x v="7"/>
          </reference>
          <reference field="6" count="4">
            <x v="0"/>
            <x v="2"/>
            <x v="3"/>
            <x v="4"/>
          </reference>
        </references>
      </pivotArea>
    </format>
    <format dxfId="7222">
      <pivotArea dataOnly="0" labelOnly="1" fieldPosition="0">
        <references count="2">
          <reference field="4" count="1" selected="0">
            <x v="8"/>
          </reference>
          <reference field="6" count="4">
            <x v="0"/>
            <x v="1"/>
            <x v="2"/>
            <x v="3"/>
          </reference>
        </references>
      </pivotArea>
    </format>
    <format dxfId="7221">
      <pivotArea dataOnly="0" labelOnly="1" fieldPosition="0">
        <references count="2">
          <reference field="4" count="1" selected="0">
            <x v="9"/>
          </reference>
          <reference field="6" count="1">
            <x v="1"/>
          </reference>
        </references>
      </pivotArea>
    </format>
    <format dxfId="7220">
      <pivotArea dataOnly="0" labelOnly="1" fieldPosition="0">
        <references count="2">
          <reference field="4" count="1" selected="0">
            <x v="10"/>
          </reference>
          <reference field="6" count="1">
            <x v="3"/>
          </reference>
        </references>
      </pivotArea>
    </format>
    <format dxfId="7219">
      <pivotArea dataOnly="0" labelOnly="1" fieldPosition="0">
        <references count="2">
          <reference field="4" count="1" selected="0">
            <x v="11"/>
          </reference>
          <reference field="6" count="1">
            <x v="0"/>
          </reference>
        </references>
      </pivotArea>
    </format>
    <format dxfId="7218">
      <pivotArea dataOnly="0" labelOnly="1" fieldPosition="0">
        <references count="2">
          <reference field="4" count="1" selected="0">
            <x v="12"/>
          </reference>
          <reference field="6" count="1">
            <x v="0"/>
          </reference>
        </references>
      </pivotArea>
    </format>
    <format dxfId="7217">
      <pivotArea dataOnly="0" labelOnly="1" fieldPosition="0">
        <references count="2">
          <reference field="4" count="1" selected="0">
            <x v="13"/>
          </reference>
          <reference field="6" count="1">
            <x v="3"/>
          </reference>
        </references>
      </pivotArea>
    </format>
    <format dxfId="7216">
      <pivotArea dataOnly="0" labelOnly="1" fieldPosition="0">
        <references count="2">
          <reference field="4" count="1" selected="0">
            <x v="14"/>
          </reference>
          <reference field="6" count="1">
            <x v="1"/>
          </reference>
        </references>
      </pivotArea>
    </format>
    <format dxfId="7215">
      <pivotArea dataOnly="0" labelOnly="1" fieldPosition="0">
        <references count="2">
          <reference field="4" count="1" selected="0">
            <x v="15"/>
          </reference>
          <reference field="6" count="1">
            <x v="0"/>
          </reference>
        </references>
      </pivotArea>
    </format>
    <format dxfId="7214">
      <pivotArea dataOnly="0" labelOnly="1" fieldPosition="0">
        <references count="2">
          <reference field="4" count="1" selected="0">
            <x v="16"/>
          </reference>
          <reference field="6" count="3">
            <x v="1"/>
            <x v="3"/>
            <x v="4"/>
          </reference>
        </references>
      </pivotArea>
    </format>
    <format dxfId="7213">
      <pivotArea dataOnly="0" labelOnly="1" fieldPosition="0">
        <references count="2">
          <reference field="4" count="1" selected="0">
            <x v="17"/>
          </reference>
          <reference field="6" count="1">
            <x v="0"/>
          </reference>
        </references>
      </pivotArea>
    </format>
    <format dxfId="7212">
      <pivotArea dataOnly="0" labelOnly="1" fieldPosition="0">
        <references count="2">
          <reference field="4" count="1" selected="0">
            <x v="18"/>
          </reference>
          <reference field="6" count="1">
            <x v="3"/>
          </reference>
        </references>
      </pivotArea>
    </format>
    <format dxfId="7211">
      <pivotArea dataOnly="0" labelOnly="1" fieldPosition="0">
        <references count="2">
          <reference field="4" count="1" selected="0">
            <x v="19"/>
          </reference>
          <reference field="6" count="1">
            <x v="3"/>
          </reference>
        </references>
      </pivotArea>
    </format>
    <format dxfId="7210">
      <pivotArea dataOnly="0" labelOnly="1" fieldPosition="0">
        <references count="2">
          <reference field="4" count="1" selected="0">
            <x v="20"/>
          </reference>
          <reference field="6" count="1">
            <x v="1"/>
          </reference>
        </references>
      </pivotArea>
    </format>
    <format dxfId="7209">
      <pivotArea dataOnly="0" labelOnly="1" fieldPosition="0">
        <references count="3">
          <reference field="4" count="1" selected="0">
            <x v="0"/>
          </reference>
          <reference field="6" count="1" selected="0">
            <x v="0"/>
          </reference>
          <reference field="7" count="2">
            <x v="17"/>
            <x v="19"/>
          </reference>
        </references>
      </pivotArea>
    </format>
    <format dxfId="7208">
      <pivotArea dataOnly="0" labelOnly="1" fieldPosition="0">
        <references count="3">
          <reference field="4" count="1" selected="0">
            <x v="0"/>
          </reference>
          <reference field="6" count="1" selected="0">
            <x v="1"/>
          </reference>
          <reference field="7" count="2">
            <x v="23"/>
            <x v="26"/>
          </reference>
        </references>
      </pivotArea>
    </format>
    <format dxfId="7207">
      <pivotArea dataOnly="0" labelOnly="1" fieldPosition="0">
        <references count="3">
          <reference field="4" count="1" selected="0">
            <x v="1"/>
          </reference>
          <reference field="6" count="1" selected="0">
            <x v="0"/>
          </reference>
          <reference field="7" count="1">
            <x v="19"/>
          </reference>
        </references>
      </pivotArea>
    </format>
    <format dxfId="7206">
      <pivotArea dataOnly="0" labelOnly="1" fieldPosition="0">
        <references count="3">
          <reference field="4" count="1" selected="0">
            <x v="1"/>
          </reference>
          <reference field="6" count="1" selected="0">
            <x v="3"/>
          </reference>
          <reference field="7" count="3">
            <x v="2"/>
            <x v="3"/>
            <x v="4"/>
          </reference>
        </references>
      </pivotArea>
    </format>
    <format dxfId="7205">
      <pivotArea dataOnly="0" labelOnly="1" fieldPosition="0">
        <references count="3">
          <reference field="4" count="1" selected="0">
            <x v="1"/>
          </reference>
          <reference field="6" count="1" selected="0">
            <x v="4"/>
          </reference>
          <reference field="7" count="1">
            <x v="8"/>
          </reference>
        </references>
      </pivotArea>
    </format>
    <format dxfId="7204">
      <pivotArea dataOnly="0" labelOnly="1" fieldPosition="0">
        <references count="3">
          <reference field="4" count="1" selected="0">
            <x v="2"/>
          </reference>
          <reference field="6" count="1" selected="0">
            <x v="2"/>
          </reference>
          <reference field="7" count="2">
            <x v="29"/>
            <x v="30"/>
          </reference>
        </references>
      </pivotArea>
    </format>
    <format dxfId="7203">
      <pivotArea dataOnly="0" labelOnly="1" fieldPosition="0">
        <references count="3">
          <reference field="4" count="1" selected="0">
            <x v="2"/>
          </reference>
          <reference field="6" count="1" selected="0">
            <x v="3"/>
          </reference>
          <reference field="7" count="2">
            <x v="5"/>
            <x v="7"/>
          </reference>
        </references>
      </pivotArea>
    </format>
    <format dxfId="7202">
      <pivotArea dataOnly="0" labelOnly="1" fieldPosition="0">
        <references count="3">
          <reference field="4" count="1" selected="0">
            <x v="2"/>
          </reference>
          <reference field="6" count="1" selected="0">
            <x v="4"/>
          </reference>
          <reference field="7" count="1">
            <x v="8"/>
          </reference>
        </references>
      </pivotArea>
    </format>
    <format dxfId="7201">
      <pivotArea dataOnly="0" labelOnly="1" fieldPosition="0">
        <references count="3">
          <reference field="4" count="1" selected="0">
            <x v="3"/>
          </reference>
          <reference field="6" count="1" selected="0">
            <x v="3"/>
          </reference>
          <reference field="7" count="1">
            <x v="6"/>
          </reference>
        </references>
      </pivotArea>
    </format>
    <format dxfId="7200">
      <pivotArea dataOnly="0" labelOnly="1" fieldPosition="0">
        <references count="3">
          <reference field="4" count="1" selected="0">
            <x v="4"/>
          </reference>
          <reference field="6" count="1" selected="0">
            <x v="0"/>
          </reference>
          <reference field="7" count="1">
            <x v="21"/>
          </reference>
        </references>
      </pivotArea>
    </format>
    <format dxfId="7199">
      <pivotArea dataOnly="0" labelOnly="1" fieldPosition="0">
        <references count="3">
          <reference field="4" count="1" selected="0">
            <x v="4"/>
          </reference>
          <reference field="6" count="1" selected="0">
            <x v="1"/>
          </reference>
          <reference field="7" count="1">
            <x v="24"/>
          </reference>
        </references>
      </pivotArea>
    </format>
    <format dxfId="7198">
      <pivotArea dataOnly="0" labelOnly="1" fieldPosition="0">
        <references count="3">
          <reference field="4" count="1" selected="0">
            <x v="4"/>
          </reference>
          <reference field="6" count="1" selected="0">
            <x v="2"/>
          </reference>
          <reference field="7" count="2">
            <x v="29"/>
            <x v="31"/>
          </reference>
        </references>
      </pivotArea>
    </format>
    <format dxfId="7197">
      <pivotArea dataOnly="0" labelOnly="1" fieldPosition="0">
        <references count="3">
          <reference field="4" count="1" selected="0">
            <x v="4"/>
          </reference>
          <reference field="6" count="1" selected="0">
            <x v="3"/>
          </reference>
          <reference field="7" count="2">
            <x v="0"/>
            <x v="1"/>
          </reference>
        </references>
      </pivotArea>
    </format>
    <format dxfId="7196">
      <pivotArea dataOnly="0" labelOnly="1" fieldPosition="0">
        <references count="3">
          <reference field="4" count="1" selected="0">
            <x v="5"/>
          </reference>
          <reference field="6" count="1" selected="0">
            <x v="0"/>
          </reference>
          <reference field="7" count="2">
            <x v="18"/>
            <x v="22"/>
          </reference>
        </references>
      </pivotArea>
    </format>
    <format dxfId="7195">
      <pivotArea dataOnly="0" labelOnly="1" fieldPosition="0">
        <references count="3">
          <reference field="4" count="1" selected="0">
            <x v="5"/>
          </reference>
          <reference field="6" count="1" selected="0">
            <x v="4"/>
          </reference>
          <reference field="7" count="1">
            <x v="8"/>
          </reference>
        </references>
      </pivotArea>
    </format>
    <format dxfId="7194">
      <pivotArea dataOnly="0" labelOnly="1" fieldPosition="0">
        <references count="3">
          <reference field="4" count="1" selected="0">
            <x v="6"/>
          </reference>
          <reference field="6" count="1" selected="0">
            <x v="1"/>
          </reference>
          <reference field="7" count="1">
            <x v="24"/>
          </reference>
        </references>
      </pivotArea>
    </format>
    <format dxfId="7193">
      <pivotArea dataOnly="0" labelOnly="1" fieldPosition="0">
        <references count="3">
          <reference field="4" count="1" selected="0">
            <x v="7"/>
          </reference>
          <reference field="6" count="1" selected="0">
            <x v="0"/>
          </reference>
          <reference field="7" count="1">
            <x v="16"/>
          </reference>
        </references>
      </pivotArea>
    </format>
    <format dxfId="7192">
      <pivotArea dataOnly="0" labelOnly="1" fieldPosition="0">
        <references count="3">
          <reference field="4" count="1" selected="0">
            <x v="7"/>
          </reference>
          <reference field="6" count="1" selected="0">
            <x v="2"/>
          </reference>
          <reference field="7" count="2">
            <x v="29"/>
            <x v="30"/>
          </reference>
        </references>
      </pivotArea>
    </format>
    <format dxfId="7191">
      <pivotArea dataOnly="0" labelOnly="1" fieldPosition="0">
        <references count="3">
          <reference field="4" count="1" selected="0">
            <x v="7"/>
          </reference>
          <reference field="6" count="1" selected="0">
            <x v="3"/>
          </reference>
          <reference field="7" count="1">
            <x v="6"/>
          </reference>
        </references>
      </pivotArea>
    </format>
    <format dxfId="7190">
      <pivotArea dataOnly="0" labelOnly="1" fieldPosition="0">
        <references count="3">
          <reference field="4" count="1" selected="0">
            <x v="7"/>
          </reference>
          <reference field="6" count="1" selected="0">
            <x v="4"/>
          </reference>
          <reference field="7" count="8">
            <x v="8"/>
            <x v="9"/>
            <x v="10"/>
            <x v="11"/>
            <x v="12"/>
            <x v="13"/>
            <x v="14"/>
            <x v="15"/>
          </reference>
        </references>
      </pivotArea>
    </format>
    <format dxfId="7189">
      <pivotArea dataOnly="0" labelOnly="1" fieldPosition="0">
        <references count="3">
          <reference field="4" count="1" selected="0">
            <x v="8"/>
          </reference>
          <reference field="6" count="1" selected="0">
            <x v="0"/>
          </reference>
          <reference field="7" count="2">
            <x v="18"/>
            <x v="22"/>
          </reference>
        </references>
      </pivotArea>
    </format>
    <format dxfId="7188">
      <pivotArea dataOnly="0" labelOnly="1" fieldPosition="0">
        <references count="3">
          <reference field="4" count="1" selected="0">
            <x v="8"/>
          </reference>
          <reference field="6" count="1" selected="0">
            <x v="1"/>
          </reference>
          <reference field="7" count="1">
            <x v="28"/>
          </reference>
        </references>
      </pivotArea>
    </format>
    <format dxfId="7187">
      <pivotArea dataOnly="0" labelOnly="1" fieldPosition="0">
        <references count="3">
          <reference field="4" count="1" selected="0">
            <x v="8"/>
          </reference>
          <reference field="6" count="1" selected="0">
            <x v="2"/>
          </reference>
          <reference field="7" count="1">
            <x v="32"/>
          </reference>
        </references>
      </pivotArea>
    </format>
    <format dxfId="7186">
      <pivotArea dataOnly="0" labelOnly="1" fieldPosition="0">
        <references count="3">
          <reference field="4" count="1" selected="0">
            <x v="8"/>
          </reference>
          <reference field="6" count="1" selected="0">
            <x v="3"/>
          </reference>
          <reference field="7" count="1">
            <x v="6"/>
          </reference>
        </references>
      </pivotArea>
    </format>
    <format dxfId="7185">
      <pivotArea dataOnly="0" labelOnly="1" fieldPosition="0">
        <references count="3">
          <reference field="4" count="1" selected="0">
            <x v="9"/>
          </reference>
          <reference field="6" count="1" selected="0">
            <x v="1"/>
          </reference>
          <reference field="7" count="1">
            <x v="25"/>
          </reference>
        </references>
      </pivotArea>
    </format>
    <format dxfId="7184">
      <pivotArea dataOnly="0" labelOnly="1" fieldPosition="0">
        <references count="3">
          <reference field="4" count="1" selected="0">
            <x v="10"/>
          </reference>
          <reference field="6" count="1" selected="0">
            <x v="3"/>
          </reference>
          <reference field="7" count="1">
            <x v="6"/>
          </reference>
        </references>
      </pivotArea>
    </format>
    <format dxfId="7183">
      <pivotArea dataOnly="0" labelOnly="1" fieldPosition="0">
        <references count="3">
          <reference field="4" count="1" selected="0">
            <x v="11"/>
          </reference>
          <reference field="6" count="1" selected="0">
            <x v="0"/>
          </reference>
          <reference field="7" count="1">
            <x v="17"/>
          </reference>
        </references>
      </pivotArea>
    </format>
    <format dxfId="7182">
      <pivotArea dataOnly="0" labelOnly="1" fieldPosition="0">
        <references count="3">
          <reference field="4" count="1" selected="0">
            <x v="12"/>
          </reference>
          <reference field="6" count="1" selected="0">
            <x v="0"/>
          </reference>
          <reference field="7" count="1">
            <x v="18"/>
          </reference>
        </references>
      </pivotArea>
    </format>
    <format dxfId="7181">
      <pivotArea dataOnly="0" labelOnly="1" fieldPosition="0">
        <references count="3">
          <reference field="4" count="1" selected="0">
            <x v="13"/>
          </reference>
          <reference field="6" count="1" selected="0">
            <x v="3"/>
          </reference>
          <reference field="7" count="2">
            <x v="1"/>
            <x v="5"/>
          </reference>
        </references>
      </pivotArea>
    </format>
    <format dxfId="7180">
      <pivotArea dataOnly="0" labelOnly="1" fieldPosition="0">
        <references count="3">
          <reference field="4" count="1" selected="0">
            <x v="14"/>
          </reference>
          <reference field="6" count="1" selected="0">
            <x v="1"/>
          </reference>
          <reference field="7" count="1">
            <x v="26"/>
          </reference>
        </references>
      </pivotArea>
    </format>
    <format dxfId="7179">
      <pivotArea dataOnly="0" labelOnly="1" fieldPosition="0">
        <references count="3">
          <reference field="4" count="1" selected="0">
            <x v="15"/>
          </reference>
          <reference field="6" count="1" selected="0">
            <x v="0"/>
          </reference>
          <reference field="7" count="1">
            <x v="20"/>
          </reference>
        </references>
      </pivotArea>
    </format>
    <format dxfId="7178">
      <pivotArea dataOnly="0" labelOnly="1" fieldPosition="0">
        <references count="3">
          <reference field="4" count="1" selected="0">
            <x v="16"/>
          </reference>
          <reference field="6" count="1" selected="0">
            <x v="1"/>
          </reference>
          <reference field="7" count="1">
            <x v="27"/>
          </reference>
        </references>
      </pivotArea>
    </format>
    <format dxfId="7177">
      <pivotArea dataOnly="0" labelOnly="1" fieldPosition="0">
        <references count="3">
          <reference field="4" count="1" selected="0">
            <x v="16"/>
          </reference>
          <reference field="6" count="1" selected="0">
            <x v="3"/>
          </reference>
          <reference field="7" count="1">
            <x v="1"/>
          </reference>
        </references>
      </pivotArea>
    </format>
    <format dxfId="7176">
      <pivotArea dataOnly="0" labelOnly="1" fieldPosition="0">
        <references count="3">
          <reference field="4" count="1" selected="0">
            <x v="16"/>
          </reference>
          <reference field="6" count="1" selected="0">
            <x v="4"/>
          </reference>
          <reference field="7" count="2">
            <x v="8"/>
            <x v="11"/>
          </reference>
        </references>
      </pivotArea>
    </format>
    <format dxfId="7175">
      <pivotArea dataOnly="0" labelOnly="1" fieldPosition="0">
        <references count="3">
          <reference field="4" count="1" selected="0">
            <x v="17"/>
          </reference>
          <reference field="6" count="1" selected="0">
            <x v="0"/>
          </reference>
          <reference field="7" count="2">
            <x v="16"/>
            <x v="22"/>
          </reference>
        </references>
      </pivotArea>
    </format>
    <format dxfId="7174">
      <pivotArea dataOnly="0" labelOnly="1" fieldPosition="0">
        <references count="3">
          <reference field="4" count="1" selected="0">
            <x v="18"/>
          </reference>
          <reference field="6" count="1" selected="0">
            <x v="3"/>
          </reference>
          <reference field="7" count="1">
            <x v="2"/>
          </reference>
        </references>
      </pivotArea>
    </format>
    <format dxfId="7173">
      <pivotArea dataOnly="0" labelOnly="1" fieldPosition="0">
        <references count="3">
          <reference field="4" count="1" selected="0">
            <x v="19"/>
          </reference>
          <reference field="6" count="1" selected="0">
            <x v="3"/>
          </reference>
          <reference field="7" count="1">
            <x v="6"/>
          </reference>
        </references>
      </pivotArea>
    </format>
    <format dxfId="7172">
      <pivotArea dataOnly="0" labelOnly="1" fieldPosition="0">
        <references count="3">
          <reference field="4" count="1" selected="0">
            <x v="20"/>
          </reference>
          <reference field="6" count="1" selected="0">
            <x v="1"/>
          </reference>
          <reference field="7" count="1">
            <x v="24"/>
          </reference>
        </references>
      </pivotArea>
    </format>
    <format dxfId="7171">
      <pivotArea dataOnly="0" labelOnly="1" fieldPosition="0">
        <references count="4">
          <reference field="4" count="1" selected="0">
            <x v="0"/>
          </reference>
          <reference field="6" count="1" selected="0">
            <x v="0"/>
          </reference>
          <reference field="7" count="1" selected="0">
            <x v="17"/>
          </reference>
          <reference field="8" count="5">
            <x v="65"/>
            <x v="66"/>
            <x v="67"/>
            <x v="68"/>
            <x v="69"/>
          </reference>
        </references>
      </pivotArea>
    </format>
    <format dxfId="7170">
      <pivotArea dataOnly="0" labelOnly="1" fieldPosition="0">
        <references count="4">
          <reference field="4" count="1" selected="0">
            <x v="0"/>
          </reference>
          <reference field="6" count="1" selected="0">
            <x v="0"/>
          </reference>
          <reference field="7" count="1" selected="0">
            <x v="19"/>
          </reference>
          <reference field="8" count="3">
            <x v="78"/>
            <x v="79"/>
            <x v="80"/>
          </reference>
        </references>
      </pivotArea>
    </format>
    <format dxfId="7169">
      <pivotArea dataOnly="0" labelOnly="1" fieldPosition="0">
        <references count="4">
          <reference field="4" count="1" selected="0">
            <x v="0"/>
          </reference>
          <reference field="6" count="1" selected="0">
            <x v="1"/>
          </reference>
          <reference field="7" count="1" selected="0">
            <x v="23"/>
          </reference>
          <reference field="8" count="10">
            <x v="95"/>
            <x v="96"/>
            <x v="97"/>
            <x v="98"/>
            <x v="99"/>
            <x v="100"/>
            <x v="101"/>
            <x v="102"/>
            <x v="103"/>
            <x v="104"/>
          </reference>
        </references>
      </pivotArea>
    </format>
    <format dxfId="7168">
      <pivotArea dataOnly="0" labelOnly="1" fieldPosition="0">
        <references count="4">
          <reference field="4" count="1" selected="0">
            <x v="0"/>
          </reference>
          <reference field="6" count="1" selected="0">
            <x v="1"/>
          </reference>
          <reference field="7" count="1" selected="0">
            <x v="26"/>
          </reference>
          <reference field="8" count="1">
            <x v="131"/>
          </reference>
        </references>
      </pivotArea>
    </format>
    <format dxfId="7167">
      <pivotArea dataOnly="0" labelOnly="1" fieldPosition="0">
        <references count="4">
          <reference field="4" count="1" selected="0">
            <x v="1"/>
          </reference>
          <reference field="6" count="1" selected="0">
            <x v="0"/>
          </reference>
          <reference field="7" count="1" selected="0">
            <x v="19"/>
          </reference>
          <reference field="8" count="1">
            <x v="81"/>
          </reference>
        </references>
      </pivotArea>
    </format>
    <format dxfId="7166">
      <pivotArea dataOnly="0" labelOnly="1" fieldPosition="0">
        <references count="4">
          <reference field="4" count="1" selected="0">
            <x v="1"/>
          </reference>
          <reference field="6" count="1" selected="0">
            <x v="3"/>
          </reference>
          <reference field="7" count="1" selected="0">
            <x v="2"/>
          </reference>
          <reference field="8" count="7">
            <x v="7"/>
            <x v="10"/>
            <x v="11"/>
            <x v="12"/>
            <x v="13"/>
            <x v="14"/>
            <x v="15"/>
          </reference>
        </references>
      </pivotArea>
    </format>
    <format dxfId="7165">
      <pivotArea dataOnly="0" labelOnly="1" fieldPosition="0">
        <references count="4">
          <reference field="4" count="1" selected="0">
            <x v="1"/>
          </reference>
          <reference field="6" count="1" selected="0">
            <x v="3"/>
          </reference>
          <reference field="7" count="1" selected="0">
            <x v="3"/>
          </reference>
          <reference field="8" count="2">
            <x v="18"/>
            <x v="19"/>
          </reference>
        </references>
      </pivotArea>
    </format>
    <format dxfId="7164">
      <pivotArea dataOnly="0" labelOnly="1" fieldPosition="0">
        <references count="4">
          <reference field="4" count="1" selected="0">
            <x v="1"/>
          </reference>
          <reference field="6" count="1" selected="0">
            <x v="3"/>
          </reference>
          <reference field="7" count="1" selected="0">
            <x v="4"/>
          </reference>
          <reference field="8" count="2">
            <x v="20"/>
            <x v="21"/>
          </reference>
        </references>
      </pivotArea>
    </format>
    <format dxfId="7163">
      <pivotArea dataOnly="0" labelOnly="1" fieldPosition="0">
        <references count="4">
          <reference field="4" count="1" selected="0">
            <x v="1"/>
          </reference>
          <reference field="6" count="1" selected="0">
            <x v="4"/>
          </reference>
          <reference field="7" count="1" selected="0">
            <x v="8"/>
          </reference>
          <reference field="8" count="3">
            <x v="33"/>
            <x v="34"/>
            <x v="39"/>
          </reference>
        </references>
      </pivotArea>
    </format>
    <format dxfId="7162">
      <pivotArea dataOnly="0" labelOnly="1" fieldPosition="0">
        <references count="4">
          <reference field="4" count="1" selected="0">
            <x v="2"/>
          </reference>
          <reference field="6" count="1" selected="0">
            <x v="2"/>
          </reference>
          <reference field="7" count="1" selected="0">
            <x v="29"/>
          </reference>
          <reference field="8" count="6">
            <x v="145"/>
            <x v="146"/>
            <x v="147"/>
            <x v="148"/>
            <x v="149"/>
            <x v="150"/>
          </reference>
        </references>
      </pivotArea>
    </format>
    <format dxfId="7161">
      <pivotArea dataOnly="0" labelOnly="1" fieldPosition="0">
        <references count="4">
          <reference field="4" count="1" selected="0">
            <x v="2"/>
          </reference>
          <reference field="6" count="1" selected="0">
            <x v="2"/>
          </reference>
          <reference field="7" count="1" selected="0">
            <x v="30"/>
          </reference>
          <reference field="8" count="2">
            <x v="152"/>
            <x v="153"/>
          </reference>
        </references>
      </pivotArea>
    </format>
    <format dxfId="7160">
      <pivotArea dataOnly="0" labelOnly="1" fieldPosition="0">
        <references count="4">
          <reference field="4" count="1" selected="0">
            <x v="2"/>
          </reference>
          <reference field="6" count="1" selected="0">
            <x v="3"/>
          </reference>
          <reference field="7" count="1" selected="0">
            <x v="5"/>
          </reference>
          <reference field="8" count="1">
            <x v="24"/>
          </reference>
        </references>
      </pivotArea>
    </format>
    <format dxfId="7159">
      <pivotArea dataOnly="0" labelOnly="1" fieldPosition="0">
        <references count="4">
          <reference field="4" count="1" selected="0">
            <x v="2"/>
          </reference>
          <reference field="6" count="1" selected="0">
            <x v="3"/>
          </reference>
          <reference field="7" count="1" selected="0">
            <x v="7"/>
          </reference>
          <reference field="8" count="2">
            <x v="31"/>
            <x v="32"/>
          </reference>
        </references>
      </pivotArea>
    </format>
    <format dxfId="7158">
      <pivotArea dataOnly="0" labelOnly="1" fieldPosition="0">
        <references count="4">
          <reference field="4" count="1" selected="0">
            <x v="2"/>
          </reference>
          <reference field="6" count="1" selected="0">
            <x v="4"/>
          </reference>
          <reference field="7" count="1" selected="0">
            <x v="8"/>
          </reference>
          <reference field="8" count="2">
            <x v="36"/>
            <x v="39"/>
          </reference>
        </references>
      </pivotArea>
    </format>
    <format dxfId="7157">
      <pivotArea dataOnly="0" labelOnly="1" fieldPosition="0">
        <references count="4">
          <reference field="4" count="1" selected="0">
            <x v="3"/>
          </reference>
          <reference field="6" count="1" selected="0">
            <x v="3"/>
          </reference>
          <reference field="7" count="1" selected="0">
            <x v="6"/>
          </reference>
          <reference field="8" count="1">
            <x v="29"/>
          </reference>
        </references>
      </pivotArea>
    </format>
    <format dxfId="7156">
      <pivotArea dataOnly="0" labelOnly="1" fieldPosition="0">
        <references count="4">
          <reference field="4" count="1" selected="0">
            <x v="4"/>
          </reference>
          <reference field="6" count="1" selected="0">
            <x v="0"/>
          </reference>
          <reference field="7" count="1" selected="0">
            <x v="21"/>
          </reference>
          <reference field="8" count="5">
            <x v="87"/>
            <x v="88"/>
            <x v="89"/>
            <x v="90"/>
            <x v="91"/>
          </reference>
        </references>
      </pivotArea>
    </format>
    <format dxfId="7155">
      <pivotArea dataOnly="0" labelOnly="1" fieldPosition="0">
        <references count="4">
          <reference field="4" count="1" selected="0">
            <x v="4"/>
          </reference>
          <reference field="6" count="1" selected="0">
            <x v="1"/>
          </reference>
          <reference field="7" count="1" selected="0">
            <x v="24"/>
          </reference>
          <reference field="8" count="1">
            <x v="114"/>
          </reference>
        </references>
      </pivotArea>
    </format>
    <format dxfId="7154">
      <pivotArea dataOnly="0" labelOnly="1" fieldPosition="0">
        <references count="4">
          <reference field="4" count="1" selected="0">
            <x v="4"/>
          </reference>
          <reference field="6" count="1" selected="0">
            <x v="2"/>
          </reference>
          <reference field="7" count="1" selected="0">
            <x v="29"/>
          </reference>
          <reference field="8" count="3">
            <x v="142"/>
            <x v="143"/>
            <x v="151"/>
          </reference>
        </references>
      </pivotArea>
    </format>
    <format dxfId="7153">
      <pivotArea dataOnly="0" labelOnly="1" fieldPosition="0">
        <references count="4">
          <reference field="4" count="1" selected="0">
            <x v="4"/>
          </reference>
          <reference field="6" count="1" selected="0">
            <x v="2"/>
          </reference>
          <reference field="7" count="1" selected="0">
            <x v="31"/>
          </reference>
          <reference field="8" count="3">
            <x v="155"/>
            <x v="156"/>
            <x v="157"/>
          </reference>
        </references>
      </pivotArea>
    </format>
    <format dxfId="7152">
      <pivotArea dataOnly="0" labelOnly="1" fieldPosition="0">
        <references count="4">
          <reference field="4" count="1" selected="0">
            <x v="4"/>
          </reference>
          <reference field="6" count="1" selected="0">
            <x v="3"/>
          </reference>
          <reference field="7" count="1" selected="0">
            <x v="0"/>
          </reference>
          <reference field="8" count="2">
            <x v="0"/>
            <x v="1"/>
          </reference>
        </references>
      </pivotArea>
    </format>
    <format dxfId="7151">
      <pivotArea dataOnly="0" labelOnly="1" fieldPosition="0">
        <references count="4">
          <reference field="4" count="1" selected="0">
            <x v="4"/>
          </reference>
          <reference field="6" count="1" selected="0">
            <x v="3"/>
          </reference>
          <reference field="7" count="1" selected="0">
            <x v="1"/>
          </reference>
          <reference field="8" count="4">
            <x v="2"/>
            <x v="3"/>
            <x v="4"/>
            <x v="5"/>
          </reference>
        </references>
      </pivotArea>
    </format>
    <format dxfId="7150">
      <pivotArea dataOnly="0" labelOnly="1" fieldPosition="0">
        <references count="4">
          <reference field="4" count="1" selected="0">
            <x v="5"/>
          </reference>
          <reference field="6" count="1" selected="0">
            <x v="0"/>
          </reference>
          <reference field="7" count="1" selected="0">
            <x v="18"/>
          </reference>
          <reference field="8" count="3">
            <x v="73"/>
            <x v="74"/>
            <x v="77"/>
          </reference>
        </references>
      </pivotArea>
    </format>
    <format dxfId="7149">
      <pivotArea dataOnly="0" labelOnly="1" fieldPosition="0">
        <references count="4">
          <reference field="4" count="1" selected="0">
            <x v="5"/>
          </reference>
          <reference field="6" count="1" selected="0">
            <x v="0"/>
          </reference>
          <reference field="7" count="1" selected="0">
            <x v="22"/>
          </reference>
          <reference field="8" count="1">
            <x v="94"/>
          </reference>
        </references>
      </pivotArea>
    </format>
    <format dxfId="7148">
      <pivotArea dataOnly="0" labelOnly="1" fieldPosition="0">
        <references count="4">
          <reference field="4" count="1" selected="0">
            <x v="5"/>
          </reference>
          <reference field="6" count="1" selected="0">
            <x v="4"/>
          </reference>
          <reference field="7" count="1" selected="0">
            <x v="8"/>
          </reference>
          <reference field="8" count="1">
            <x v="37"/>
          </reference>
        </references>
      </pivotArea>
    </format>
    <format dxfId="7147">
      <pivotArea dataOnly="0" labelOnly="1" fieldPosition="0">
        <references count="4">
          <reference field="4" count="1" selected="0">
            <x v="6"/>
          </reference>
          <reference field="6" count="1" selected="0">
            <x v="1"/>
          </reference>
          <reference field="7" count="1" selected="0">
            <x v="24"/>
          </reference>
          <reference field="8" count="8">
            <x v="105"/>
            <x v="107"/>
            <x v="108"/>
            <x v="109"/>
            <x v="110"/>
            <x v="111"/>
            <x v="112"/>
            <x v="113"/>
          </reference>
        </references>
      </pivotArea>
    </format>
    <format dxfId="7146">
      <pivotArea dataOnly="0" labelOnly="1" fieldPosition="0">
        <references count="4">
          <reference field="4" count="1" selected="0">
            <x v="7"/>
          </reference>
          <reference field="6" count="1" selected="0">
            <x v="0"/>
          </reference>
          <reference field="7" count="1" selected="0">
            <x v="16"/>
          </reference>
          <reference field="8" count="1">
            <x v="64"/>
          </reference>
        </references>
      </pivotArea>
    </format>
    <format dxfId="7145">
      <pivotArea dataOnly="0" labelOnly="1" fieldPosition="0">
        <references count="4">
          <reference field="4" count="1" selected="0">
            <x v="7"/>
          </reference>
          <reference field="6" count="1" selected="0">
            <x v="2"/>
          </reference>
          <reference field="7" count="1" selected="0">
            <x v="29"/>
          </reference>
          <reference field="8" count="4">
            <x v="140"/>
            <x v="141"/>
            <x v="144"/>
            <x v="145"/>
          </reference>
        </references>
      </pivotArea>
    </format>
    <format dxfId="7144">
      <pivotArea dataOnly="0" labelOnly="1" fieldPosition="0">
        <references count="4">
          <reference field="4" count="1" selected="0">
            <x v="7"/>
          </reference>
          <reference field="6" count="1" selected="0">
            <x v="2"/>
          </reference>
          <reference field="7" count="1" selected="0">
            <x v="30"/>
          </reference>
          <reference field="8" count="1">
            <x v="154"/>
          </reference>
        </references>
      </pivotArea>
    </format>
    <format dxfId="7143">
      <pivotArea dataOnly="0" labelOnly="1" fieldPosition="0">
        <references count="4">
          <reference field="4" count="1" selected="0">
            <x v="7"/>
          </reference>
          <reference field="6" count="1" selected="0">
            <x v="3"/>
          </reference>
          <reference field="7" count="1" selected="0">
            <x v="6"/>
          </reference>
          <reference field="8" count="1">
            <x v="28"/>
          </reference>
        </references>
      </pivotArea>
    </format>
    <format dxfId="7142">
      <pivotArea dataOnly="0" labelOnly="1" fieldPosition="0">
        <references count="4">
          <reference field="4" count="1" selected="0">
            <x v="7"/>
          </reference>
          <reference field="6" count="1" selected="0">
            <x v="4"/>
          </reference>
          <reference field="7" count="1" selected="0">
            <x v="8"/>
          </reference>
          <reference field="8" count="2">
            <x v="35"/>
            <x v="36"/>
          </reference>
        </references>
      </pivotArea>
    </format>
    <format dxfId="7141">
      <pivotArea dataOnly="0" labelOnly="1" fieldPosition="0">
        <references count="4">
          <reference field="4" count="1" selected="0">
            <x v="7"/>
          </reference>
          <reference field="6" count="1" selected="0">
            <x v="4"/>
          </reference>
          <reference field="7" count="1" selected="0">
            <x v="9"/>
          </reference>
          <reference field="8" count="4">
            <x v="40"/>
            <x v="41"/>
            <x v="42"/>
            <x v="43"/>
          </reference>
        </references>
      </pivotArea>
    </format>
    <format dxfId="7140">
      <pivotArea dataOnly="0" labelOnly="1" fieldPosition="0">
        <references count="4">
          <reference field="4" count="1" selected="0">
            <x v="7"/>
          </reference>
          <reference field="6" count="1" selected="0">
            <x v="4"/>
          </reference>
          <reference field="7" count="1" selected="0">
            <x v="10"/>
          </reference>
          <reference field="8" count="4">
            <x v="44"/>
            <x v="45"/>
            <x v="46"/>
            <x v="47"/>
          </reference>
        </references>
      </pivotArea>
    </format>
    <format dxfId="7139">
      <pivotArea dataOnly="0" labelOnly="1" fieldPosition="0">
        <references count="4">
          <reference field="4" count="1" selected="0">
            <x v="7"/>
          </reference>
          <reference field="6" count="1" selected="0">
            <x v="4"/>
          </reference>
          <reference field="7" count="1" selected="0">
            <x v="11"/>
          </reference>
          <reference field="8" count="2">
            <x v="48"/>
            <x v="49"/>
          </reference>
        </references>
      </pivotArea>
    </format>
    <format dxfId="7138">
      <pivotArea dataOnly="0" labelOnly="1" fieldPosition="0">
        <references count="4">
          <reference field="4" count="1" selected="0">
            <x v="7"/>
          </reference>
          <reference field="6" count="1" selected="0">
            <x v="4"/>
          </reference>
          <reference field="7" count="1" selected="0">
            <x v="12"/>
          </reference>
          <reference field="8" count="1">
            <x v="50"/>
          </reference>
        </references>
      </pivotArea>
    </format>
    <format dxfId="7137">
      <pivotArea dataOnly="0" labelOnly="1" fieldPosition="0">
        <references count="4">
          <reference field="4" count="1" selected="0">
            <x v="7"/>
          </reference>
          <reference field="6" count="1" selected="0">
            <x v="4"/>
          </reference>
          <reference field="7" count="1" selected="0">
            <x v="13"/>
          </reference>
          <reference field="8" count="3">
            <x v="51"/>
            <x v="52"/>
            <x v="53"/>
          </reference>
        </references>
      </pivotArea>
    </format>
    <format dxfId="7136">
      <pivotArea dataOnly="0" labelOnly="1" fieldPosition="0">
        <references count="4">
          <reference field="4" count="1" selected="0">
            <x v="7"/>
          </reference>
          <reference field="6" count="1" selected="0">
            <x v="4"/>
          </reference>
          <reference field="7" count="1" selected="0">
            <x v="14"/>
          </reference>
          <reference field="8" count="2">
            <x v="54"/>
            <x v="55"/>
          </reference>
        </references>
      </pivotArea>
    </format>
    <format dxfId="7135">
      <pivotArea dataOnly="0" labelOnly="1" fieldPosition="0">
        <references count="4">
          <reference field="4" count="1" selected="0">
            <x v="7"/>
          </reference>
          <reference field="6" count="1" selected="0">
            <x v="4"/>
          </reference>
          <reference field="7" count="1" selected="0">
            <x v="15"/>
          </reference>
          <reference field="8" count="1">
            <x v="56"/>
          </reference>
        </references>
      </pivotArea>
    </format>
    <format dxfId="7134">
      <pivotArea dataOnly="0" labelOnly="1" fieldPosition="0">
        <references count="4">
          <reference field="4" count="1" selected="0">
            <x v="8"/>
          </reference>
          <reference field="6" count="1" selected="0">
            <x v="0"/>
          </reference>
          <reference field="7" count="1" selected="0">
            <x v="18"/>
          </reference>
          <reference field="8" count="1">
            <x v="77"/>
          </reference>
        </references>
      </pivotArea>
    </format>
    <format dxfId="7133">
      <pivotArea dataOnly="0" labelOnly="1" fieldPosition="0">
        <references count="4">
          <reference field="4" count="1" selected="0">
            <x v="8"/>
          </reference>
          <reference field="6" count="1" selected="0">
            <x v="0"/>
          </reference>
          <reference field="7" count="1" selected="0">
            <x v="22"/>
          </reference>
          <reference field="8" count="3">
            <x v="92"/>
            <x v="93"/>
            <x v="94"/>
          </reference>
        </references>
      </pivotArea>
    </format>
    <format dxfId="7132">
      <pivotArea dataOnly="0" labelOnly="1" fieldPosition="0">
        <references count="4">
          <reference field="4" count="1" selected="0">
            <x v="8"/>
          </reference>
          <reference field="6" count="1" selected="0">
            <x v="1"/>
          </reference>
          <reference field="7" count="1" selected="0">
            <x v="28"/>
          </reference>
          <reference field="8" count="2">
            <x v="138"/>
            <x v="139"/>
          </reference>
        </references>
      </pivotArea>
    </format>
    <format dxfId="7131">
      <pivotArea dataOnly="0" labelOnly="1" fieldPosition="0">
        <references count="4">
          <reference field="4" count="1" selected="0">
            <x v="8"/>
          </reference>
          <reference field="6" count="1" selected="0">
            <x v="2"/>
          </reference>
          <reference field="7" count="1" selected="0">
            <x v="32"/>
          </reference>
          <reference field="8" count="2">
            <x v="158"/>
            <x v="159"/>
          </reference>
        </references>
      </pivotArea>
    </format>
    <format dxfId="7130">
      <pivotArea dataOnly="0" labelOnly="1" fieldPosition="0">
        <references count="4">
          <reference field="4" count="1" selected="0">
            <x v="8"/>
          </reference>
          <reference field="6" count="1" selected="0">
            <x v="3"/>
          </reference>
          <reference field="7" count="1" selected="0">
            <x v="6"/>
          </reference>
          <reference field="8" count="2">
            <x v="29"/>
            <x v="30"/>
          </reference>
        </references>
      </pivotArea>
    </format>
    <format dxfId="7129">
      <pivotArea dataOnly="0" labelOnly="1" fieldPosition="0">
        <references count="4">
          <reference field="4" count="1" selected="0">
            <x v="9"/>
          </reference>
          <reference field="6" count="1" selected="0">
            <x v="1"/>
          </reference>
          <reference field="7" count="1" selected="0">
            <x v="25"/>
          </reference>
          <reference field="8" count="10">
            <x v="115"/>
            <x v="116"/>
            <x v="117"/>
            <x v="118"/>
            <x v="119"/>
            <x v="120"/>
            <x v="121"/>
            <x v="122"/>
            <x v="123"/>
            <x v="124"/>
          </reference>
        </references>
      </pivotArea>
    </format>
    <format dxfId="7128">
      <pivotArea dataOnly="0" labelOnly="1" fieldPosition="0">
        <references count="4">
          <reference field="4" count="1" selected="0">
            <x v="10"/>
          </reference>
          <reference field="6" count="1" selected="0">
            <x v="3"/>
          </reference>
          <reference field="7" count="1" selected="0">
            <x v="6"/>
          </reference>
          <reference field="8" count="1">
            <x v="29"/>
          </reference>
        </references>
      </pivotArea>
    </format>
    <format dxfId="7127">
      <pivotArea dataOnly="0" labelOnly="1" fieldPosition="0">
        <references count="4">
          <reference field="4" count="1" selected="0">
            <x v="11"/>
          </reference>
          <reference field="6" count="1" selected="0">
            <x v="0"/>
          </reference>
          <reference field="7" count="1" selected="0">
            <x v="17"/>
          </reference>
          <reference field="8" count="3">
            <x v="70"/>
            <x v="71"/>
            <x v="72"/>
          </reference>
        </references>
      </pivotArea>
    </format>
    <format dxfId="7126">
      <pivotArea dataOnly="0" labelOnly="1" fieldPosition="0">
        <references count="4">
          <reference field="4" count="1" selected="0">
            <x v="12"/>
          </reference>
          <reference field="6" count="1" selected="0">
            <x v="0"/>
          </reference>
          <reference field="7" count="1" selected="0">
            <x v="18"/>
          </reference>
          <reference field="8" count="3">
            <x v="74"/>
            <x v="75"/>
            <x v="76"/>
          </reference>
        </references>
      </pivotArea>
    </format>
    <format dxfId="7125">
      <pivotArea dataOnly="0" labelOnly="1" fieldPosition="0">
        <references count="4">
          <reference field="4" count="1" selected="0">
            <x v="13"/>
          </reference>
          <reference field="6" count="1" selected="0">
            <x v="3"/>
          </reference>
          <reference field="7" count="1" selected="0">
            <x v="1"/>
          </reference>
          <reference field="8" count="1">
            <x v="6"/>
          </reference>
        </references>
      </pivotArea>
    </format>
    <format dxfId="7124">
      <pivotArea dataOnly="0" labelOnly="1" fieldPosition="0">
        <references count="4">
          <reference field="4" count="1" selected="0">
            <x v="13"/>
          </reference>
          <reference field="6" count="1" selected="0">
            <x v="3"/>
          </reference>
          <reference field="7" count="1" selected="0">
            <x v="5"/>
          </reference>
          <reference field="8" count="6">
            <x v="22"/>
            <x v="23"/>
            <x v="24"/>
            <x v="25"/>
            <x v="26"/>
            <x v="27"/>
          </reference>
        </references>
      </pivotArea>
    </format>
    <format dxfId="7123">
      <pivotArea dataOnly="0" labelOnly="1" fieldPosition="0">
        <references count="4">
          <reference field="4" count="1" selected="0">
            <x v="14"/>
          </reference>
          <reference field="6" count="1" selected="0">
            <x v="1"/>
          </reference>
          <reference field="7" count="1" selected="0">
            <x v="26"/>
          </reference>
          <reference field="8" count="7">
            <x v="125"/>
            <x v="126"/>
            <x v="127"/>
            <x v="128"/>
            <x v="129"/>
            <x v="130"/>
            <x v="131"/>
          </reference>
        </references>
      </pivotArea>
    </format>
    <format dxfId="7122">
      <pivotArea dataOnly="0" labelOnly="1" fieldPosition="0">
        <references count="4">
          <reference field="4" count="1" selected="0">
            <x v="15"/>
          </reference>
          <reference field="6" count="1" selected="0">
            <x v="0"/>
          </reference>
          <reference field="7" count="1" selected="0">
            <x v="20"/>
          </reference>
          <reference field="8" count="5">
            <x v="82"/>
            <x v="83"/>
            <x v="84"/>
            <x v="85"/>
            <x v="86"/>
          </reference>
        </references>
      </pivotArea>
    </format>
    <format dxfId="7121">
      <pivotArea dataOnly="0" labelOnly="1" fieldPosition="0">
        <references count="4">
          <reference field="4" count="1" selected="0">
            <x v="16"/>
          </reference>
          <reference field="6" count="1" selected="0">
            <x v="1"/>
          </reference>
          <reference field="7" count="1" selected="0">
            <x v="27"/>
          </reference>
          <reference field="8" count="6">
            <x v="132"/>
            <x v="133"/>
            <x v="134"/>
            <x v="135"/>
            <x v="136"/>
            <x v="137"/>
          </reference>
        </references>
      </pivotArea>
    </format>
    <format dxfId="7120">
      <pivotArea dataOnly="0" labelOnly="1" fieldPosition="0">
        <references count="4">
          <reference field="4" count="1" selected="0">
            <x v="16"/>
          </reference>
          <reference field="6" count="1" selected="0">
            <x v="3"/>
          </reference>
          <reference field="7" count="1" selected="0">
            <x v="1"/>
          </reference>
          <reference field="8" count="1">
            <x v="6"/>
          </reference>
        </references>
      </pivotArea>
    </format>
    <format dxfId="7119">
      <pivotArea dataOnly="0" labelOnly="1" fieldPosition="0">
        <references count="4">
          <reference field="4" count="1" selected="0">
            <x v="16"/>
          </reference>
          <reference field="6" count="1" selected="0">
            <x v="4"/>
          </reference>
          <reference field="7" count="1" selected="0">
            <x v="8"/>
          </reference>
          <reference field="8" count="1">
            <x v="38"/>
          </reference>
        </references>
      </pivotArea>
    </format>
    <format dxfId="7118">
      <pivotArea dataOnly="0" labelOnly="1" fieldPosition="0">
        <references count="4">
          <reference field="4" count="1" selected="0">
            <x v="16"/>
          </reference>
          <reference field="6" count="1" selected="0">
            <x v="4"/>
          </reference>
          <reference field="7" count="1" selected="0">
            <x v="11"/>
          </reference>
          <reference field="8" count="1">
            <x v="48"/>
          </reference>
        </references>
      </pivotArea>
    </format>
    <format dxfId="7117">
      <pivotArea dataOnly="0" labelOnly="1" fieldPosition="0">
        <references count="4">
          <reference field="4" count="1" selected="0">
            <x v="17"/>
          </reference>
          <reference field="6" count="1" selected="0">
            <x v="0"/>
          </reference>
          <reference field="7" count="1" selected="0">
            <x v="16"/>
          </reference>
          <reference field="8" count="7">
            <x v="57"/>
            <x v="58"/>
            <x v="59"/>
            <x v="60"/>
            <x v="61"/>
            <x v="62"/>
            <x v="63"/>
          </reference>
        </references>
      </pivotArea>
    </format>
    <format dxfId="7116">
      <pivotArea dataOnly="0" labelOnly="1" fieldPosition="0">
        <references count="4">
          <reference field="4" count="1" selected="0">
            <x v="17"/>
          </reference>
          <reference field="6" count="1" selected="0">
            <x v="0"/>
          </reference>
          <reference field="7" count="1" selected="0">
            <x v="22"/>
          </reference>
          <reference field="8" count="1">
            <x v="94"/>
          </reference>
        </references>
      </pivotArea>
    </format>
    <format dxfId="7115">
      <pivotArea dataOnly="0" labelOnly="1" fieldPosition="0">
        <references count="4">
          <reference field="4" count="1" selected="0">
            <x v="18"/>
          </reference>
          <reference field="6" count="1" selected="0">
            <x v="3"/>
          </reference>
          <reference field="7" count="1" selected="0">
            <x v="2"/>
          </reference>
          <reference field="8" count="4">
            <x v="8"/>
            <x v="9"/>
            <x v="16"/>
            <x v="17"/>
          </reference>
        </references>
      </pivotArea>
    </format>
    <format dxfId="7114">
      <pivotArea dataOnly="0" labelOnly="1" fieldPosition="0">
        <references count="4">
          <reference field="4" count="1" selected="0">
            <x v="19"/>
          </reference>
          <reference field="6" count="1" selected="0">
            <x v="3"/>
          </reference>
          <reference field="7" count="1" selected="0">
            <x v="6"/>
          </reference>
          <reference field="8" count="1">
            <x v="29"/>
          </reference>
        </references>
      </pivotArea>
    </format>
    <format dxfId="7113">
      <pivotArea dataOnly="0" labelOnly="1" fieldPosition="0">
        <references count="4">
          <reference field="4" count="1" selected="0">
            <x v="20"/>
          </reference>
          <reference field="6" count="1" selected="0">
            <x v="1"/>
          </reference>
          <reference field="7" count="1" selected="0">
            <x v="24"/>
          </reference>
          <reference field="8" count="1">
            <x v="106"/>
          </reference>
        </references>
      </pivotArea>
    </format>
    <format dxfId="7112">
      <pivotArea dataOnly="0" labelOnly="1" fieldPosition="0">
        <references count="5">
          <reference field="4" count="1" selected="0">
            <x v="0"/>
          </reference>
          <reference field="6" count="1" selected="0">
            <x v="0"/>
          </reference>
          <reference field="7" count="1" selected="0">
            <x v="17"/>
          </reference>
          <reference field="8" count="1" selected="0">
            <x v="65"/>
          </reference>
          <reference field="15" count="1">
            <x v="108"/>
          </reference>
        </references>
      </pivotArea>
    </format>
    <format dxfId="7111">
      <pivotArea dataOnly="0" labelOnly="1" fieldPosition="0">
        <references count="5">
          <reference field="4" count="1" selected="0">
            <x v="0"/>
          </reference>
          <reference field="6" count="1" selected="0">
            <x v="0"/>
          </reference>
          <reference field="7" count="1" selected="0">
            <x v="17"/>
          </reference>
          <reference field="8" count="1" selected="0">
            <x v="66"/>
          </reference>
          <reference field="15" count="2">
            <x v="365"/>
            <x v="366"/>
          </reference>
        </references>
      </pivotArea>
    </format>
    <format dxfId="7110">
      <pivotArea dataOnly="0" labelOnly="1" fieldPosition="0">
        <references count="5">
          <reference field="4" count="1" selected="0">
            <x v="0"/>
          </reference>
          <reference field="6" count="1" selected="0">
            <x v="0"/>
          </reference>
          <reference field="7" count="1" selected="0">
            <x v="17"/>
          </reference>
          <reference field="8" count="1" selected="0">
            <x v="67"/>
          </reference>
          <reference field="15" count="2">
            <x v="364"/>
            <x v="370"/>
          </reference>
        </references>
      </pivotArea>
    </format>
    <format dxfId="7109">
      <pivotArea dataOnly="0" labelOnly="1" fieldPosition="0">
        <references count="5">
          <reference field="4" count="1" selected="0">
            <x v="0"/>
          </reference>
          <reference field="6" count="1" selected="0">
            <x v="0"/>
          </reference>
          <reference field="7" count="1" selected="0">
            <x v="17"/>
          </reference>
          <reference field="8" count="1" selected="0">
            <x v="68"/>
          </reference>
          <reference field="15" count="1">
            <x v="79"/>
          </reference>
        </references>
      </pivotArea>
    </format>
    <format dxfId="7108">
      <pivotArea dataOnly="0" labelOnly="1" fieldPosition="0">
        <references count="5">
          <reference field="4" count="1" selected="0">
            <x v="0"/>
          </reference>
          <reference field="6" count="1" selected="0">
            <x v="0"/>
          </reference>
          <reference field="7" count="1" selected="0">
            <x v="17"/>
          </reference>
          <reference field="8" count="1" selected="0">
            <x v="69"/>
          </reference>
          <reference field="15" count="1">
            <x v="42"/>
          </reference>
        </references>
      </pivotArea>
    </format>
    <format dxfId="7107">
      <pivotArea dataOnly="0" labelOnly="1" fieldPosition="0">
        <references count="5">
          <reference field="4" count="1" selected="0">
            <x v="0"/>
          </reference>
          <reference field="6" count="1" selected="0">
            <x v="0"/>
          </reference>
          <reference field="7" count="1" selected="0">
            <x v="19"/>
          </reference>
          <reference field="8" count="1" selected="0">
            <x v="78"/>
          </reference>
          <reference field="15" count="1">
            <x v="236"/>
          </reference>
        </references>
      </pivotArea>
    </format>
    <format dxfId="7106">
      <pivotArea dataOnly="0" labelOnly="1" fieldPosition="0">
        <references count="5">
          <reference field="4" count="1" selected="0">
            <x v="0"/>
          </reference>
          <reference field="6" count="1" selected="0">
            <x v="0"/>
          </reference>
          <reference field="7" count="1" selected="0">
            <x v="19"/>
          </reference>
          <reference field="8" count="1" selected="0">
            <x v="79"/>
          </reference>
          <reference field="15" count="1">
            <x v="12"/>
          </reference>
        </references>
      </pivotArea>
    </format>
    <format dxfId="7105">
      <pivotArea dataOnly="0" labelOnly="1" fieldPosition="0">
        <references count="5">
          <reference field="4" count="1" selected="0">
            <x v="0"/>
          </reference>
          <reference field="6" count="1" selected="0">
            <x v="0"/>
          </reference>
          <reference field="7" count="1" selected="0">
            <x v="19"/>
          </reference>
          <reference field="8" count="1" selected="0">
            <x v="80"/>
          </reference>
          <reference field="15" count="2">
            <x v="10"/>
            <x v="11"/>
          </reference>
        </references>
      </pivotArea>
    </format>
    <format dxfId="7104">
      <pivotArea dataOnly="0" labelOnly="1" fieldPosition="0">
        <references count="5">
          <reference field="4" count="1" selected="0">
            <x v="0"/>
          </reference>
          <reference field="6" count="1" selected="0">
            <x v="1"/>
          </reference>
          <reference field="7" count="1" selected="0">
            <x v="23"/>
          </reference>
          <reference field="8" count="1" selected="0">
            <x v="95"/>
          </reference>
          <reference field="15" count="1">
            <x v="250"/>
          </reference>
        </references>
      </pivotArea>
    </format>
    <format dxfId="7103">
      <pivotArea dataOnly="0" labelOnly="1" fieldPosition="0">
        <references count="5">
          <reference field="4" count="1" selected="0">
            <x v="0"/>
          </reference>
          <reference field="6" count="1" selected="0">
            <x v="1"/>
          </reference>
          <reference field="7" count="1" selected="0">
            <x v="23"/>
          </reference>
          <reference field="8" count="1" selected="0">
            <x v="96"/>
          </reference>
          <reference field="15" count="2">
            <x v="251"/>
            <x v="358"/>
          </reference>
        </references>
      </pivotArea>
    </format>
    <format dxfId="7102">
      <pivotArea dataOnly="0" labelOnly="1" fieldPosition="0">
        <references count="5">
          <reference field="4" count="1" selected="0">
            <x v="0"/>
          </reference>
          <reference field="6" count="1" selected="0">
            <x v="1"/>
          </reference>
          <reference field="7" count="1" selected="0">
            <x v="23"/>
          </reference>
          <reference field="8" count="1" selected="0">
            <x v="97"/>
          </reference>
          <reference field="15" count="1">
            <x v="257"/>
          </reference>
        </references>
      </pivotArea>
    </format>
    <format dxfId="7101">
      <pivotArea dataOnly="0" labelOnly="1" fieldPosition="0">
        <references count="5">
          <reference field="4" count="1" selected="0">
            <x v="0"/>
          </reference>
          <reference field="6" count="1" selected="0">
            <x v="1"/>
          </reference>
          <reference field="7" count="1" selected="0">
            <x v="23"/>
          </reference>
          <reference field="8" count="1" selected="0">
            <x v="98"/>
          </reference>
          <reference field="15" count="1">
            <x v="43"/>
          </reference>
        </references>
      </pivotArea>
    </format>
    <format dxfId="7100">
      <pivotArea dataOnly="0" labelOnly="1" fieldPosition="0">
        <references count="5">
          <reference field="4" count="1" selected="0">
            <x v="0"/>
          </reference>
          <reference field="6" count="1" selected="0">
            <x v="1"/>
          </reference>
          <reference field="7" count="1" selected="0">
            <x v="23"/>
          </reference>
          <reference field="8" count="1" selected="0">
            <x v="99"/>
          </reference>
          <reference field="15" count="1">
            <x v="254"/>
          </reference>
        </references>
      </pivotArea>
    </format>
    <format dxfId="7099">
      <pivotArea dataOnly="0" labelOnly="1" fieldPosition="0">
        <references count="5">
          <reference field="4" count="1" selected="0">
            <x v="0"/>
          </reference>
          <reference field="6" count="1" selected="0">
            <x v="1"/>
          </reference>
          <reference field="7" count="1" selected="0">
            <x v="23"/>
          </reference>
          <reference field="8" count="1" selected="0">
            <x v="100"/>
          </reference>
          <reference field="15" count="1">
            <x v="253"/>
          </reference>
        </references>
      </pivotArea>
    </format>
    <format dxfId="7098">
      <pivotArea dataOnly="0" labelOnly="1" fieldPosition="0">
        <references count="5">
          <reference field="4" count="1" selected="0">
            <x v="0"/>
          </reference>
          <reference field="6" count="1" selected="0">
            <x v="1"/>
          </reference>
          <reference field="7" count="1" selected="0">
            <x v="23"/>
          </reference>
          <reference field="8" count="1" selected="0">
            <x v="101"/>
          </reference>
          <reference field="15" count="1">
            <x v="255"/>
          </reference>
        </references>
      </pivotArea>
    </format>
    <format dxfId="7097">
      <pivotArea dataOnly="0" labelOnly="1" fieldPosition="0">
        <references count="5">
          <reference field="4" count="1" selected="0">
            <x v="0"/>
          </reference>
          <reference field="6" count="1" selected="0">
            <x v="1"/>
          </reference>
          <reference field="7" count="1" selected="0">
            <x v="23"/>
          </reference>
          <reference field="8" count="1" selected="0">
            <x v="102"/>
          </reference>
          <reference field="15" count="1">
            <x v="40"/>
          </reference>
        </references>
      </pivotArea>
    </format>
    <format dxfId="7096">
      <pivotArea dataOnly="0" labelOnly="1" fieldPosition="0">
        <references count="5">
          <reference field="4" count="1" selected="0">
            <x v="0"/>
          </reference>
          <reference field="6" count="1" selected="0">
            <x v="1"/>
          </reference>
          <reference field="7" count="1" selected="0">
            <x v="23"/>
          </reference>
          <reference field="8" count="1" selected="0">
            <x v="103"/>
          </reference>
          <reference field="15" count="1">
            <x v="252"/>
          </reference>
        </references>
      </pivotArea>
    </format>
    <format dxfId="7095">
      <pivotArea dataOnly="0" labelOnly="1" fieldPosition="0">
        <references count="5">
          <reference field="4" count="1" selected="0">
            <x v="0"/>
          </reference>
          <reference field="6" count="1" selected="0">
            <x v="1"/>
          </reference>
          <reference field="7" count="1" selected="0">
            <x v="23"/>
          </reference>
          <reference field="8" count="1" selected="0">
            <x v="104"/>
          </reference>
          <reference field="15" count="1">
            <x v="256"/>
          </reference>
        </references>
      </pivotArea>
    </format>
    <format dxfId="7094">
      <pivotArea dataOnly="0" labelOnly="1" fieldPosition="0">
        <references count="5">
          <reference field="4" count="1" selected="0">
            <x v="0"/>
          </reference>
          <reference field="6" count="1" selected="0">
            <x v="1"/>
          </reference>
          <reference field="7" count="1" selected="0">
            <x v="26"/>
          </reference>
          <reference field="8" count="1" selected="0">
            <x v="131"/>
          </reference>
          <reference field="15" count="1">
            <x v="13"/>
          </reference>
        </references>
      </pivotArea>
    </format>
    <format dxfId="7093">
      <pivotArea dataOnly="0" labelOnly="1" fieldPosition="0">
        <references count="5">
          <reference field="4" count="1" selected="0">
            <x v="1"/>
          </reference>
          <reference field="6" count="1" selected="0">
            <x v="0"/>
          </reference>
          <reference field="7" count="1" selected="0">
            <x v="19"/>
          </reference>
          <reference field="8" count="1" selected="0">
            <x v="81"/>
          </reference>
          <reference field="15" count="1">
            <x v="231"/>
          </reference>
        </references>
      </pivotArea>
    </format>
    <format dxfId="7092">
      <pivotArea dataOnly="0" labelOnly="1" fieldPosition="0">
        <references count="5">
          <reference field="4" count="1" selected="0">
            <x v="1"/>
          </reference>
          <reference field="6" count="1" selected="0">
            <x v="3"/>
          </reference>
          <reference field="7" count="1" selected="0">
            <x v="2"/>
          </reference>
          <reference field="8" count="1" selected="0">
            <x v="7"/>
          </reference>
          <reference field="15" count="5">
            <x v="117"/>
            <x v="124"/>
            <x v="131"/>
            <x v="380"/>
            <x v="400"/>
          </reference>
        </references>
      </pivotArea>
    </format>
    <format dxfId="7091">
      <pivotArea dataOnly="0" labelOnly="1" fieldPosition="0">
        <references count="5">
          <reference field="4" count="1" selected="0">
            <x v="1"/>
          </reference>
          <reference field="6" count="1" selected="0">
            <x v="3"/>
          </reference>
          <reference field="7" count="1" selected="0">
            <x v="2"/>
          </reference>
          <reference field="8" count="1" selected="0">
            <x v="10"/>
          </reference>
          <reference field="15" count="2">
            <x v="17"/>
            <x v="18"/>
          </reference>
        </references>
      </pivotArea>
    </format>
    <format dxfId="7090">
      <pivotArea dataOnly="0" labelOnly="1" fieldPosition="0">
        <references count="5">
          <reference field="4" count="1" selected="0">
            <x v="1"/>
          </reference>
          <reference field="6" count="1" selected="0">
            <x v="3"/>
          </reference>
          <reference field="7" count="1" selected="0">
            <x v="2"/>
          </reference>
          <reference field="8" count="1" selected="0">
            <x v="11"/>
          </reference>
          <reference field="15" count="2">
            <x v="7"/>
            <x v="8"/>
          </reference>
        </references>
      </pivotArea>
    </format>
    <format dxfId="7089">
      <pivotArea dataOnly="0" labelOnly="1" fieldPosition="0">
        <references count="5">
          <reference field="4" count="1" selected="0">
            <x v="1"/>
          </reference>
          <reference field="6" count="1" selected="0">
            <x v="3"/>
          </reference>
          <reference field="7" count="1" selected="0">
            <x v="2"/>
          </reference>
          <reference field="8" count="1" selected="0">
            <x v="12"/>
          </reference>
          <reference field="15" count="1">
            <x v="107"/>
          </reference>
        </references>
      </pivotArea>
    </format>
    <format dxfId="7088">
      <pivotArea dataOnly="0" labelOnly="1" fieldPosition="0">
        <references count="5">
          <reference field="4" count="1" selected="0">
            <x v="1"/>
          </reference>
          <reference field="6" count="1" selected="0">
            <x v="3"/>
          </reference>
          <reference field="7" count="1" selected="0">
            <x v="2"/>
          </reference>
          <reference field="8" count="1" selected="0">
            <x v="13"/>
          </reference>
          <reference field="15" count="1">
            <x v="6"/>
          </reference>
        </references>
      </pivotArea>
    </format>
    <format dxfId="7087">
      <pivotArea dataOnly="0" labelOnly="1" fieldPosition="0">
        <references count="5">
          <reference field="4" count="1" selected="0">
            <x v="1"/>
          </reference>
          <reference field="6" count="1" selected="0">
            <x v="3"/>
          </reference>
          <reference field="7" count="1" selected="0">
            <x v="2"/>
          </reference>
          <reference field="8" count="1" selected="0">
            <x v="14"/>
          </reference>
          <reference field="15" count="2">
            <x v="46"/>
            <x v="47"/>
          </reference>
        </references>
      </pivotArea>
    </format>
    <format dxfId="7086">
      <pivotArea dataOnly="0" labelOnly="1" fieldPosition="0">
        <references count="5">
          <reference field="4" count="1" selected="0">
            <x v="1"/>
          </reference>
          <reference field="6" count="1" selected="0">
            <x v="3"/>
          </reference>
          <reference field="7" count="1" selected="0">
            <x v="2"/>
          </reference>
          <reference field="8" count="1" selected="0">
            <x v="15"/>
          </reference>
          <reference field="15" count="1">
            <x v="372"/>
          </reference>
        </references>
      </pivotArea>
    </format>
    <format dxfId="7085">
      <pivotArea dataOnly="0" labelOnly="1" fieldPosition="0">
        <references count="5">
          <reference field="4" count="1" selected="0">
            <x v="1"/>
          </reference>
          <reference field="6" count="1" selected="0">
            <x v="3"/>
          </reference>
          <reference field="7" count="1" selected="0">
            <x v="3"/>
          </reference>
          <reference field="8" count="1" selected="0">
            <x v="18"/>
          </reference>
          <reference field="15" count="1">
            <x v="232"/>
          </reference>
        </references>
      </pivotArea>
    </format>
    <format dxfId="7084">
      <pivotArea dataOnly="0" labelOnly="1" fieldPosition="0">
        <references count="5">
          <reference field="4" count="1" selected="0">
            <x v="1"/>
          </reference>
          <reference field="6" count="1" selected="0">
            <x v="3"/>
          </reference>
          <reference field="7" count="1" selected="0">
            <x v="3"/>
          </reference>
          <reference field="8" count="1" selected="0">
            <x v="19"/>
          </reference>
          <reference field="15" count="1">
            <x v="9"/>
          </reference>
        </references>
      </pivotArea>
    </format>
    <format dxfId="7083">
      <pivotArea dataOnly="0" labelOnly="1" fieldPosition="0">
        <references count="5">
          <reference field="4" count="1" selected="0">
            <x v="1"/>
          </reference>
          <reference field="6" count="1" selected="0">
            <x v="3"/>
          </reference>
          <reference field="7" count="1" selected="0">
            <x v="4"/>
          </reference>
          <reference field="8" count="1" selected="0">
            <x v="20"/>
          </reference>
          <reference field="15" count="1">
            <x v="34"/>
          </reference>
        </references>
      </pivotArea>
    </format>
    <format dxfId="7082">
      <pivotArea dataOnly="0" labelOnly="1" fieldPosition="0">
        <references count="5">
          <reference field="4" count="1" selected="0">
            <x v="1"/>
          </reference>
          <reference field="6" count="1" selected="0">
            <x v="3"/>
          </reference>
          <reference field="7" count="1" selected="0">
            <x v="4"/>
          </reference>
          <reference field="8" count="1" selected="0">
            <x v="21"/>
          </reference>
          <reference field="15" count="1">
            <x v="98"/>
          </reference>
        </references>
      </pivotArea>
    </format>
    <format dxfId="7081">
      <pivotArea dataOnly="0" labelOnly="1" fieldPosition="0">
        <references count="5">
          <reference field="4" count="1" selected="0">
            <x v="1"/>
          </reference>
          <reference field="6" count="1" selected="0">
            <x v="4"/>
          </reference>
          <reference field="7" count="1" selected="0">
            <x v="8"/>
          </reference>
          <reference field="8" count="1" selected="0">
            <x v="33"/>
          </reference>
          <reference field="15" count="1">
            <x v="237"/>
          </reference>
        </references>
      </pivotArea>
    </format>
    <format dxfId="7080">
      <pivotArea dataOnly="0" labelOnly="1" fieldPosition="0">
        <references count="5">
          <reference field="4" count="1" selected="0">
            <x v="1"/>
          </reference>
          <reference field="6" count="1" selected="0">
            <x v="4"/>
          </reference>
          <reference field="7" count="1" selected="0">
            <x v="8"/>
          </reference>
          <reference field="8" count="1" selected="0">
            <x v="34"/>
          </reference>
          <reference field="15" count="1">
            <x v="373"/>
          </reference>
        </references>
      </pivotArea>
    </format>
    <format dxfId="7079">
      <pivotArea dataOnly="0" labelOnly="1" fieldPosition="0">
        <references count="5">
          <reference field="4" count="1" selected="0">
            <x v="1"/>
          </reference>
          <reference field="6" count="1" selected="0">
            <x v="4"/>
          </reference>
          <reference field="7" count="1" selected="0">
            <x v="8"/>
          </reference>
          <reference field="8" count="1" selected="0">
            <x v="39"/>
          </reference>
          <reference field="15" count="2">
            <x v="233"/>
            <x v="234"/>
          </reference>
        </references>
      </pivotArea>
    </format>
    <format dxfId="7078">
      <pivotArea dataOnly="0" labelOnly="1" fieldPosition="0">
        <references count="5">
          <reference field="4" count="1" selected="0">
            <x v="2"/>
          </reference>
          <reference field="6" count="1" selected="0">
            <x v="2"/>
          </reference>
          <reference field="7" count="1" selected="0">
            <x v="29"/>
          </reference>
          <reference field="8" count="1" selected="0">
            <x v="145"/>
          </reference>
          <reference field="15" count="1">
            <x v="377"/>
          </reference>
        </references>
      </pivotArea>
    </format>
    <format dxfId="7077">
      <pivotArea dataOnly="0" labelOnly="1" fieldPosition="0">
        <references count="5">
          <reference field="4" count="1" selected="0">
            <x v="2"/>
          </reference>
          <reference field="6" count="1" selected="0">
            <x v="2"/>
          </reference>
          <reference field="7" count="1" selected="0">
            <x v="29"/>
          </reference>
          <reference field="8" count="1" selected="0">
            <x v="146"/>
          </reference>
          <reference field="15" count="1">
            <x v="139"/>
          </reference>
        </references>
      </pivotArea>
    </format>
    <format dxfId="7076">
      <pivotArea dataOnly="0" labelOnly="1" fieldPosition="0">
        <references count="5">
          <reference field="4" count="1" selected="0">
            <x v="2"/>
          </reference>
          <reference field="6" count="1" selected="0">
            <x v="2"/>
          </reference>
          <reference field="7" count="1" selected="0">
            <x v="29"/>
          </reference>
          <reference field="8" count="1" selected="0">
            <x v="147"/>
          </reference>
          <reference field="15" count="1">
            <x v="127"/>
          </reference>
        </references>
      </pivotArea>
    </format>
    <format dxfId="7075">
      <pivotArea dataOnly="0" labelOnly="1" fieldPosition="0">
        <references count="5">
          <reference field="4" count="1" selected="0">
            <x v="2"/>
          </reference>
          <reference field="6" count="1" selected="0">
            <x v="2"/>
          </reference>
          <reference field="7" count="1" selected="0">
            <x v="29"/>
          </reference>
          <reference field="8" count="1" selected="0">
            <x v="148"/>
          </reference>
          <reference field="15" count="1">
            <x v="142"/>
          </reference>
        </references>
      </pivotArea>
    </format>
    <format dxfId="7074">
      <pivotArea dataOnly="0" labelOnly="1" fieldPosition="0">
        <references count="5">
          <reference field="4" count="1" selected="0">
            <x v="2"/>
          </reference>
          <reference field="6" count="1" selected="0">
            <x v="2"/>
          </reference>
          <reference field="7" count="1" selected="0">
            <x v="29"/>
          </reference>
          <reference field="8" count="1" selected="0">
            <x v="149"/>
          </reference>
          <reference field="15" count="1">
            <x v="140"/>
          </reference>
        </references>
      </pivotArea>
    </format>
    <format dxfId="7073">
      <pivotArea dataOnly="0" labelOnly="1" fieldPosition="0">
        <references count="5">
          <reference field="4" count="1" selected="0">
            <x v="2"/>
          </reference>
          <reference field="6" count="1" selected="0">
            <x v="2"/>
          </reference>
          <reference field="7" count="1" selected="0">
            <x v="29"/>
          </reference>
          <reference field="8" count="1" selected="0">
            <x v="150"/>
          </reference>
          <reference field="15" count="1">
            <x v="144"/>
          </reference>
        </references>
      </pivotArea>
    </format>
    <format dxfId="7072">
      <pivotArea dataOnly="0" labelOnly="1" fieldPosition="0">
        <references count="5">
          <reference field="4" count="1" selected="0">
            <x v="2"/>
          </reference>
          <reference field="6" count="1" selected="0">
            <x v="2"/>
          </reference>
          <reference field="7" count="1" selected="0">
            <x v="30"/>
          </reference>
          <reference field="8" count="1" selected="0">
            <x v="152"/>
          </reference>
          <reference field="15" count="2">
            <x v="128"/>
            <x v="129"/>
          </reference>
        </references>
      </pivotArea>
    </format>
    <format dxfId="7071">
      <pivotArea dataOnly="0" labelOnly="1" fieldPosition="0">
        <references count="5">
          <reference field="4" count="1" selected="0">
            <x v="2"/>
          </reference>
          <reference field="6" count="1" selected="0">
            <x v="2"/>
          </reference>
          <reference field="7" count="1" selected="0">
            <x v="30"/>
          </reference>
          <reference field="8" count="1" selected="0">
            <x v="153"/>
          </reference>
          <reference field="15" count="1">
            <x v="141"/>
          </reference>
        </references>
      </pivotArea>
    </format>
    <format dxfId="7070">
      <pivotArea dataOnly="0" labelOnly="1" fieldPosition="0">
        <references count="5">
          <reference field="4" count="1" selected="0">
            <x v="2"/>
          </reference>
          <reference field="6" count="1" selected="0">
            <x v="3"/>
          </reference>
          <reference field="7" count="1" selected="0">
            <x v="5"/>
          </reference>
          <reference field="8" count="1" selected="0">
            <x v="24"/>
          </reference>
          <reference field="15" count="1">
            <x v="339"/>
          </reference>
        </references>
      </pivotArea>
    </format>
    <format dxfId="7069">
      <pivotArea dataOnly="0" labelOnly="1" fieldPosition="0">
        <references count="5">
          <reference field="4" count="1" selected="0">
            <x v="2"/>
          </reference>
          <reference field="6" count="1" selected="0">
            <x v="3"/>
          </reference>
          <reference field="7" count="1" selected="0">
            <x v="7"/>
          </reference>
          <reference field="8" count="1" selected="0">
            <x v="31"/>
          </reference>
          <reference field="15" count="2">
            <x v="391"/>
            <x v="392"/>
          </reference>
        </references>
      </pivotArea>
    </format>
    <format dxfId="7068">
      <pivotArea dataOnly="0" labelOnly="1" fieldPosition="0">
        <references count="5">
          <reference field="4" count="1" selected="0">
            <x v="2"/>
          </reference>
          <reference field="6" count="1" selected="0">
            <x v="3"/>
          </reference>
          <reference field="7" count="1" selected="0">
            <x v="7"/>
          </reference>
          <reference field="8" count="1" selected="0">
            <x v="32"/>
          </reference>
          <reference field="15" count="1">
            <x v="371"/>
          </reference>
        </references>
      </pivotArea>
    </format>
    <format dxfId="7067">
      <pivotArea dataOnly="0" labelOnly="1" fieldPosition="0">
        <references count="5">
          <reference field="4" count="1" selected="0">
            <x v="2"/>
          </reference>
          <reference field="6" count="1" selected="0">
            <x v="4"/>
          </reference>
          <reference field="7" count="1" selected="0">
            <x v="8"/>
          </reference>
          <reference field="8" count="1" selected="0">
            <x v="36"/>
          </reference>
          <reference field="15" count="1">
            <x v="379"/>
          </reference>
        </references>
      </pivotArea>
    </format>
    <format dxfId="7066">
      <pivotArea dataOnly="0" labelOnly="1" fieldPosition="0">
        <references count="5">
          <reference field="4" count="1" selected="0">
            <x v="2"/>
          </reference>
          <reference field="6" count="1" selected="0">
            <x v="4"/>
          </reference>
          <reference field="7" count="1" selected="0">
            <x v="8"/>
          </reference>
          <reference field="8" count="1" selected="0">
            <x v="39"/>
          </reference>
          <reference field="15" count="1">
            <x v="378"/>
          </reference>
        </references>
      </pivotArea>
    </format>
    <format dxfId="7065">
      <pivotArea dataOnly="0" labelOnly="1" fieldPosition="0">
        <references count="5">
          <reference field="4" count="1" selected="0">
            <x v="3"/>
          </reference>
          <reference field="6" count="1" selected="0">
            <x v="3"/>
          </reference>
          <reference field="7" count="1" selected="0">
            <x v="6"/>
          </reference>
          <reference field="8" count="1" selected="0">
            <x v="29"/>
          </reference>
          <reference field="15" count="41">
            <x v="0"/>
            <x v="1"/>
            <x v="167"/>
            <x v="175"/>
            <x v="176"/>
            <x v="177"/>
            <x v="178"/>
            <x v="179"/>
            <x v="180"/>
            <x v="181"/>
            <x v="182"/>
            <x v="201"/>
            <x v="202"/>
            <x v="205"/>
            <x v="206"/>
            <x v="207"/>
            <x v="208"/>
            <x v="209"/>
            <x v="210"/>
            <x v="211"/>
            <x v="212"/>
            <x v="213"/>
            <x v="214"/>
            <x v="215"/>
            <x v="216"/>
            <x v="217"/>
            <x v="218"/>
            <x v="219"/>
            <x v="220"/>
            <x v="221"/>
            <x v="224"/>
            <x v="225"/>
            <x v="226"/>
            <x v="227"/>
            <x v="228"/>
            <x v="393"/>
            <x v="394"/>
            <x v="396"/>
            <x v="397"/>
            <x v="398"/>
            <x v="399"/>
          </reference>
        </references>
      </pivotArea>
    </format>
    <format dxfId="7064">
      <pivotArea dataOnly="0" labelOnly="1" fieldPosition="0">
        <references count="5">
          <reference field="4" count="1" selected="0">
            <x v="4"/>
          </reference>
          <reference field="6" count="1" selected="0">
            <x v="0"/>
          </reference>
          <reference field="7" count="1" selected="0">
            <x v="21"/>
          </reference>
          <reference field="8" count="1" selected="0">
            <x v="87"/>
          </reference>
          <reference field="15" count="8">
            <x v="126"/>
            <x v="293"/>
            <x v="305"/>
            <x v="306"/>
            <x v="317"/>
            <x v="388"/>
            <x v="389"/>
            <x v="390"/>
          </reference>
        </references>
      </pivotArea>
    </format>
    <format dxfId="7063">
      <pivotArea dataOnly="0" labelOnly="1" fieldPosition="0">
        <references count="5">
          <reference field="4" count="1" selected="0">
            <x v="4"/>
          </reference>
          <reference field="6" count="1" selected="0">
            <x v="0"/>
          </reference>
          <reference field="7" count="1" selected="0">
            <x v="21"/>
          </reference>
          <reference field="8" count="1" selected="0">
            <x v="88"/>
          </reference>
          <reference field="15" count="3">
            <x v="291"/>
            <x v="292"/>
            <x v="301"/>
          </reference>
        </references>
      </pivotArea>
    </format>
    <format dxfId="7062">
      <pivotArea dataOnly="0" labelOnly="1" fieldPosition="0">
        <references count="5">
          <reference field="4" count="1" selected="0">
            <x v="4"/>
          </reference>
          <reference field="6" count="1" selected="0">
            <x v="0"/>
          </reference>
          <reference field="7" count="1" selected="0">
            <x v="21"/>
          </reference>
          <reference field="8" count="1" selected="0">
            <x v="89"/>
          </reference>
          <reference field="15" count="1">
            <x v="310"/>
          </reference>
        </references>
      </pivotArea>
    </format>
    <format dxfId="7061">
      <pivotArea dataOnly="0" labelOnly="1" fieldPosition="0">
        <references count="5">
          <reference field="4" count="1" selected="0">
            <x v="4"/>
          </reference>
          <reference field="6" count="1" selected="0">
            <x v="0"/>
          </reference>
          <reference field="7" count="1" selected="0">
            <x v="21"/>
          </reference>
          <reference field="8" count="1" selected="0">
            <x v="90"/>
          </reference>
          <reference field="15" count="1">
            <x v="385"/>
          </reference>
        </references>
      </pivotArea>
    </format>
    <format dxfId="7060">
      <pivotArea dataOnly="0" labelOnly="1" fieldPosition="0">
        <references count="5">
          <reference field="4" count="1" selected="0">
            <x v="4"/>
          </reference>
          <reference field="6" count="1" selected="0">
            <x v="0"/>
          </reference>
          <reference field="7" count="1" selected="0">
            <x v="21"/>
          </reference>
          <reference field="8" count="1" selected="0">
            <x v="91"/>
          </reference>
          <reference field="15" count="2">
            <x v="264"/>
            <x v="265"/>
          </reference>
        </references>
      </pivotArea>
    </format>
    <format dxfId="7059">
      <pivotArea dataOnly="0" labelOnly="1" fieldPosition="0">
        <references count="5">
          <reference field="4" count="1" selected="0">
            <x v="4"/>
          </reference>
          <reference field="6" count="1" selected="0">
            <x v="1"/>
          </reference>
          <reference field="7" count="1" selected="0">
            <x v="24"/>
          </reference>
          <reference field="8" count="1" selected="0">
            <x v="114"/>
          </reference>
          <reference field="15" count="1">
            <x v="263"/>
          </reference>
        </references>
      </pivotArea>
    </format>
    <format dxfId="7058">
      <pivotArea dataOnly="0" labelOnly="1" fieldPosition="0">
        <references count="5">
          <reference field="4" count="1" selected="0">
            <x v="4"/>
          </reference>
          <reference field="6" count="1" selected="0">
            <x v="2"/>
          </reference>
          <reference field="7" count="1" selected="0">
            <x v="29"/>
          </reference>
          <reference field="8" count="1" selected="0">
            <x v="142"/>
          </reference>
          <reference field="15" count="1">
            <x v="283"/>
          </reference>
        </references>
      </pivotArea>
    </format>
    <format dxfId="7057">
      <pivotArea dataOnly="0" labelOnly="1" fieldPosition="0">
        <references count="5">
          <reference field="4" count="1" selected="0">
            <x v="4"/>
          </reference>
          <reference field="6" count="1" selected="0">
            <x v="2"/>
          </reference>
          <reference field="7" count="1" selected="0">
            <x v="29"/>
          </reference>
          <reference field="8" count="1" selected="0">
            <x v="143"/>
          </reference>
          <reference field="15" count="2">
            <x v="289"/>
            <x v="314"/>
          </reference>
        </references>
      </pivotArea>
    </format>
    <format dxfId="7056">
      <pivotArea dataOnly="0" labelOnly="1" fieldPosition="0">
        <references count="5">
          <reference field="4" count="1" selected="0">
            <x v="4"/>
          </reference>
          <reference field="6" count="1" selected="0">
            <x v="2"/>
          </reference>
          <reference field="7" count="1" selected="0">
            <x v="29"/>
          </reference>
          <reference field="8" count="1" selected="0">
            <x v="151"/>
          </reference>
          <reference field="15" count="1">
            <x v="387"/>
          </reference>
        </references>
      </pivotArea>
    </format>
    <format dxfId="7055">
      <pivotArea dataOnly="0" labelOnly="1" fieldPosition="0">
        <references count="5">
          <reference field="4" count="1" selected="0">
            <x v="4"/>
          </reference>
          <reference field="6" count="1" selected="0">
            <x v="2"/>
          </reference>
          <reference field="7" count="1" selected="0">
            <x v="31"/>
          </reference>
          <reference field="8" count="1" selected="0">
            <x v="155"/>
          </reference>
          <reference field="15" count="4">
            <x v="235"/>
            <x v="303"/>
            <x v="374"/>
            <x v="386"/>
          </reference>
        </references>
      </pivotArea>
    </format>
    <format dxfId="7054">
      <pivotArea dataOnly="0" labelOnly="1" fieldPosition="0">
        <references count="5">
          <reference field="4" count="1" selected="0">
            <x v="4"/>
          </reference>
          <reference field="6" count="1" selected="0">
            <x v="2"/>
          </reference>
          <reference field="7" count="1" selected="0">
            <x v="31"/>
          </reference>
          <reference field="8" count="1" selected="0">
            <x v="156"/>
          </reference>
          <reference field="15" count="1">
            <x v="304"/>
          </reference>
        </references>
      </pivotArea>
    </format>
    <format dxfId="7053">
      <pivotArea dataOnly="0" labelOnly="1" fieldPosition="0">
        <references count="5">
          <reference field="4" count="1" selected="0">
            <x v="4"/>
          </reference>
          <reference field="6" count="1" selected="0">
            <x v="2"/>
          </reference>
          <reference field="7" count="1" selected="0">
            <x v="31"/>
          </reference>
          <reference field="8" count="1" selected="0">
            <x v="157"/>
          </reference>
          <reference field="15" count="1">
            <x v="302"/>
          </reference>
        </references>
      </pivotArea>
    </format>
    <format dxfId="7052">
      <pivotArea dataOnly="0" labelOnly="1" fieldPosition="0">
        <references count="5">
          <reference field="4" count="1" selected="0">
            <x v="4"/>
          </reference>
          <reference field="6" count="1" selected="0">
            <x v="3"/>
          </reference>
          <reference field="7" count="1" selected="0">
            <x v="0"/>
          </reference>
          <reference field="8" count="1" selected="0">
            <x v="0"/>
          </reference>
          <reference field="15" count="2">
            <x v="125"/>
            <x v="269"/>
          </reference>
        </references>
      </pivotArea>
    </format>
    <format dxfId="7051">
      <pivotArea dataOnly="0" labelOnly="1" fieldPosition="0">
        <references count="5">
          <reference field="4" count="1" selected="0">
            <x v="4"/>
          </reference>
          <reference field="6" count="1" selected="0">
            <x v="3"/>
          </reference>
          <reference field="7" count="1" selected="0">
            <x v="0"/>
          </reference>
          <reference field="8" count="1" selected="0">
            <x v="1"/>
          </reference>
          <reference field="15" count="1">
            <x v="382"/>
          </reference>
        </references>
      </pivotArea>
    </format>
    <format dxfId="7050">
      <pivotArea dataOnly="0" labelOnly="1" fieldPosition="0">
        <references count="5">
          <reference field="4" count="1" selected="0">
            <x v="4"/>
          </reference>
          <reference field="6" count="1" selected="0">
            <x v="3"/>
          </reference>
          <reference field="7" count="1" selected="0">
            <x v="1"/>
          </reference>
          <reference field="8" count="1" selected="0">
            <x v="2"/>
          </reference>
          <reference field="15" count="1">
            <x v="282"/>
          </reference>
        </references>
      </pivotArea>
    </format>
    <format dxfId="7049">
      <pivotArea dataOnly="0" labelOnly="1" fieldPosition="0">
        <references count="5">
          <reference field="4" count="1" selected="0">
            <x v="4"/>
          </reference>
          <reference field="6" count="1" selected="0">
            <x v="3"/>
          </reference>
          <reference field="7" count="1" selected="0">
            <x v="1"/>
          </reference>
          <reference field="8" count="1" selected="0">
            <x v="3"/>
          </reference>
          <reference field="15" count="1">
            <x v="384"/>
          </reference>
        </references>
      </pivotArea>
    </format>
    <format dxfId="7048">
      <pivotArea dataOnly="0" labelOnly="1" fieldPosition="0">
        <references count="5">
          <reference field="4" count="1" selected="0">
            <x v="4"/>
          </reference>
          <reference field="6" count="1" selected="0">
            <x v="3"/>
          </reference>
          <reference field="7" count="1" selected="0">
            <x v="1"/>
          </reference>
          <reference field="8" count="1" selected="0">
            <x v="4"/>
          </reference>
          <reference field="15" count="1">
            <x v="298"/>
          </reference>
        </references>
      </pivotArea>
    </format>
    <format dxfId="7047">
      <pivotArea dataOnly="0" labelOnly="1" fieldPosition="0">
        <references count="5">
          <reference field="4" count="1" selected="0">
            <x v="4"/>
          </reference>
          <reference field="6" count="1" selected="0">
            <x v="3"/>
          </reference>
          <reference field="7" count="1" selected="0">
            <x v="1"/>
          </reference>
          <reference field="8" count="1" selected="0">
            <x v="5"/>
          </reference>
          <reference field="15" count="2">
            <x v="381"/>
            <x v="383"/>
          </reference>
        </references>
      </pivotArea>
    </format>
    <format dxfId="7046">
      <pivotArea dataOnly="0" labelOnly="1" fieldPosition="0">
        <references count="5">
          <reference field="4" count="1" selected="0">
            <x v="5"/>
          </reference>
          <reference field="6" count="1" selected="0">
            <x v="0"/>
          </reference>
          <reference field="7" count="1" selected="0">
            <x v="18"/>
          </reference>
          <reference field="8" count="1" selected="0">
            <x v="73"/>
          </reference>
          <reference field="15" count="3">
            <x v="245"/>
            <x v="246"/>
            <x v="313"/>
          </reference>
        </references>
      </pivotArea>
    </format>
    <format dxfId="7045">
      <pivotArea dataOnly="0" labelOnly="1" fieldPosition="0">
        <references count="5">
          <reference field="4" count="1" selected="0">
            <x v="5"/>
          </reference>
          <reference field="6" count="1" selected="0">
            <x v="0"/>
          </reference>
          <reference field="7" count="1" selected="0">
            <x v="18"/>
          </reference>
          <reference field="8" count="1" selected="0">
            <x v="74"/>
          </reference>
          <reference field="15" count="1">
            <x v="230"/>
          </reference>
        </references>
      </pivotArea>
    </format>
    <format dxfId="7044">
      <pivotArea dataOnly="0" labelOnly="1" fieldPosition="0">
        <references count="5">
          <reference field="4" count="1" selected="0">
            <x v="5"/>
          </reference>
          <reference field="6" count="1" selected="0">
            <x v="0"/>
          </reference>
          <reference field="7" count="1" selected="0">
            <x v="18"/>
          </reference>
          <reference field="8" count="1" selected="0">
            <x v="77"/>
          </reference>
          <reference field="15" count="2">
            <x v="276"/>
            <x v="277"/>
          </reference>
        </references>
      </pivotArea>
    </format>
    <format dxfId="7043">
      <pivotArea dataOnly="0" labelOnly="1" fieldPosition="0">
        <references count="5">
          <reference field="4" count="1" selected="0">
            <x v="5"/>
          </reference>
          <reference field="6" count="1" selected="0">
            <x v="0"/>
          </reference>
          <reference field="7" count="1" selected="0">
            <x v="22"/>
          </reference>
          <reference field="8" count="1" selected="0">
            <x v="94"/>
          </reference>
          <reference field="15" count="1">
            <x v="164"/>
          </reference>
        </references>
      </pivotArea>
    </format>
    <format dxfId="7042">
      <pivotArea dataOnly="0" labelOnly="1" fieldPosition="0">
        <references count="5">
          <reference field="4" count="1" selected="0">
            <x v="5"/>
          </reference>
          <reference field="6" count="1" selected="0">
            <x v="4"/>
          </reference>
          <reference field="7" count="1" selected="0">
            <x v="8"/>
          </reference>
          <reference field="8" count="1" selected="0">
            <x v="37"/>
          </reference>
          <reference field="15" count="1">
            <x v="222"/>
          </reference>
        </references>
      </pivotArea>
    </format>
    <format dxfId="7041">
      <pivotArea dataOnly="0" labelOnly="1" fieldPosition="0">
        <references count="5">
          <reference field="4" count="1" selected="0">
            <x v="6"/>
          </reference>
          <reference field="6" count="1" selected="0">
            <x v="1"/>
          </reference>
          <reference field="7" count="1" selected="0">
            <x v="24"/>
          </reference>
          <reference field="8" count="1" selected="0">
            <x v="105"/>
          </reference>
          <reference field="15" count="13">
            <x v="24"/>
            <x v="25"/>
            <x v="31"/>
            <x v="37"/>
            <x v="44"/>
            <x v="45"/>
            <x v="48"/>
            <x v="49"/>
            <x v="50"/>
            <x v="56"/>
            <x v="66"/>
            <x v="100"/>
            <x v="101"/>
          </reference>
        </references>
      </pivotArea>
    </format>
    <format dxfId="7040">
      <pivotArea dataOnly="0" labelOnly="1" fieldPosition="0">
        <references count="5">
          <reference field="4" count="1" selected="0">
            <x v="6"/>
          </reference>
          <reference field="6" count="1" selected="0">
            <x v="1"/>
          </reference>
          <reference field="7" count="1" selected="0">
            <x v="24"/>
          </reference>
          <reference field="8" count="1" selected="0">
            <x v="107"/>
          </reference>
          <reference field="15" count="3">
            <x v="118"/>
            <x v="123"/>
            <x v="165"/>
          </reference>
        </references>
      </pivotArea>
    </format>
    <format dxfId="7039">
      <pivotArea dataOnly="0" labelOnly="1" fieldPosition="0">
        <references count="5">
          <reference field="4" count="1" selected="0">
            <x v="6"/>
          </reference>
          <reference field="6" count="1" selected="0">
            <x v="1"/>
          </reference>
          <reference field="7" count="1" selected="0">
            <x v="24"/>
          </reference>
          <reference field="8" count="1" selected="0">
            <x v="108"/>
          </reference>
          <reference field="15" count="2">
            <x v="97"/>
            <x v="119"/>
          </reference>
        </references>
      </pivotArea>
    </format>
    <format dxfId="7038">
      <pivotArea dataOnly="0" labelOnly="1" fieldPosition="0">
        <references count="5">
          <reference field="4" count="1" selected="0">
            <x v="6"/>
          </reference>
          <reference field="6" count="1" selected="0">
            <x v="1"/>
          </reference>
          <reference field="7" count="1" selected="0">
            <x v="24"/>
          </reference>
          <reference field="8" count="1" selected="0">
            <x v="109"/>
          </reference>
          <reference field="15" count="2">
            <x v="96"/>
            <x v="327"/>
          </reference>
        </references>
      </pivotArea>
    </format>
    <format dxfId="7037">
      <pivotArea dataOnly="0" labelOnly="1" fieldPosition="0">
        <references count="5">
          <reference field="4" count="1" selected="0">
            <x v="6"/>
          </reference>
          <reference field="6" count="1" selected="0">
            <x v="1"/>
          </reference>
          <reference field="7" count="1" selected="0">
            <x v="24"/>
          </reference>
          <reference field="8" count="1" selected="0">
            <x v="110"/>
          </reference>
          <reference field="15" count="2">
            <x v="115"/>
            <x v="324"/>
          </reference>
        </references>
      </pivotArea>
    </format>
    <format dxfId="7036">
      <pivotArea dataOnly="0" labelOnly="1" fieldPosition="0">
        <references count="5">
          <reference field="4" count="1" selected="0">
            <x v="6"/>
          </reference>
          <reference field="6" count="1" selected="0">
            <x v="1"/>
          </reference>
          <reference field="7" count="1" selected="0">
            <x v="24"/>
          </reference>
          <reference field="8" count="1" selected="0">
            <x v="111"/>
          </reference>
          <reference field="15" count="1">
            <x v="326"/>
          </reference>
        </references>
      </pivotArea>
    </format>
    <format dxfId="7035">
      <pivotArea dataOnly="0" labelOnly="1" fieldPosition="0">
        <references count="5">
          <reference field="4" count="1" selected="0">
            <x v="6"/>
          </reference>
          <reference field="6" count="1" selected="0">
            <x v="1"/>
          </reference>
          <reference field="7" count="1" selected="0">
            <x v="24"/>
          </reference>
          <reference field="8" count="1" selected="0">
            <x v="112"/>
          </reference>
          <reference field="15" count="5">
            <x v="80"/>
            <x v="120"/>
            <x v="121"/>
            <x v="122"/>
            <x v="135"/>
          </reference>
        </references>
      </pivotArea>
    </format>
    <format dxfId="7034">
      <pivotArea dataOnly="0" labelOnly="1" fieldPosition="0">
        <references count="5">
          <reference field="4" count="1" selected="0">
            <x v="6"/>
          </reference>
          <reference field="6" count="1" selected="0">
            <x v="1"/>
          </reference>
          <reference field="7" count="1" selected="0">
            <x v="24"/>
          </reference>
          <reference field="8" count="1" selected="0">
            <x v="113"/>
          </reference>
          <reference field="15" count="3">
            <x v="67"/>
            <x v="84"/>
            <x v="166"/>
          </reference>
        </references>
      </pivotArea>
    </format>
    <format dxfId="7033">
      <pivotArea dataOnly="0" labelOnly="1" fieldPosition="0">
        <references count="5">
          <reference field="4" count="1" selected="0">
            <x v="7"/>
          </reference>
          <reference field="6" count="1" selected="0">
            <x v="0"/>
          </reference>
          <reference field="7" count="1" selected="0">
            <x v="16"/>
          </reference>
          <reference field="8" count="1" selected="0">
            <x v="64"/>
          </reference>
          <reference field="15" count="3">
            <x v="274"/>
            <x v="278"/>
            <x v="325"/>
          </reference>
        </references>
      </pivotArea>
    </format>
    <format dxfId="7032">
      <pivotArea dataOnly="0" labelOnly="1" fieldPosition="0">
        <references count="5">
          <reference field="4" count="1" selected="0">
            <x v="7"/>
          </reference>
          <reference field="6" count="1" selected="0">
            <x v="2"/>
          </reference>
          <reference field="7" count="1" selected="0">
            <x v="29"/>
          </reference>
          <reference field="8" count="1" selected="0">
            <x v="140"/>
          </reference>
          <reference field="15" count="1">
            <x v="53"/>
          </reference>
        </references>
      </pivotArea>
    </format>
    <format dxfId="7031">
      <pivotArea dataOnly="0" labelOnly="1" fieldPosition="0">
        <references count="5">
          <reference field="4" count="1" selected="0">
            <x v="7"/>
          </reference>
          <reference field="6" count="1" selected="0">
            <x v="2"/>
          </reference>
          <reference field="7" count="1" selected="0">
            <x v="29"/>
          </reference>
          <reference field="8" count="1" selected="0">
            <x v="141"/>
          </reference>
          <reference field="15" count="1">
            <x v="279"/>
          </reference>
        </references>
      </pivotArea>
    </format>
    <format dxfId="7030">
      <pivotArea dataOnly="0" labelOnly="1" fieldPosition="0">
        <references count="5">
          <reference field="4" count="1" selected="0">
            <x v="7"/>
          </reference>
          <reference field="6" count="1" selected="0">
            <x v="2"/>
          </reference>
          <reference field="7" count="1" selected="0">
            <x v="29"/>
          </reference>
          <reference field="8" count="1" selected="0">
            <x v="144"/>
          </reference>
          <reference field="15" count="1">
            <x v="52"/>
          </reference>
        </references>
      </pivotArea>
    </format>
    <format dxfId="7029">
      <pivotArea dataOnly="0" labelOnly="1" fieldPosition="0">
        <references count="5">
          <reference field="4" count="1" selected="0">
            <x v="7"/>
          </reference>
          <reference field="6" count="1" selected="0">
            <x v="2"/>
          </reference>
          <reference field="7" count="1" selected="0">
            <x v="29"/>
          </reference>
          <reference field="8" count="1" selected="0">
            <x v="145"/>
          </reference>
          <reference field="15" count="1">
            <x v="51"/>
          </reference>
        </references>
      </pivotArea>
    </format>
    <format dxfId="7028">
      <pivotArea dataOnly="0" labelOnly="1" fieldPosition="0">
        <references count="5">
          <reference field="4" count="1" selected="0">
            <x v="7"/>
          </reference>
          <reference field="6" count="1" selected="0">
            <x v="2"/>
          </reference>
          <reference field="7" count="1" selected="0">
            <x v="30"/>
          </reference>
          <reference field="8" count="1" selected="0">
            <x v="154"/>
          </reference>
          <reference field="15" count="1">
            <x v="275"/>
          </reference>
        </references>
      </pivotArea>
    </format>
    <format dxfId="7027">
      <pivotArea dataOnly="0" labelOnly="1" fieldPosition="0">
        <references count="5">
          <reference field="4" count="1" selected="0">
            <x v="7"/>
          </reference>
          <reference field="6" count="1" selected="0">
            <x v="3"/>
          </reference>
          <reference field="7" count="1" selected="0">
            <x v="6"/>
          </reference>
          <reference field="8" count="1" selected="0">
            <x v="28"/>
          </reference>
          <reference field="15" count="3">
            <x v="318"/>
            <x v="319"/>
            <x v="320"/>
          </reference>
        </references>
      </pivotArea>
    </format>
    <format dxfId="7026">
      <pivotArea dataOnly="0" labelOnly="1" fieldPosition="0">
        <references count="5">
          <reference field="4" count="1" selected="0">
            <x v="7"/>
          </reference>
          <reference field="6" count="1" selected="0">
            <x v="4"/>
          </reference>
          <reference field="7" count="1" selected="0">
            <x v="8"/>
          </reference>
          <reference field="8" count="1" selected="0">
            <x v="35"/>
          </reference>
          <reference field="15" count="1">
            <x v="337"/>
          </reference>
        </references>
      </pivotArea>
    </format>
    <format dxfId="7025">
      <pivotArea dataOnly="0" labelOnly="1" fieldPosition="0">
        <references count="5">
          <reference field="4" count="1" selected="0">
            <x v="7"/>
          </reference>
          <reference field="6" count="1" selected="0">
            <x v="4"/>
          </reference>
          <reference field="7" count="1" selected="0">
            <x v="8"/>
          </reference>
          <reference field="8" count="1" selected="0">
            <x v="36"/>
          </reference>
          <reference field="15" count="1">
            <x v="280"/>
          </reference>
        </references>
      </pivotArea>
    </format>
    <format dxfId="7024">
      <pivotArea dataOnly="0" labelOnly="1" fieldPosition="0">
        <references count="5">
          <reference field="4" count="1" selected="0">
            <x v="7"/>
          </reference>
          <reference field="6" count="1" selected="0">
            <x v="4"/>
          </reference>
          <reference field="7" count="1" selected="0">
            <x v="9"/>
          </reference>
          <reference field="8" count="1" selected="0">
            <x v="40"/>
          </reference>
          <reference field="15" count="3">
            <x v="311"/>
            <x v="312"/>
            <x v="334"/>
          </reference>
        </references>
      </pivotArea>
    </format>
    <format dxfId="7023">
      <pivotArea dataOnly="0" labelOnly="1" fieldPosition="0">
        <references count="5">
          <reference field="4" count="1" selected="0">
            <x v="7"/>
          </reference>
          <reference field="6" count="1" selected="0">
            <x v="4"/>
          </reference>
          <reference field="7" count="1" selected="0">
            <x v="9"/>
          </reference>
          <reference field="8" count="1" selected="0">
            <x v="41"/>
          </reference>
          <reference field="15" count="1">
            <x v="328"/>
          </reference>
        </references>
      </pivotArea>
    </format>
    <format dxfId="7022">
      <pivotArea dataOnly="0" labelOnly="1" fieldPosition="0">
        <references count="5">
          <reference field="4" count="1" selected="0">
            <x v="7"/>
          </reference>
          <reference field="6" count="1" selected="0">
            <x v="4"/>
          </reference>
          <reference field="7" count="1" selected="0">
            <x v="9"/>
          </reference>
          <reference field="8" count="1" selected="0">
            <x v="42"/>
          </reference>
          <reference field="15" count="1">
            <x v="329"/>
          </reference>
        </references>
      </pivotArea>
    </format>
    <format dxfId="7021">
      <pivotArea dataOnly="0" labelOnly="1" fieldPosition="0">
        <references count="5">
          <reference field="4" count="1" selected="0">
            <x v="7"/>
          </reference>
          <reference field="6" count="1" selected="0">
            <x v="4"/>
          </reference>
          <reference field="7" count="1" selected="0">
            <x v="9"/>
          </reference>
          <reference field="8" count="1" selected="0">
            <x v="43"/>
          </reference>
          <reference field="15" count="1">
            <x v="321"/>
          </reference>
        </references>
      </pivotArea>
    </format>
    <format dxfId="7020">
      <pivotArea dataOnly="0" labelOnly="1" fieldPosition="0">
        <references count="5">
          <reference field="4" count="1" selected="0">
            <x v="7"/>
          </reference>
          <reference field="6" count="1" selected="0">
            <x v="4"/>
          </reference>
          <reference field="7" count="1" selected="0">
            <x v="10"/>
          </reference>
          <reference field="8" count="1" selected="0">
            <x v="44"/>
          </reference>
          <reference field="15" count="2">
            <x v="57"/>
            <x v="58"/>
          </reference>
        </references>
      </pivotArea>
    </format>
    <format dxfId="7019">
      <pivotArea dataOnly="0" labelOnly="1" fieldPosition="0">
        <references count="5">
          <reference field="4" count="1" selected="0">
            <x v="7"/>
          </reference>
          <reference field="6" count="1" selected="0">
            <x v="4"/>
          </reference>
          <reference field="7" count="1" selected="0">
            <x v="10"/>
          </reference>
          <reference field="8" count="1" selected="0">
            <x v="45"/>
          </reference>
          <reference field="15" count="1">
            <x v="55"/>
          </reference>
        </references>
      </pivotArea>
    </format>
    <format dxfId="7018">
      <pivotArea dataOnly="0" labelOnly="1" fieldPosition="0">
        <references count="5">
          <reference field="4" count="1" selected="0">
            <x v="7"/>
          </reference>
          <reference field="6" count="1" selected="0">
            <x v="4"/>
          </reference>
          <reference field="7" count="1" selected="0">
            <x v="10"/>
          </reference>
          <reference field="8" count="1" selected="0">
            <x v="46"/>
          </reference>
          <reference field="15" count="1">
            <x v="59"/>
          </reference>
        </references>
      </pivotArea>
    </format>
    <format dxfId="7017">
      <pivotArea dataOnly="0" labelOnly="1" fieldPosition="0">
        <references count="5">
          <reference field="4" count="1" selected="0">
            <x v="7"/>
          </reference>
          <reference field="6" count="1" selected="0">
            <x v="4"/>
          </reference>
          <reference field="7" count="1" selected="0">
            <x v="10"/>
          </reference>
          <reference field="8" count="1" selected="0">
            <x v="47"/>
          </reference>
          <reference field="15" count="1">
            <x v="54"/>
          </reference>
        </references>
      </pivotArea>
    </format>
    <format dxfId="7016">
      <pivotArea dataOnly="0" labelOnly="1" fieldPosition="0">
        <references count="5">
          <reference field="4" count="1" selected="0">
            <x v="7"/>
          </reference>
          <reference field="6" count="1" selected="0">
            <x v="4"/>
          </reference>
          <reference field="7" count="1" selected="0">
            <x v="11"/>
          </reference>
          <reference field="8" count="1" selected="0">
            <x v="48"/>
          </reference>
          <reference field="15" count="1">
            <x v="88"/>
          </reference>
        </references>
      </pivotArea>
    </format>
    <format dxfId="7015">
      <pivotArea dataOnly="0" labelOnly="1" fieldPosition="0">
        <references count="5">
          <reference field="4" count="1" selected="0">
            <x v="7"/>
          </reference>
          <reference field="6" count="1" selected="0">
            <x v="4"/>
          </reference>
          <reference field="7" count="1" selected="0">
            <x v="11"/>
          </reference>
          <reference field="8" count="1" selected="0">
            <x v="49"/>
          </reference>
          <reference field="15" count="1">
            <x v="86"/>
          </reference>
        </references>
      </pivotArea>
    </format>
    <format dxfId="7014">
      <pivotArea dataOnly="0" labelOnly="1" fieldPosition="0">
        <references count="5">
          <reference field="4" count="1" selected="0">
            <x v="7"/>
          </reference>
          <reference field="6" count="1" selected="0">
            <x v="4"/>
          </reference>
          <reference field="7" count="1" selected="0">
            <x v="12"/>
          </reference>
          <reference field="8" count="1" selected="0">
            <x v="50"/>
          </reference>
          <reference field="15" count="3">
            <x v="64"/>
            <x v="65"/>
            <x v="136"/>
          </reference>
        </references>
      </pivotArea>
    </format>
    <format dxfId="7013">
      <pivotArea dataOnly="0" labelOnly="1" fieldPosition="0">
        <references count="5">
          <reference field="4" count="1" selected="0">
            <x v="7"/>
          </reference>
          <reference field="6" count="1" selected="0">
            <x v="4"/>
          </reference>
          <reference field="7" count="1" selected="0">
            <x v="13"/>
          </reference>
          <reference field="8" count="1" selected="0">
            <x v="51"/>
          </reference>
          <reference field="15" count="1">
            <x v="307"/>
          </reference>
        </references>
      </pivotArea>
    </format>
    <format dxfId="7012">
      <pivotArea dataOnly="0" labelOnly="1" fieldPosition="0">
        <references count="5">
          <reference field="4" count="1" selected="0">
            <x v="7"/>
          </reference>
          <reference field="6" count="1" selected="0">
            <x v="4"/>
          </reference>
          <reference field="7" count="1" selected="0">
            <x v="13"/>
          </reference>
          <reference field="8" count="1" selected="0">
            <x v="52"/>
          </reference>
          <reference field="15" count="1">
            <x v="309"/>
          </reference>
        </references>
      </pivotArea>
    </format>
    <format dxfId="7011">
      <pivotArea dataOnly="0" labelOnly="1" fieldPosition="0">
        <references count="5">
          <reference field="4" count="1" selected="0">
            <x v="7"/>
          </reference>
          <reference field="6" count="1" selected="0">
            <x v="4"/>
          </reference>
          <reference field="7" count="1" selected="0">
            <x v="13"/>
          </reference>
          <reference field="8" count="1" selected="0">
            <x v="53"/>
          </reference>
          <reference field="15" count="1">
            <x v="308"/>
          </reference>
        </references>
      </pivotArea>
    </format>
    <format dxfId="7010">
      <pivotArea dataOnly="0" labelOnly="1" fieldPosition="0">
        <references count="5">
          <reference field="4" count="1" selected="0">
            <x v="7"/>
          </reference>
          <reference field="6" count="1" selected="0">
            <x v="4"/>
          </reference>
          <reference field="7" count="1" selected="0">
            <x v="14"/>
          </reference>
          <reference field="8" count="1" selected="0">
            <x v="54"/>
          </reference>
          <reference field="15" count="1">
            <x v="281"/>
          </reference>
        </references>
      </pivotArea>
    </format>
    <format dxfId="7009">
      <pivotArea dataOnly="0" labelOnly="1" fieldPosition="0">
        <references count="5">
          <reference field="4" count="1" selected="0">
            <x v="7"/>
          </reference>
          <reference field="6" count="1" selected="0">
            <x v="4"/>
          </reference>
          <reference field="7" count="1" selected="0">
            <x v="14"/>
          </reference>
          <reference field="8" count="1" selected="0">
            <x v="55"/>
          </reference>
          <reference field="15" count="1">
            <x v="138"/>
          </reference>
        </references>
      </pivotArea>
    </format>
    <format dxfId="7008">
      <pivotArea dataOnly="0" labelOnly="1" fieldPosition="0">
        <references count="5">
          <reference field="4" count="1" selected="0">
            <x v="7"/>
          </reference>
          <reference field="6" count="1" selected="0">
            <x v="4"/>
          </reference>
          <reference field="7" count="1" selected="0">
            <x v="15"/>
          </reference>
          <reference field="8" count="1" selected="0">
            <x v="56"/>
          </reference>
          <reference field="15" count="2">
            <x v="335"/>
            <x v="336"/>
          </reference>
        </references>
      </pivotArea>
    </format>
    <format dxfId="7007">
      <pivotArea dataOnly="0" labelOnly="1" fieldPosition="0">
        <references count="5">
          <reference field="4" count="1" selected="0">
            <x v="8"/>
          </reference>
          <reference field="6" count="1" selected="0">
            <x v="0"/>
          </reference>
          <reference field="7" count="1" selected="0">
            <x v="18"/>
          </reference>
          <reference field="8" count="1" selected="0">
            <x v="77"/>
          </reference>
          <reference field="15" count="1">
            <x v="290"/>
          </reference>
        </references>
      </pivotArea>
    </format>
    <format dxfId="7006">
      <pivotArea dataOnly="0" labelOnly="1" fieldPosition="0">
        <references count="5">
          <reference field="4" count="1" selected="0">
            <x v="8"/>
          </reference>
          <reference field="6" count="1" selected="0">
            <x v="0"/>
          </reference>
          <reference field="7" count="1" selected="0">
            <x v="22"/>
          </reference>
          <reference field="8" count="1" selected="0">
            <x v="92"/>
          </reference>
          <reference field="15" count="4">
            <x v="130"/>
            <x v="359"/>
            <x v="360"/>
            <x v="361"/>
          </reference>
        </references>
      </pivotArea>
    </format>
    <format dxfId="7005">
      <pivotArea dataOnly="0" labelOnly="1" fieldPosition="0">
        <references count="5">
          <reference field="4" count="1" selected="0">
            <x v="8"/>
          </reference>
          <reference field="6" count="1" selected="0">
            <x v="0"/>
          </reference>
          <reference field="7" count="1" selected="0">
            <x v="22"/>
          </reference>
          <reference field="8" count="1" selected="0">
            <x v="93"/>
          </reference>
          <reference field="15" count="1">
            <x v="369"/>
          </reference>
        </references>
      </pivotArea>
    </format>
    <format dxfId="7004">
      <pivotArea dataOnly="0" labelOnly="1" fieldPosition="0">
        <references count="5">
          <reference field="4" count="1" selected="0">
            <x v="8"/>
          </reference>
          <reference field="6" count="1" selected="0">
            <x v="0"/>
          </reference>
          <reference field="7" count="1" selected="0">
            <x v="22"/>
          </reference>
          <reference field="8" count="1" selected="0">
            <x v="94"/>
          </reference>
          <reference field="15" count="1">
            <x v="273"/>
          </reference>
        </references>
      </pivotArea>
    </format>
    <format dxfId="7003">
      <pivotArea dataOnly="0" labelOnly="1" fieldPosition="0">
        <references count="5">
          <reference field="4" count="1" selected="0">
            <x v="8"/>
          </reference>
          <reference field="6" count="1" selected="0">
            <x v="1"/>
          </reference>
          <reference field="7" count="1" selected="0">
            <x v="28"/>
          </reference>
          <reference field="8" count="1" selected="0">
            <x v="138"/>
          </reference>
          <reference field="15" count="3">
            <x v="270"/>
            <x v="343"/>
            <x v="355"/>
          </reference>
        </references>
      </pivotArea>
    </format>
    <format dxfId="7002">
      <pivotArea dataOnly="0" labelOnly="1" fieldPosition="0">
        <references count="5">
          <reference field="4" count="1" selected="0">
            <x v="8"/>
          </reference>
          <reference field="6" count="1" selected="0">
            <x v="1"/>
          </reference>
          <reference field="7" count="1" selected="0">
            <x v="28"/>
          </reference>
          <reference field="8" count="1" selected="0">
            <x v="139"/>
          </reference>
          <reference field="15" count="1">
            <x v="147"/>
          </reference>
        </references>
      </pivotArea>
    </format>
    <format dxfId="7001">
      <pivotArea dataOnly="0" labelOnly="1" fieldPosition="0">
        <references count="5">
          <reference field="4" count="1" selected="0">
            <x v="8"/>
          </reference>
          <reference field="6" count="1" selected="0">
            <x v="2"/>
          </reference>
          <reference field="7" count="1" selected="0">
            <x v="32"/>
          </reference>
          <reference field="8" count="1" selected="0">
            <x v="158"/>
          </reference>
          <reference field="15" count="1">
            <x v="344"/>
          </reference>
        </references>
      </pivotArea>
    </format>
    <format dxfId="7000">
      <pivotArea dataOnly="0" labelOnly="1" fieldPosition="0">
        <references count="5">
          <reference field="4" count="1" selected="0">
            <x v="8"/>
          </reference>
          <reference field="6" count="1" selected="0">
            <x v="2"/>
          </reference>
          <reference field="7" count="1" selected="0">
            <x v="32"/>
          </reference>
          <reference field="8" count="1" selected="0">
            <x v="159"/>
          </reference>
          <reference field="15" count="1">
            <x v="137"/>
          </reference>
        </references>
      </pivotArea>
    </format>
    <format dxfId="6999">
      <pivotArea dataOnly="0" labelOnly="1" fieldPosition="0">
        <references count="5">
          <reference field="4" count="1" selected="0">
            <x v="8"/>
          </reference>
          <reference field="6" count="1" selected="0">
            <x v="3"/>
          </reference>
          <reference field="7" count="1" selected="0">
            <x v="6"/>
          </reference>
          <reference field="8" count="1" selected="0">
            <x v="29"/>
          </reference>
          <reference field="15" count="4">
            <x v="145"/>
            <x v="146"/>
            <x v="356"/>
            <x v="357"/>
          </reference>
        </references>
      </pivotArea>
    </format>
    <format dxfId="6998">
      <pivotArea dataOnly="0" labelOnly="1" fieldPosition="0">
        <references count="5">
          <reference field="4" count="1" selected="0">
            <x v="8"/>
          </reference>
          <reference field="6" count="1" selected="0">
            <x v="3"/>
          </reference>
          <reference field="7" count="1" selected="0">
            <x v="6"/>
          </reference>
          <reference field="8" count="1" selected="0">
            <x v="30"/>
          </reference>
          <reference field="15" count="2">
            <x v="267"/>
            <x v="268"/>
          </reference>
        </references>
      </pivotArea>
    </format>
    <format dxfId="6997">
      <pivotArea dataOnly="0" labelOnly="1" fieldPosition="0">
        <references count="5">
          <reference field="4" count="1" selected="0">
            <x v="9"/>
          </reference>
          <reference field="6" count="1" selected="0">
            <x v="1"/>
          </reference>
          <reference field="7" count="1" selected="0">
            <x v="25"/>
          </reference>
          <reference field="8" count="1" selected="0">
            <x v="115"/>
          </reference>
          <reference field="15" count="13">
            <x v="35"/>
            <x v="36"/>
            <x v="63"/>
            <x v="72"/>
            <x v="77"/>
            <x v="238"/>
            <x v="241"/>
            <x v="242"/>
            <x v="243"/>
            <x v="247"/>
            <x v="248"/>
            <x v="260"/>
            <x v="262"/>
          </reference>
        </references>
      </pivotArea>
    </format>
    <format dxfId="6996">
      <pivotArea dataOnly="0" labelOnly="1" fieldPosition="0">
        <references count="5">
          <reference field="4" count="1" selected="0">
            <x v="9"/>
          </reference>
          <reference field="6" count="1" selected="0">
            <x v="1"/>
          </reference>
          <reference field="7" count="1" selected="0">
            <x v="25"/>
          </reference>
          <reference field="8" count="1" selected="0">
            <x v="116"/>
          </reference>
          <reference field="15" count="1">
            <x v="61"/>
          </reference>
        </references>
      </pivotArea>
    </format>
    <format dxfId="6995">
      <pivotArea dataOnly="0" labelOnly="1" fieldPosition="0">
        <references count="5">
          <reference field="4" count="1" selected="0">
            <x v="9"/>
          </reference>
          <reference field="6" count="1" selected="0">
            <x v="1"/>
          </reference>
          <reference field="7" count="1" selected="0">
            <x v="25"/>
          </reference>
          <reference field="8" count="1" selected="0">
            <x v="117"/>
          </reference>
          <reference field="15" count="2">
            <x v="92"/>
            <x v="249"/>
          </reference>
        </references>
      </pivotArea>
    </format>
    <format dxfId="6994">
      <pivotArea dataOnly="0" labelOnly="1" fieldPosition="0">
        <references count="5">
          <reference field="4" count="1" selected="0">
            <x v="9"/>
          </reference>
          <reference field="6" count="1" selected="0">
            <x v="1"/>
          </reference>
          <reference field="7" count="1" selected="0">
            <x v="25"/>
          </reference>
          <reference field="8" count="1" selected="0">
            <x v="118"/>
          </reference>
          <reference field="15" count="3">
            <x v="71"/>
            <x v="87"/>
            <x v="91"/>
          </reference>
        </references>
      </pivotArea>
    </format>
    <format dxfId="6993">
      <pivotArea dataOnly="0" labelOnly="1" fieldPosition="0">
        <references count="5">
          <reference field="4" count="1" selected="0">
            <x v="9"/>
          </reference>
          <reference field="6" count="1" selected="0">
            <x v="1"/>
          </reference>
          <reference field="7" count="1" selected="0">
            <x v="25"/>
          </reference>
          <reference field="8" count="1" selected="0">
            <x v="119"/>
          </reference>
          <reference field="15" count="4">
            <x v="62"/>
            <x v="68"/>
            <x v="69"/>
            <x v="70"/>
          </reference>
        </references>
      </pivotArea>
    </format>
    <format dxfId="6992">
      <pivotArea dataOnly="0" labelOnly="1" fieldPosition="0">
        <references count="5">
          <reference field="4" count="1" selected="0">
            <x v="9"/>
          </reference>
          <reference field="6" count="1" selected="0">
            <x v="1"/>
          </reference>
          <reference field="7" count="1" selected="0">
            <x v="25"/>
          </reference>
          <reference field="8" count="1" selected="0">
            <x v="120"/>
          </reference>
          <reference field="15" count="1">
            <x v="85"/>
          </reference>
        </references>
      </pivotArea>
    </format>
    <format dxfId="6991">
      <pivotArea dataOnly="0" labelOnly="1" fieldPosition="0">
        <references count="5">
          <reference field="4" count="1" selected="0">
            <x v="9"/>
          </reference>
          <reference field="6" count="1" selected="0">
            <x v="1"/>
          </reference>
          <reference field="7" count="1" selected="0">
            <x v="25"/>
          </reference>
          <reference field="8" count="1" selected="0">
            <x v="121"/>
          </reference>
          <reference field="15" count="2">
            <x v="41"/>
            <x v="78"/>
          </reference>
        </references>
      </pivotArea>
    </format>
    <format dxfId="6990">
      <pivotArea dataOnly="0" labelOnly="1" fieldPosition="0">
        <references count="5">
          <reference field="4" count="1" selected="0">
            <x v="9"/>
          </reference>
          <reference field="6" count="1" selected="0">
            <x v="1"/>
          </reference>
          <reference field="7" count="1" selected="0">
            <x v="25"/>
          </reference>
          <reference field="8" count="1" selected="0">
            <x v="122"/>
          </reference>
          <reference field="15" count="2">
            <x v="38"/>
            <x v="39"/>
          </reference>
        </references>
      </pivotArea>
    </format>
    <format dxfId="6989">
      <pivotArea dataOnly="0" labelOnly="1" fieldPosition="0">
        <references count="5">
          <reference field="4" count="1" selected="0">
            <x v="9"/>
          </reference>
          <reference field="6" count="1" selected="0">
            <x v="1"/>
          </reference>
          <reference field="7" count="1" selected="0">
            <x v="25"/>
          </reference>
          <reference field="8" count="1" selected="0">
            <x v="123"/>
          </reference>
          <reference field="15" count="7">
            <x v="32"/>
            <x v="33"/>
            <x v="60"/>
            <x v="82"/>
            <x v="83"/>
            <x v="89"/>
            <x v="90"/>
          </reference>
        </references>
      </pivotArea>
    </format>
    <format dxfId="6988">
      <pivotArea dataOnly="0" labelOnly="1" fieldPosition="0">
        <references count="5">
          <reference field="4" count="1" selected="0">
            <x v="9"/>
          </reference>
          <reference field="6" count="1" selected="0">
            <x v="1"/>
          </reference>
          <reference field="7" count="1" selected="0">
            <x v="25"/>
          </reference>
          <reference field="8" count="1" selected="0">
            <x v="124"/>
          </reference>
          <reference field="15" count="1">
            <x v="261"/>
          </reference>
        </references>
      </pivotArea>
    </format>
    <format dxfId="6987">
      <pivotArea dataOnly="0" labelOnly="1" fieldPosition="0">
        <references count="5">
          <reference field="4" count="1" selected="0">
            <x v="10"/>
          </reference>
          <reference field="6" count="1" selected="0">
            <x v="3"/>
          </reference>
          <reference field="7" count="1" selected="0">
            <x v="6"/>
          </reference>
          <reference field="8" count="1" selected="0">
            <x v="29"/>
          </reference>
          <reference field="15" count="21">
            <x v="2"/>
            <x v="3"/>
            <x v="5"/>
            <x v="152"/>
            <x v="153"/>
            <x v="154"/>
            <x v="155"/>
            <x v="156"/>
            <x v="157"/>
            <x v="158"/>
            <x v="159"/>
            <x v="160"/>
            <x v="161"/>
            <x v="162"/>
            <x v="163"/>
            <x v="189"/>
            <x v="190"/>
            <x v="191"/>
            <x v="192"/>
            <x v="193"/>
            <x v="395"/>
          </reference>
        </references>
      </pivotArea>
    </format>
    <format dxfId="6986">
      <pivotArea dataOnly="0" labelOnly="1" fieldPosition="0">
        <references count="5">
          <reference field="4" count="1" selected="0">
            <x v="11"/>
          </reference>
          <reference field="6" count="1" selected="0">
            <x v="0"/>
          </reference>
          <reference field="7" count="1" selected="0">
            <x v="17"/>
          </reference>
          <reference field="8" count="1" selected="0">
            <x v="70"/>
          </reference>
          <reference field="15" count="4">
            <x v="345"/>
            <x v="346"/>
            <x v="347"/>
            <x v="351"/>
          </reference>
        </references>
      </pivotArea>
    </format>
    <format dxfId="6985">
      <pivotArea dataOnly="0" labelOnly="1" fieldPosition="0">
        <references count="5">
          <reference field="4" count="1" selected="0">
            <x v="11"/>
          </reference>
          <reference field="6" count="1" selected="0">
            <x v="0"/>
          </reference>
          <reference field="7" count="1" selected="0">
            <x v="17"/>
          </reference>
          <reference field="8" count="1" selected="0">
            <x v="71"/>
          </reference>
          <reference field="15" count="3">
            <x v="348"/>
            <x v="352"/>
            <x v="353"/>
          </reference>
        </references>
      </pivotArea>
    </format>
    <format dxfId="6984">
      <pivotArea dataOnly="0" labelOnly="1" fieldPosition="0">
        <references count="5">
          <reference field="4" count="1" selected="0">
            <x v="11"/>
          </reference>
          <reference field="6" count="1" selected="0">
            <x v="0"/>
          </reference>
          <reference field="7" count="1" selected="0">
            <x v="17"/>
          </reference>
          <reference field="8" count="1" selected="0">
            <x v="72"/>
          </reference>
          <reference field="15" count="3">
            <x v="143"/>
            <x v="349"/>
            <x v="350"/>
          </reference>
        </references>
      </pivotArea>
    </format>
    <format dxfId="6983">
      <pivotArea dataOnly="0" labelOnly="1" fieldPosition="0">
        <references count="5">
          <reference field="4" count="1" selected="0">
            <x v="12"/>
          </reference>
          <reference field="6" count="1" selected="0">
            <x v="0"/>
          </reference>
          <reference field="7" count="1" selected="0">
            <x v="18"/>
          </reference>
          <reference field="8" count="1" selected="0">
            <x v="74"/>
          </reference>
          <reference field="15" count="2">
            <x v="113"/>
            <x v="114"/>
          </reference>
        </references>
      </pivotArea>
    </format>
    <format dxfId="6982">
      <pivotArea dataOnly="0" labelOnly="1" fieldPosition="0">
        <references count="5">
          <reference field="4" count="1" selected="0">
            <x v="12"/>
          </reference>
          <reference field="6" count="1" selected="0">
            <x v="0"/>
          </reference>
          <reference field="7" count="1" selected="0">
            <x v="18"/>
          </reference>
          <reference field="8" count="1" selected="0">
            <x v="75"/>
          </reference>
          <reference field="15" count="1">
            <x v="116"/>
          </reference>
        </references>
      </pivotArea>
    </format>
    <format dxfId="6981">
      <pivotArea dataOnly="0" labelOnly="1" fieldPosition="0">
        <references count="5">
          <reference field="4" count="1" selected="0">
            <x v="12"/>
          </reference>
          <reference field="6" count="1" selected="0">
            <x v="0"/>
          </reference>
          <reference field="7" count="1" selected="0">
            <x v="18"/>
          </reference>
          <reference field="8" count="1" selected="0">
            <x v="76"/>
          </reference>
          <reference field="15" count="1">
            <x v="244"/>
          </reference>
        </references>
      </pivotArea>
    </format>
    <format dxfId="6980">
      <pivotArea dataOnly="0" labelOnly="1" fieldPosition="0">
        <references count="5">
          <reference field="4" count="1" selected="0">
            <x v="13"/>
          </reference>
          <reference field="6" count="1" selected="0">
            <x v="3"/>
          </reference>
          <reference field="7" count="1" selected="0">
            <x v="1"/>
          </reference>
          <reference field="8" count="1" selected="0">
            <x v="6"/>
          </reference>
          <reference field="15" count="1">
            <x v="340"/>
          </reference>
        </references>
      </pivotArea>
    </format>
    <format dxfId="6979">
      <pivotArea dataOnly="0" labelOnly="1" fieldPosition="0">
        <references count="5">
          <reference field="4" count="1" selected="0">
            <x v="13"/>
          </reference>
          <reference field="6" count="1" selected="0">
            <x v="3"/>
          </reference>
          <reference field="7" count="1" selected="0">
            <x v="5"/>
          </reference>
          <reference field="8" count="1" selected="0">
            <x v="22"/>
          </reference>
          <reference field="15" count="1">
            <x v="333"/>
          </reference>
        </references>
      </pivotArea>
    </format>
    <format dxfId="6978">
      <pivotArea dataOnly="0" labelOnly="1" fieldPosition="0">
        <references count="5">
          <reference field="4" count="1" selected="0">
            <x v="13"/>
          </reference>
          <reference field="6" count="1" selected="0">
            <x v="3"/>
          </reference>
          <reference field="7" count="1" selected="0">
            <x v="5"/>
          </reference>
          <reference field="8" count="1" selected="0">
            <x v="23"/>
          </reference>
          <reference field="15" count="1">
            <x v="332"/>
          </reference>
        </references>
      </pivotArea>
    </format>
    <format dxfId="6977">
      <pivotArea dataOnly="0" labelOnly="1" fieldPosition="0">
        <references count="5">
          <reference field="4" count="1" selected="0">
            <x v="13"/>
          </reference>
          <reference field="6" count="1" selected="0">
            <x v="3"/>
          </reference>
          <reference field="7" count="1" selected="0">
            <x v="5"/>
          </reference>
          <reference field="8" count="1" selected="0">
            <x v="24"/>
          </reference>
          <reference field="15" count="1">
            <x v="339"/>
          </reference>
        </references>
      </pivotArea>
    </format>
    <format dxfId="6976">
      <pivotArea dataOnly="0" labelOnly="1" fieldPosition="0">
        <references count="5">
          <reference field="4" count="1" selected="0">
            <x v="13"/>
          </reference>
          <reference field="6" count="1" selected="0">
            <x v="3"/>
          </reference>
          <reference field="7" count="1" selected="0">
            <x v="5"/>
          </reference>
          <reference field="8" count="1" selected="0">
            <x v="25"/>
          </reference>
          <reference field="15" count="1">
            <x v="342"/>
          </reference>
        </references>
      </pivotArea>
    </format>
    <format dxfId="6975">
      <pivotArea dataOnly="0" labelOnly="1" fieldPosition="0">
        <references count="5">
          <reference field="4" count="1" selected="0">
            <x v="13"/>
          </reference>
          <reference field="6" count="1" selected="0">
            <x v="3"/>
          </reference>
          <reference field="7" count="1" selected="0">
            <x v="5"/>
          </reference>
          <reference field="8" count="1" selected="0">
            <x v="26"/>
          </reference>
          <reference field="15" count="1">
            <x v="338"/>
          </reference>
        </references>
      </pivotArea>
    </format>
    <format dxfId="6974">
      <pivotArea dataOnly="0" labelOnly="1" fieldPosition="0">
        <references count="5">
          <reference field="4" count="1" selected="0">
            <x v="13"/>
          </reference>
          <reference field="6" count="1" selected="0">
            <x v="3"/>
          </reference>
          <reference field="7" count="1" selected="0">
            <x v="5"/>
          </reference>
          <reference field="8" count="1" selected="0">
            <x v="27"/>
          </reference>
          <reference field="15" count="1">
            <x v="341"/>
          </reference>
        </references>
      </pivotArea>
    </format>
    <format dxfId="6973">
      <pivotArea dataOnly="0" labelOnly="1" fieldPosition="0">
        <references count="5">
          <reference field="4" count="1" selected="0">
            <x v="14"/>
          </reference>
          <reference field="6" count="1" selected="0">
            <x v="1"/>
          </reference>
          <reference field="7" count="1" selected="0">
            <x v="26"/>
          </reference>
          <reference field="8" count="1" selected="0">
            <x v="125"/>
          </reference>
          <reference field="15" count="4">
            <x v="26"/>
            <x v="27"/>
            <x v="28"/>
            <x v="99"/>
          </reference>
        </references>
      </pivotArea>
    </format>
    <format dxfId="6972">
      <pivotArea dataOnly="0" labelOnly="1" fieldPosition="0">
        <references count="5">
          <reference field="4" count="1" selected="0">
            <x v="14"/>
          </reference>
          <reference field="6" count="1" selected="0">
            <x v="1"/>
          </reference>
          <reference field="7" count="1" selected="0">
            <x v="26"/>
          </reference>
          <reference field="8" count="1" selected="0">
            <x v="126"/>
          </reference>
          <reference field="15" count="1">
            <x v="19"/>
          </reference>
        </references>
      </pivotArea>
    </format>
    <format dxfId="6971">
      <pivotArea dataOnly="0" labelOnly="1" fieldPosition="0">
        <references count="5">
          <reference field="4" count="1" selected="0">
            <x v="14"/>
          </reference>
          <reference field="6" count="1" selected="0">
            <x v="1"/>
          </reference>
          <reference field="7" count="1" selected="0">
            <x v="26"/>
          </reference>
          <reference field="8" count="1" selected="0">
            <x v="127"/>
          </reference>
          <reference field="15" count="2">
            <x v="150"/>
            <x v="151"/>
          </reference>
        </references>
      </pivotArea>
    </format>
    <format dxfId="6970">
      <pivotArea dataOnly="0" labelOnly="1" fieldPosition="0">
        <references count="5">
          <reference field="4" count="1" selected="0">
            <x v="14"/>
          </reference>
          <reference field="6" count="1" selected="0">
            <x v="1"/>
          </reference>
          <reference field="7" count="1" selected="0">
            <x v="26"/>
          </reference>
          <reference field="8" count="1" selected="0">
            <x v="128"/>
          </reference>
          <reference field="15" count="2">
            <x v="29"/>
            <x v="30"/>
          </reference>
        </references>
      </pivotArea>
    </format>
    <format dxfId="6969">
      <pivotArea dataOnly="0" labelOnly="1" fieldPosition="0">
        <references count="5">
          <reference field="4" count="1" selected="0">
            <x v="14"/>
          </reference>
          <reference field="6" count="1" selected="0">
            <x v="1"/>
          </reference>
          <reference field="7" count="1" selected="0">
            <x v="26"/>
          </reference>
          <reference field="8" count="1" selected="0">
            <x v="129"/>
          </reference>
          <reference field="15" count="2">
            <x v="330"/>
            <x v="331"/>
          </reference>
        </references>
      </pivotArea>
    </format>
    <format dxfId="6968">
      <pivotArea dataOnly="0" labelOnly="1" fieldPosition="0">
        <references count="5">
          <reference field="4" count="1" selected="0">
            <x v="14"/>
          </reference>
          <reference field="6" count="1" selected="0">
            <x v="1"/>
          </reference>
          <reference field="7" count="1" selected="0">
            <x v="26"/>
          </reference>
          <reference field="8" count="1" selected="0">
            <x v="130"/>
          </reference>
          <reference field="15" count="2">
            <x v="367"/>
            <x v="368"/>
          </reference>
        </references>
      </pivotArea>
    </format>
    <format dxfId="6967">
      <pivotArea dataOnly="0" labelOnly="1" fieldPosition="0">
        <references count="5">
          <reference field="4" count="1" selected="0">
            <x v="14"/>
          </reference>
          <reference field="6" count="1" selected="0">
            <x v="1"/>
          </reference>
          <reference field="7" count="1" selected="0">
            <x v="26"/>
          </reference>
          <reference field="8" count="1" selected="0">
            <x v="131"/>
          </reference>
          <reference field="15" count="3">
            <x v="14"/>
            <x v="15"/>
            <x v="16"/>
          </reference>
        </references>
      </pivotArea>
    </format>
    <format dxfId="6966">
      <pivotArea dataOnly="0" labelOnly="1" fieldPosition="0">
        <references count="5">
          <reference field="4" count="1" selected="0">
            <x v="15"/>
          </reference>
          <reference field="6" count="1" selected="0">
            <x v="0"/>
          </reference>
          <reference field="7" count="1" selected="0">
            <x v="20"/>
          </reference>
          <reference field="8" count="1" selected="0">
            <x v="82"/>
          </reference>
          <reference field="15" count="2">
            <x v="73"/>
            <x v="74"/>
          </reference>
        </references>
      </pivotArea>
    </format>
    <format dxfId="6965">
      <pivotArea dataOnly="0" labelOnly="1" fieldPosition="0">
        <references count="5">
          <reference field="4" count="1" selected="0">
            <x v="15"/>
          </reference>
          <reference field="6" count="1" selected="0">
            <x v="0"/>
          </reference>
          <reference field="7" count="1" selected="0">
            <x v="20"/>
          </reference>
          <reference field="8" count="1" selected="0">
            <x v="83"/>
          </reference>
          <reference field="15" count="1">
            <x v="75"/>
          </reference>
        </references>
      </pivotArea>
    </format>
    <format dxfId="6964">
      <pivotArea dataOnly="0" labelOnly="1" fieldPosition="0">
        <references count="5">
          <reference field="4" count="1" selected="0">
            <x v="15"/>
          </reference>
          <reference field="6" count="1" selected="0">
            <x v="0"/>
          </reference>
          <reference field="7" count="1" selected="0">
            <x v="20"/>
          </reference>
          <reference field="8" count="1" selected="0">
            <x v="84"/>
          </reference>
          <reference field="15" count="1">
            <x v="76"/>
          </reference>
        </references>
      </pivotArea>
    </format>
    <format dxfId="6963">
      <pivotArea dataOnly="0" labelOnly="1" fieldPosition="0">
        <references count="5">
          <reference field="4" count="1" selected="0">
            <x v="15"/>
          </reference>
          <reference field="6" count="1" selected="0">
            <x v="0"/>
          </reference>
          <reference field="7" count="1" selected="0">
            <x v="20"/>
          </reference>
          <reference field="8" count="1" selected="0">
            <x v="85"/>
          </reference>
          <reference field="15" count="1">
            <x v="259"/>
          </reference>
        </references>
      </pivotArea>
    </format>
    <format dxfId="6962">
      <pivotArea dataOnly="0" labelOnly="1" fieldPosition="0">
        <references count="5">
          <reference field="4" count="1" selected="0">
            <x v="15"/>
          </reference>
          <reference field="6" count="1" selected="0">
            <x v="0"/>
          </reference>
          <reference field="7" count="1" selected="0">
            <x v="20"/>
          </reference>
          <reference field="8" count="1" selected="0">
            <x v="86"/>
          </reference>
          <reference field="15" count="3">
            <x v="132"/>
            <x v="133"/>
            <x v="134"/>
          </reference>
        </references>
      </pivotArea>
    </format>
    <format dxfId="6961">
      <pivotArea dataOnly="0" labelOnly="1" fieldPosition="0">
        <references count="5">
          <reference field="4" count="1" selected="0">
            <x v="16"/>
          </reference>
          <reference field="6" count="1" selected="0">
            <x v="1"/>
          </reference>
          <reference field="7" count="1" selected="0">
            <x v="27"/>
          </reference>
          <reference field="8" count="1" selected="0">
            <x v="132"/>
          </reference>
          <reference field="15" count="1">
            <x v="20"/>
          </reference>
        </references>
      </pivotArea>
    </format>
    <format dxfId="6960">
      <pivotArea dataOnly="0" labelOnly="1" fieldPosition="0">
        <references count="5">
          <reference field="4" count="1" selected="0">
            <x v="16"/>
          </reference>
          <reference field="6" count="1" selected="0">
            <x v="1"/>
          </reference>
          <reference field="7" count="1" selected="0">
            <x v="27"/>
          </reference>
          <reference field="8" count="1" selected="0">
            <x v="133"/>
          </reference>
          <reference field="15" count="3">
            <x v="21"/>
            <x v="22"/>
            <x v="23"/>
          </reference>
        </references>
      </pivotArea>
    </format>
    <format dxfId="6959">
      <pivotArea dataOnly="0" labelOnly="1" fieldPosition="0">
        <references count="5">
          <reference field="4" count="1" selected="0">
            <x v="16"/>
          </reference>
          <reference field="6" count="1" selected="0">
            <x v="1"/>
          </reference>
          <reference field="7" count="1" selected="0">
            <x v="27"/>
          </reference>
          <reference field="8" count="1" selected="0">
            <x v="134"/>
          </reference>
          <reference field="15" count="2">
            <x v="149"/>
            <x v="354"/>
          </reference>
        </references>
      </pivotArea>
    </format>
    <format dxfId="6958">
      <pivotArea dataOnly="0" labelOnly="1" fieldPosition="0">
        <references count="5">
          <reference field="4" count="1" selected="0">
            <x v="16"/>
          </reference>
          <reference field="6" count="1" selected="0">
            <x v="1"/>
          </reference>
          <reference field="7" count="1" selected="0">
            <x v="27"/>
          </reference>
          <reference field="8" count="1" selected="0">
            <x v="135"/>
          </reference>
          <reference field="15" count="2">
            <x v="109"/>
            <x v="363"/>
          </reference>
        </references>
      </pivotArea>
    </format>
    <format dxfId="6957">
      <pivotArea dataOnly="0" labelOnly="1" fieldPosition="0">
        <references count="5">
          <reference field="4" count="1" selected="0">
            <x v="16"/>
          </reference>
          <reference field="6" count="1" selected="0">
            <x v="1"/>
          </reference>
          <reference field="7" count="1" selected="0">
            <x v="27"/>
          </reference>
          <reference field="8" count="1" selected="0">
            <x v="136"/>
          </reference>
          <reference field="15" count="2">
            <x v="81"/>
            <x v="148"/>
          </reference>
        </references>
      </pivotArea>
    </format>
    <format dxfId="6956">
      <pivotArea dataOnly="0" labelOnly="1" fieldPosition="0">
        <references count="5">
          <reference field="4" count="1" selected="0">
            <x v="16"/>
          </reference>
          <reference field="6" count="1" selected="0">
            <x v="1"/>
          </reference>
          <reference field="7" count="1" selected="0">
            <x v="27"/>
          </reference>
          <reference field="8" count="1" selected="0">
            <x v="137"/>
          </reference>
          <reference field="15" count="2">
            <x v="111"/>
            <x v="112"/>
          </reference>
        </references>
      </pivotArea>
    </format>
    <format dxfId="6955">
      <pivotArea dataOnly="0" labelOnly="1" fieldPosition="0">
        <references count="5">
          <reference field="4" count="1" selected="0">
            <x v="16"/>
          </reference>
          <reference field="6" count="1" selected="0">
            <x v="3"/>
          </reference>
          <reference field="7" count="1" selected="0">
            <x v="1"/>
          </reference>
          <reference field="8" count="1" selected="0">
            <x v="6"/>
          </reference>
          <reference field="15" count="1">
            <x v="362"/>
          </reference>
        </references>
      </pivotArea>
    </format>
    <format dxfId="6954">
      <pivotArea dataOnly="0" labelOnly="1" fieldPosition="0">
        <references count="5">
          <reference field="4" count="1" selected="0">
            <x v="16"/>
          </reference>
          <reference field="6" count="1" selected="0">
            <x v="4"/>
          </reference>
          <reference field="7" count="1" selected="0">
            <x v="8"/>
          </reference>
          <reference field="8" count="1" selected="0">
            <x v="38"/>
          </reference>
          <reference field="15" count="1">
            <x v="229"/>
          </reference>
        </references>
      </pivotArea>
    </format>
    <format dxfId="6953">
      <pivotArea dataOnly="0" labelOnly="1" fieldPosition="0">
        <references count="5">
          <reference field="4" count="1" selected="0">
            <x v="16"/>
          </reference>
          <reference field="6" count="1" selected="0">
            <x v="4"/>
          </reference>
          <reference field="7" count="1" selected="0">
            <x v="11"/>
          </reference>
          <reference field="8" count="1" selected="0">
            <x v="48"/>
          </reference>
          <reference field="15" count="1">
            <x v="200"/>
          </reference>
        </references>
      </pivotArea>
    </format>
    <format dxfId="6952">
      <pivotArea dataOnly="0" labelOnly="1" fieldPosition="0">
        <references count="5">
          <reference field="4" count="1" selected="0">
            <x v="17"/>
          </reference>
          <reference field="6" count="1" selected="0">
            <x v="0"/>
          </reference>
          <reference field="7" count="1" selected="0">
            <x v="16"/>
          </reference>
          <reference field="8" count="1" selected="0">
            <x v="57"/>
          </reference>
          <reference field="15" count="5">
            <x v="110"/>
            <x v="284"/>
            <x v="285"/>
            <x v="294"/>
            <x v="295"/>
          </reference>
        </references>
      </pivotArea>
    </format>
    <format dxfId="6951">
      <pivotArea dataOnly="0" labelOnly="1" fieldPosition="0">
        <references count="5">
          <reference field="4" count="1" selected="0">
            <x v="17"/>
          </reference>
          <reference field="6" count="1" selected="0">
            <x v="0"/>
          </reference>
          <reference field="7" count="1" selected="0">
            <x v="16"/>
          </reference>
          <reference field="8" count="1" selected="0">
            <x v="58"/>
          </reference>
          <reference field="15" count="2">
            <x v="299"/>
            <x v="300"/>
          </reference>
        </references>
      </pivotArea>
    </format>
    <format dxfId="6950">
      <pivotArea dataOnly="0" labelOnly="1" fieldPosition="0">
        <references count="5">
          <reference field="4" count="1" selected="0">
            <x v="17"/>
          </reference>
          <reference field="6" count="1" selected="0">
            <x v="0"/>
          </reference>
          <reference field="7" count="1" selected="0">
            <x v="16"/>
          </reference>
          <reference field="8" count="1" selected="0">
            <x v="59"/>
          </reference>
          <reference field="15" count="2">
            <x v="94"/>
            <x v="95"/>
          </reference>
        </references>
      </pivotArea>
    </format>
    <format dxfId="6949">
      <pivotArea dataOnly="0" labelOnly="1" fieldPosition="0">
        <references count="5">
          <reference field="4" count="1" selected="0">
            <x v="17"/>
          </reference>
          <reference field="6" count="1" selected="0">
            <x v="0"/>
          </reference>
          <reference field="7" count="1" selected="0">
            <x v="16"/>
          </reference>
          <reference field="8" count="1" selected="0">
            <x v="60"/>
          </reference>
          <reference field="15" count="5">
            <x v="102"/>
            <x v="103"/>
            <x v="104"/>
            <x v="322"/>
            <x v="323"/>
          </reference>
        </references>
      </pivotArea>
    </format>
    <format dxfId="6948">
      <pivotArea dataOnly="0" labelOnly="1" fieldPosition="0">
        <references count="5">
          <reference field="4" count="1" selected="0">
            <x v="17"/>
          </reference>
          <reference field="6" count="1" selected="0">
            <x v="0"/>
          </reference>
          <reference field="7" count="1" selected="0">
            <x v="16"/>
          </reference>
          <reference field="8" count="1" selected="0">
            <x v="61"/>
          </reference>
          <reference field="15" count="2">
            <x v="296"/>
            <x v="297"/>
          </reference>
        </references>
      </pivotArea>
    </format>
    <format dxfId="6947">
      <pivotArea dataOnly="0" labelOnly="1" fieldPosition="0">
        <references count="5">
          <reference field="4" count="1" selected="0">
            <x v="17"/>
          </reference>
          <reference field="6" count="1" selected="0">
            <x v="0"/>
          </reference>
          <reference field="7" count="1" selected="0">
            <x v="16"/>
          </reference>
          <reference field="8" count="1" selected="0">
            <x v="62"/>
          </reference>
          <reference field="15" count="1">
            <x v="93"/>
          </reference>
        </references>
      </pivotArea>
    </format>
    <format dxfId="6946">
      <pivotArea dataOnly="0" labelOnly="1" fieldPosition="0">
        <references count="5">
          <reference field="4" count="1" selected="0">
            <x v="17"/>
          </reference>
          <reference field="6" count="1" selected="0">
            <x v="0"/>
          </reference>
          <reference field="7" count="1" selected="0">
            <x v="16"/>
          </reference>
          <reference field="8" count="1" selected="0">
            <x v="63"/>
          </reference>
          <reference field="15" count="2">
            <x v="315"/>
            <x v="316"/>
          </reference>
        </references>
      </pivotArea>
    </format>
    <format dxfId="6945">
      <pivotArea dataOnly="0" labelOnly="1" fieldPosition="0">
        <references count="5">
          <reference field="4" count="1" selected="0">
            <x v="17"/>
          </reference>
          <reference field="6" count="1" selected="0">
            <x v="0"/>
          </reference>
          <reference field="7" count="1" selected="0">
            <x v="22"/>
          </reference>
          <reference field="8" count="1" selected="0">
            <x v="94"/>
          </reference>
          <reference field="15" count="2">
            <x v="105"/>
            <x v="106"/>
          </reference>
        </references>
      </pivotArea>
    </format>
    <format dxfId="6944">
      <pivotArea dataOnly="0" labelOnly="1" fieldPosition="0">
        <references count="5">
          <reference field="4" count="1" selected="0">
            <x v="18"/>
          </reference>
          <reference field="6" count="1" selected="0">
            <x v="3"/>
          </reference>
          <reference field="7" count="1" selected="0">
            <x v="2"/>
          </reference>
          <reference field="8" count="1" selected="0">
            <x v="8"/>
          </reference>
          <reference field="15" count="2">
            <x v="375"/>
            <x v="376"/>
          </reference>
        </references>
      </pivotArea>
    </format>
    <format dxfId="6943">
      <pivotArea dataOnly="0" labelOnly="1" fieldPosition="0">
        <references count="5">
          <reference field="4" count="1" selected="0">
            <x v="18"/>
          </reference>
          <reference field="6" count="1" selected="0">
            <x v="3"/>
          </reference>
          <reference field="7" count="1" selected="0">
            <x v="2"/>
          </reference>
          <reference field="8" count="1" selected="0">
            <x v="9"/>
          </reference>
          <reference field="15" count="1">
            <x v="266"/>
          </reference>
        </references>
      </pivotArea>
    </format>
    <format dxfId="6942">
      <pivotArea dataOnly="0" labelOnly="1" fieldPosition="0">
        <references count="5">
          <reference field="4" count="1" selected="0">
            <x v="18"/>
          </reference>
          <reference field="6" count="1" selected="0">
            <x v="3"/>
          </reference>
          <reference field="7" count="1" selected="0">
            <x v="2"/>
          </reference>
          <reference field="8" count="1" selected="0">
            <x v="16"/>
          </reference>
          <reference field="15" count="2">
            <x v="271"/>
            <x v="272"/>
          </reference>
        </references>
      </pivotArea>
    </format>
    <format dxfId="6941">
      <pivotArea dataOnly="0" labelOnly="1" fieldPosition="0">
        <references count="5">
          <reference field="4" count="1" selected="0">
            <x v="18"/>
          </reference>
          <reference field="6" count="1" selected="0">
            <x v="3"/>
          </reference>
          <reference field="7" count="1" selected="0">
            <x v="2"/>
          </reference>
          <reference field="8" count="1" selected="0">
            <x v="17"/>
          </reference>
          <reference field="15" count="3">
            <x v="286"/>
            <x v="287"/>
            <x v="288"/>
          </reference>
        </references>
      </pivotArea>
    </format>
    <format dxfId="6940">
      <pivotArea dataOnly="0" labelOnly="1" fieldPosition="0">
        <references count="5">
          <reference field="4" count="1" selected="0">
            <x v="19"/>
          </reference>
          <reference field="6" count="1" selected="0">
            <x v="3"/>
          </reference>
          <reference field="7" count="1" selected="0">
            <x v="6"/>
          </reference>
          <reference field="8" count="1" selected="0">
            <x v="29"/>
          </reference>
          <reference field="15" count="24">
            <x v="4"/>
            <x v="168"/>
            <x v="169"/>
            <x v="170"/>
            <x v="171"/>
            <x v="172"/>
            <x v="173"/>
            <x v="174"/>
            <x v="183"/>
            <x v="184"/>
            <x v="185"/>
            <x v="186"/>
            <x v="187"/>
            <x v="188"/>
            <x v="194"/>
            <x v="195"/>
            <x v="196"/>
            <x v="197"/>
            <x v="198"/>
            <x v="199"/>
            <x v="203"/>
            <x v="204"/>
            <x v="223"/>
            <x v="258"/>
          </reference>
        </references>
      </pivotArea>
    </format>
    <format dxfId="6939">
      <pivotArea dataOnly="0" labelOnly="1" fieldPosition="0">
        <references count="5">
          <reference field="4" count="1" selected="0">
            <x v="20"/>
          </reference>
          <reference field="6" count="1" selected="0">
            <x v="1"/>
          </reference>
          <reference field="7" count="1" selected="0">
            <x v="24"/>
          </reference>
          <reference field="8" count="1" selected="0">
            <x v="106"/>
          </reference>
          <reference field="15" count="2">
            <x v="239"/>
            <x v="240"/>
          </reference>
        </references>
      </pivotArea>
    </format>
    <format dxfId="6938">
      <pivotArea dataOnly="0" labelOnly="1" outline="0" fieldPosition="0">
        <references count="1">
          <reference field="4294967294" count="2">
            <x v="7"/>
            <x v="8"/>
          </reference>
        </references>
      </pivotArea>
    </format>
    <format dxfId="6937">
      <pivotArea type="all" dataOnly="0" outline="0" fieldPosition="0"/>
    </format>
    <format dxfId="6936">
      <pivotArea outline="0" collapsedLevelsAreSubtotals="1" fieldPosition="0"/>
    </format>
    <format dxfId="6935">
      <pivotArea dataOnly="0" labelOnly="1" outline="0" fieldPosition="0">
        <references count="1">
          <reference field="4294967294" count="9">
            <x v="0"/>
            <x v="1"/>
            <x v="2"/>
            <x v="3"/>
            <x v="4"/>
            <x v="5"/>
            <x v="6"/>
            <x v="7"/>
            <x v="8"/>
          </reference>
        </references>
      </pivotArea>
    </format>
    <format dxfId="6934">
      <pivotArea outline="0" collapsedLevelsAreSubtotals="1" fieldPosition="0">
        <references count="1">
          <reference field="4294967294" count="2" selected="0">
            <x v="7"/>
            <x v="8"/>
          </reference>
        </references>
      </pivotArea>
    </format>
    <format dxfId="6933">
      <pivotArea dataOnly="0" labelOnly="1" outline="0" fieldPosition="0">
        <references count="1">
          <reference field="4294967294" count="2">
            <x v="7"/>
            <x v="8"/>
          </reference>
        </references>
      </pivotArea>
    </format>
    <format dxfId="6932">
      <pivotArea field="2" type="button" dataOnly="0" labelOnly="1" outline="0" axis="axisPage" fieldPosition="0"/>
    </format>
    <format dxfId="6931">
      <pivotArea field="4" type="button" dataOnly="0" labelOnly="1" outline="0" axis="axisRow" fieldPosition="0"/>
    </format>
    <format dxfId="6930">
      <pivotArea dataOnly="0" labelOnly="1" fieldPosition="0">
        <references count="1">
          <reference field="4" count="1">
            <x v="0"/>
          </reference>
        </references>
      </pivotArea>
    </format>
    <format dxfId="6929">
      <pivotArea dataOnly="0" labelOnly="1" grandRow="1" outline="0" fieldPosition="0"/>
    </format>
    <format dxfId="6928">
      <pivotArea dataOnly="0" labelOnly="1" fieldPosition="0">
        <references count="2">
          <reference field="4" count="1" selected="0">
            <x v="0"/>
          </reference>
          <reference field="6" count="2">
            <x v="0"/>
            <x v="1"/>
          </reference>
        </references>
      </pivotArea>
    </format>
    <format dxfId="6927">
      <pivotArea dataOnly="0" labelOnly="1" fieldPosition="0">
        <references count="3">
          <reference field="4" count="1" selected="0">
            <x v="0"/>
          </reference>
          <reference field="6" count="1" selected="0">
            <x v="0"/>
          </reference>
          <reference field="7" count="2">
            <x v="17"/>
            <x v="19"/>
          </reference>
        </references>
      </pivotArea>
    </format>
    <format dxfId="6926">
      <pivotArea dataOnly="0" labelOnly="1" fieldPosition="0">
        <references count="3">
          <reference field="4" count="1" selected="0">
            <x v="0"/>
          </reference>
          <reference field="6" count="1" selected="0">
            <x v="1"/>
          </reference>
          <reference field="7" count="2">
            <x v="23"/>
            <x v="26"/>
          </reference>
        </references>
      </pivotArea>
    </format>
    <format dxfId="6925">
      <pivotArea dataOnly="0" labelOnly="1" fieldPosition="0">
        <references count="4">
          <reference field="4" count="1" selected="0">
            <x v="0"/>
          </reference>
          <reference field="6" count="1" selected="0">
            <x v="0"/>
          </reference>
          <reference field="7" count="1" selected="0">
            <x v="17"/>
          </reference>
          <reference field="8" count="5">
            <x v="65"/>
            <x v="66"/>
            <x v="67"/>
            <x v="68"/>
            <x v="69"/>
          </reference>
        </references>
      </pivotArea>
    </format>
    <format dxfId="6924">
      <pivotArea dataOnly="0" labelOnly="1" fieldPosition="0">
        <references count="4">
          <reference field="4" count="1" selected="0">
            <x v="0"/>
          </reference>
          <reference field="6" count="1" selected="0">
            <x v="0"/>
          </reference>
          <reference field="7" count="1" selected="0">
            <x v="19"/>
          </reference>
          <reference field="8" count="3">
            <x v="78"/>
            <x v="79"/>
            <x v="80"/>
          </reference>
        </references>
      </pivotArea>
    </format>
    <format dxfId="6923">
      <pivotArea dataOnly="0" labelOnly="1" fieldPosition="0">
        <references count="4">
          <reference field="4" count="1" selected="0">
            <x v="0"/>
          </reference>
          <reference field="6" count="1" selected="0">
            <x v="1"/>
          </reference>
          <reference field="7" count="1" selected="0">
            <x v="23"/>
          </reference>
          <reference field="8" count="10">
            <x v="95"/>
            <x v="96"/>
            <x v="97"/>
            <x v="98"/>
            <x v="99"/>
            <x v="100"/>
            <x v="101"/>
            <x v="102"/>
            <x v="103"/>
            <x v="104"/>
          </reference>
        </references>
      </pivotArea>
    </format>
    <format dxfId="6922">
      <pivotArea dataOnly="0" labelOnly="1" fieldPosition="0">
        <references count="4">
          <reference field="4" count="1" selected="0">
            <x v="0"/>
          </reference>
          <reference field="6" count="1" selected="0">
            <x v="1"/>
          </reference>
          <reference field="7" count="1" selected="0">
            <x v="26"/>
          </reference>
          <reference field="8" count="1">
            <x v="131"/>
          </reference>
        </references>
      </pivotArea>
    </format>
    <format dxfId="6921">
      <pivotArea dataOnly="0" labelOnly="1" fieldPosition="0">
        <references count="5">
          <reference field="4" count="1" selected="0">
            <x v="0"/>
          </reference>
          <reference field="6" count="1" selected="0">
            <x v="0"/>
          </reference>
          <reference field="7" count="1" selected="0">
            <x v="17"/>
          </reference>
          <reference field="8" count="1" selected="0">
            <x v="65"/>
          </reference>
          <reference field="15" count="1">
            <x v="108"/>
          </reference>
        </references>
      </pivotArea>
    </format>
    <format dxfId="6920">
      <pivotArea dataOnly="0" labelOnly="1" fieldPosition="0">
        <references count="5">
          <reference field="4" count="1" selected="0">
            <x v="0"/>
          </reference>
          <reference field="6" count="1" selected="0">
            <x v="0"/>
          </reference>
          <reference field="7" count="1" selected="0">
            <x v="17"/>
          </reference>
          <reference field="8" count="1" selected="0">
            <x v="66"/>
          </reference>
          <reference field="15" count="2">
            <x v="365"/>
            <x v="366"/>
          </reference>
        </references>
      </pivotArea>
    </format>
    <format dxfId="6919">
      <pivotArea dataOnly="0" labelOnly="1" fieldPosition="0">
        <references count="5">
          <reference field="4" count="1" selected="0">
            <x v="0"/>
          </reference>
          <reference field="6" count="1" selected="0">
            <x v="0"/>
          </reference>
          <reference field="7" count="1" selected="0">
            <x v="17"/>
          </reference>
          <reference field="8" count="1" selected="0">
            <x v="67"/>
          </reference>
          <reference field="15" count="2">
            <x v="364"/>
            <x v="370"/>
          </reference>
        </references>
      </pivotArea>
    </format>
    <format dxfId="6918">
      <pivotArea dataOnly="0" labelOnly="1" fieldPosition="0">
        <references count="5">
          <reference field="4" count="1" selected="0">
            <x v="0"/>
          </reference>
          <reference field="6" count="1" selected="0">
            <x v="0"/>
          </reference>
          <reference field="7" count="1" selected="0">
            <x v="17"/>
          </reference>
          <reference field="8" count="1" selected="0">
            <x v="68"/>
          </reference>
          <reference field="15" count="1">
            <x v="79"/>
          </reference>
        </references>
      </pivotArea>
    </format>
    <format dxfId="6917">
      <pivotArea dataOnly="0" labelOnly="1" fieldPosition="0">
        <references count="5">
          <reference field="4" count="1" selected="0">
            <x v="0"/>
          </reference>
          <reference field="6" count="1" selected="0">
            <x v="0"/>
          </reference>
          <reference field="7" count="1" selected="0">
            <x v="17"/>
          </reference>
          <reference field="8" count="1" selected="0">
            <x v="69"/>
          </reference>
          <reference field="15" count="1">
            <x v="42"/>
          </reference>
        </references>
      </pivotArea>
    </format>
    <format dxfId="6916">
      <pivotArea dataOnly="0" labelOnly="1" fieldPosition="0">
        <references count="5">
          <reference field="4" count="1" selected="0">
            <x v="0"/>
          </reference>
          <reference field="6" count="1" selected="0">
            <x v="0"/>
          </reference>
          <reference field="7" count="1" selected="0">
            <x v="19"/>
          </reference>
          <reference field="8" count="1" selected="0">
            <x v="78"/>
          </reference>
          <reference field="15" count="1">
            <x v="236"/>
          </reference>
        </references>
      </pivotArea>
    </format>
    <format dxfId="6915">
      <pivotArea dataOnly="0" labelOnly="1" fieldPosition="0">
        <references count="5">
          <reference field="4" count="1" selected="0">
            <x v="0"/>
          </reference>
          <reference field="6" count="1" selected="0">
            <x v="0"/>
          </reference>
          <reference field="7" count="1" selected="0">
            <x v="19"/>
          </reference>
          <reference field="8" count="1" selected="0">
            <x v="79"/>
          </reference>
          <reference field="15" count="1">
            <x v="12"/>
          </reference>
        </references>
      </pivotArea>
    </format>
    <format dxfId="6914">
      <pivotArea dataOnly="0" labelOnly="1" fieldPosition="0">
        <references count="5">
          <reference field="4" count="1" selected="0">
            <x v="0"/>
          </reference>
          <reference field="6" count="1" selected="0">
            <x v="0"/>
          </reference>
          <reference field="7" count="1" selected="0">
            <x v="19"/>
          </reference>
          <reference field="8" count="1" selected="0">
            <x v="80"/>
          </reference>
          <reference field="15" count="2">
            <x v="10"/>
            <x v="11"/>
          </reference>
        </references>
      </pivotArea>
    </format>
    <format dxfId="6913">
      <pivotArea dataOnly="0" labelOnly="1" fieldPosition="0">
        <references count="5">
          <reference field="4" count="1" selected="0">
            <x v="0"/>
          </reference>
          <reference field="6" count="1" selected="0">
            <x v="1"/>
          </reference>
          <reference field="7" count="1" selected="0">
            <x v="23"/>
          </reference>
          <reference field="8" count="1" selected="0">
            <x v="95"/>
          </reference>
          <reference field="15" count="1">
            <x v="250"/>
          </reference>
        </references>
      </pivotArea>
    </format>
    <format dxfId="6912">
      <pivotArea dataOnly="0" labelOnly="1" fieldPosition="0">
        <references count="5">
          <reference field="4" count="1" selected="0">
            <x v="0"/>
          </reference>
          <reference field="6" count="1" selected="0">
            <x v="1"/>
          </reference>
          <reference field="7" count="1" selected="0">
            <x v="23"/>
          </reference>
          <reference field="8" count="1" selected="0">
            <x v="96"/>
          </reference>
          <reference field="15" count="2">
            <x v="251"/>
            <x v="358"/>
          </reference>
        </references>
      </pivotArea>
    </format>
    <format dxfId="6911">
      <pivotArea dataOnly="0" labelOnly="1" fieldPosition="0">
        <references count="5">
          <reference field="4" count="1" selected="0">
            <x v="0"/>
          </reference>
          <reference field="6" count="1" selected="0">
            <x v="1"/>
          </reference>
          <reference field="7" count="1" selected="0">
            <x v="23"/>
          </reference>
          <reference field="8" count="1" selected="0">
            <x v="97"/>
          </reference>
          <reference field="15" count="1">
            <x v="257"/>
          </reference>
        </references>
      </pivotArea>
    </format>
    <format dxfId="6910">
      <pivotArea dataOnly="0" labelOnly="1" fieldPosition="0">
        <references count="5">
          <reference field="4" count="1" selected="0">
            <x v="0"/>
          </reference>
          <reference field="6" count="1" selected="0">
            <x v="1"/>
          </reference>
          <reference field="7" count="1" selected="0">
            <x v="23"/>
          </reference>
          <reference field="8" count="1" selected="0">
            <x v="98"/>
          </reference>
          <reference field="15" count="1">
            <x v="43"/>
          </reference>
        </references>
      </pivotArea>
    </format>
    <format dxfId="6909">
      <pivotArea dataOnly="0" labelOnly="1" fieldPosition="0">
        <references count="5">
          <reference field="4" count="1" selected="0">
            <x v="0"/>
          </reference>
          <reference field="6" count="1" selected="0">
            <x v="1"/>
          </reference>
          <reference field="7" count="1" selected="0">
            <x v="23"/>
          </reference>
          <reference field="8" count="1" selected="0">
            <x v="99"/>
          </reference>
          <reference field="15" count="1">
            <x v="254"/>
          </reference>
        </references>
      </pivotArea>
    </format>
    <format dxfId="6908">
      <pivotArea dataOnly="0" labelOnly="1" fieldPosition="0">
        <references count="5">
          <reference field="4" count="1" selected="0">
            <x v="0"/>
          </reference>
          <reference field="6" count="1" selected="0">
            <x v="1"/>
          </reference>
          <reference field="7" count="1" selected="0">
            <x v="23"/>
          </reference>
          <reference field="8" count="1" selected="0">
            <x v="100"/>
          </reference>
          <reference field="15" count="1">
            <x v="253"/>
          </reference>
        </references>
      </pivotArea>
    </format>
    <format dxfId="6907">
      <pivotArea dataOnly="0" labelOnly="1" fieldPosition="0">
        <references count="5">
          <reference field="4" count="1" selected="0">
            <x v="0"/>
          </reference>
          <reference field="6" count="1" selected="0">
            <x v="1"/>
          </reference>
          <reference field="7" count="1" selected="0">
            <x v="23"/>
          </reference>
          <reference field="8" count="1" selected="0">
            <x v="101"/>
          </reference>
          <reference field="15" count="1">
            <x v="255"/>
          </reference>
        </references>
      </pivotArea>
    </format>
    <format dxfId="6906">
      <pivotArea dataOnly="0" labelOnly="1" fieldPosition="0">
        <references count="5">
          <reference field="4" count="1" selected="0">
            <x v="0"/>
          </reference>
          <reference field="6" count="1" selected="0">
            <x v="1"/>
          </reference>
          <reference field="7" count="1" selected="0">
            <x v="23"/>
          </reference>
          <reference field="8" count="1" selected="0">
            <x v="102"/>
          </reference>
          <reference field="15" count="1">
            <x v="40"/>
          </reference>
        </references>
      </pivotArea>
    </format>
    <format dxfId="6905">
      <pivotArea dataOnly="0" labelOnly="1" fieldPosition="0">
        <references count="5">
          <reference field="4" count="1" selected="0">
            <x v="0"/>
          </reference>
          <reference field="6" count="1" selected="0">
            <x v="1"/>
          </reference>
          <reference field="7" count="1" selected="0">
            <x v="23"/>
          </reference>
          <reference field="8" count="1" selected="0">
            <x v="103"/>
          </reference>
          <reference field="15" count="1">
            <x v="252"/>
          </reference>
        </references>
      </pivotArea>
    </format>
    <format dxfId="6904">
      <pivotArea dataOnly="0" labelOnly="1" fieldPosition="0">
        <references count="5">
          <reference field="4" count="1" selected="0">
            <x v="0"/>
          </reference>
          <reference field="6" count="1" selected="0">
            <x v="1"/>
          </reference>
          <reference field="7" count="1" selected="0">
            <x v="23"/>
          </reference>
          <reference field="8" count="1" selected="0">
            <x v="104"/>
          </reference>
          <reference field="15" count="1">
            <x v="256"/>
          </reference>
        </references>
      </pivotArea>
    </format>
    <format dxfId="6903">
      <pivotArea dataOnly="0" labelOnly="1" fieldPosition="0">
        <references count="5">
          <reference field="4" count="1" selected="0">
            <x v="0"/>
          </reference>
          <reference field="6" count="1" selected="0">
            <x v="1"/>
          </reference>
          <reference field="7" count="1" selected="0">
            <x v="26"/>
          </reference>
          <reference field="8" count="1" selected="0">
            <x v="131"/>
          </reference>
          <reference field="15" count="1">
            <x v="1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20" cacheId="2" applyNumberFormats="0" applyBorderFormats="0" applyFontFormats="0" applyPatternFormats="0" applyAlignmentFormats="0" applyWidthHeightFormats="1" dataCaption="Valores" grandTotalCaption="TOTAL " updatedVersion="8" minRefreshableVersion="3" useAutoFormatting="1" itemPrintTitles="1" createdVersion="8" indent="0" outline="1" outlineData="1" multipleFieldFilters="0" rowHeaderCaption="UNIDAD EJECUTORA">
  <location ref="A3:J51" firstHeaderRow="0" firstDataRow="1" firstDataCol="1" rowPageCount="1" colPageCount="1"/>
  <pivotFields count="33">
    <pivotField showAll="0"/>
    <pivotField showAll="0"/>
    <pivotField axis="axisPage" showAll="0">
      <items count="22">
        <item x="4"/>
        <item x="3"/>
        <item x="14"/>
        <item x="0"/>
        <item x="13"/>
        <item x="17"/>
        <item x="7"/>
        <item x="9"/>
        <item x="15"/>
        <item x="8"/>
        <item x="1"/>
        <item x="16"/>
        <item x="12"/>
        <item x="20"/>
        <item x="5"/>
        <item x="10"/>
        <item x="6"/>
        <item x="11"/>
        <item x="19"/>
        <item x="2"/>
        <item x="18"/>
        <item t="default"/>
      </items>
    </pivotField>
    <pivotField showAll="0"/>
    <pivotField axis="axisRow" showAll="0">
      <items count="22">
        <item x="4"/>
        <item x="3"/>
        <item x="14"/>
        <item x="0"/>
        <item x="13"/>
        <item x="17"/>
        <item x="7"/>
        <item x="9"/>
        <item x="15"/>
        <item x="8"/>
        <item x="1"/>
        <item x="16"/>
        <item x="12"/>
        <item x="20"/>
        <item x="5"/>
        <item x="10"/>
        <item x="6"/>
        <item x="11"/>
        <item x="19"/>
        <item x="2"/>
        <item x="18"/>
        <item t="default"/>
      </items>
    </pivotField>
    <pivotField numFmtId="1" showAll="0"/>
    <pivotField axis="axisRow" showAll="0">
      <items count="6">
        <item x="1"/>
        <item x="2"/>
        <item x="3"/>
        <item x="0"/>
        <item x="4"/>
        <item t="default"/>
      </items>
    </pivotField>
    <pivotField axis="axisRow" showAll="0">
      <items count="34">
        <item x="19"/>
        <item x="27"/>
        <item x="1"/>
        <item x="2"/>
        <item x="8"/>
        <item x="30"/>
        <item x="0"/>
        <item x="32"/>
        <item x="25"/>
        <item x="29"/>
        <item x="12"/>
        <item x="15"/>
        <item x="13"/>
        <item x="28"/>
        <item x="23"/>
        <item x="31"/>
        <item x="16"/>
        <item x="10"/>
        <item x="18"/>
        <item x="3"/>
        <item x="14"/>
        <item x="20"/>
        <item x="17"/>
        <item x="9"/>
        <item x="6"/>
        <item x="7"/>
        <item x="4"/>
        <item x="5"/>
        <item x="24"/>
        <item x="11"/>
        <item x="21"/>
        <item x="26"/>
        <item x="22"/>
        <item t="default"/>
      </items>
    </pivotField>
    <pivotField axis="axisRow" showAll="0">
      <items count="161">
        <item x="62"/>
        <item x="155"/>
        <item x="112"/>
        <item x="156"/>
        <item x="118"/>
        <item x="154"/>
        <item x="140"/>
        <item x="60"/>
        <item x="153"/>
        <item x="102"/>
        <item x="7"/>
        <item x="2"/>
        <item x="52"/>
        <item x="1"/>
        <item x="22"/>
        <item x="151"/>
        <item x="105"/>
        <item x="114"/>
        <item x="82"/>
        <item x="3"/>
        <item x="15"/>
        <item x="49"/>
        <item x="135"/>
        <item x="134"/>
        <item x="139"/>
        <item x="142"/>
        <item x="138"/>
        <item x="141"/>
        <item x="128"/>
        <item x="0"/>
        <item x="103"/>
        <item x="159"/>
        <item x="150"/>
        <item x="86"/>
        <item x="152"/>
        <item x="137"/>
        <item x="110"/>
        <item x="79"/>
        <item x="80"/>
        <item x="83"/>
        <item x="126"/>
        <item x="131"/>
        <item x="132"/>
        <item x="129"/>
        <item x="28"/>
        <item x="27"/>
        <item x="29"/>
        <item x="26"/>
        <item x="43"/>
        <item x="42"/>
        <item x="32"/>
        <item x="122"/>
        <item x="124"/>
        <item x="123"/>
        <item x="111"/>
        <item x="69"/>
        <item x="136"/>
        <item x="55"/>
        <item x="119"/>
        <item x="46"/>
        <item x="50"/>
        <item x="117"/>
        <item x="45"/>
        <item x="127"/>
        <item x="106"/>
        <item x="53"/>
        <item x="147"/>
        <item x="146"/>
        <item x="38"/>
        <item x="20"/>
        <item x="144"/>
        <item x="145"/>
        <item x="74"/>
        <item x="89"/>
        <item x="57"/>
        <item x="59"/>
        <item x="88"/>
        <item x="108"/>
        <item x="85"/>
        <item x="5"/>
        <item x="4"/>
        <item x="81"/>
        <item x="35"/>
        <item x="36"/>
        <item x="37"/>
        <item x="98"/>
        <item x="67"/>
        <item x="63"/>
        <item x="116"/>
        <item x="125"/>
        <item x="157"/>
        <item x="101"/>
        <item x="66"/>
        <item x="149"/>
        <item x="51"/>
        <item x="90"/>
        <item x="91"/>
        <item x="97"/>
        <item x="21"/>
        <item x="94"/>
        <item x="93"/>
        <item x="95"/>
        <item x="18"/>
        <item x="92"/>
        <item x="96"/>
        <item x="11"/>
        <item x="87"/>
        <item x="61"/>
        <item x="48"/>
        <item x="47"/>
        <item x="58"/>
        <item x="130"/>
        <item x="39"/>
        <item x="33"/>
        <item x="100"/>
        <item x="16"/>
        <item x="30"/>
        <item x="44"/>
        <item x="34"/>
        <item x="31"/>
        <item x="41"/>
        <item x="19"/>
        <item x="17"/>
        <item x="14"/>
        <item x="99"/>
        <item x="12"/>
        <item x="8"/>
        <item x="78"/>
        <item x="13"/>
        <item x="133"/>
        <item x="148"/>
        <item x="6"/>
        <item x="9"/>
        <item x="10"/>
        <item x="77"/>
        <item x="54"/>
        <item x="40"/>
        <item x="56"/>
        <item x="104"/>
        <item x="76"/>
        <item x="25"/>
        <item x="109"/>
        <item x="113"/>
        <item x="115"/>
        <item x="24"/>
        <item x="23"/>
        <item x="70"/>
        <item x="64"/>
        <item x="73"/>
        <item x="71"/>
        <item x="75"/>
        <item x="158"/>
        <item x="65"/>
        <item x="72"/>
        <item x="107"/>
        <item x="84"/>
        <item x="121"/>
        <item x="120"/>
        <item x="143"/>
        <item x="68"/>
        <item t="default"/>
      </items>
    </pivotField>
    <pivotField showAll="0"/>
    <pivotField showAll="0"/>
    <pivotField showAll="0"/>
    <pivotField showAll="0"/>
    <pivotField showAll="0"/>
    <pivotField showAll="0"/>
    <pivotField axis="axisRow" showAll="0">
      <items count="402">
        <item x="1"/>
        <item x="0"/>
        <item x="3"/>
        <item x="2"/>
        <item x="4"/>
        <item x="5"/>
        <item x="6"/>
        <item x="8"/>
        <item x="7"/>
        <item x="9"/>
        <item x="11"/>
        <item x="10"/>
        <item x="12"/>
        <item x="13"/>
        <item x="16"/>
        <item x="15"/>
        <item x="14"/>
        <item x="18"/>
        <item x="17"/>
        <item x="19"/>
        <item x="20"/>
        <item x="21"/>
        <item x="22"/>
        <item x="23"/>
        <item x="25"/>
        <item x="24"/>
        <item x="27"/>
        <item x="26"/>
        <item x="28"/>
        <item x="29"/>
        <item x="30"/>
        <item x="31"/>
        <item x="32"/>
        <item x="33"/>
        <item x="34"/>
        <item x="35"/>
        <item x="36"/>
        <item x="37"/>
        <item x="38"/>
        <item x="39"/>
        <item x="40"/>
        <item x="41"/>
        <item x="42"/>
        <item x="43"/>
        <item x="44"/>
        <item x="45"/>
        <item x="46"/>
        <item x="47"/>
        <item x="48"/>
        <item x="49"/>
        <item x="50"/>
        <item x="51"/>
        <item x="52"/>
        <item x="53"/>
        <item x="54"/>
        <item x="55"/>
        <item x="56"/>
        <item x="58"/>
        <item x="57"/>
        <item x="59"/>
        <item x="60"/>
        <item x="61"/>
        <item x="62"/>
        <item x="63"/>
        <item x="65"/>
        <item x="64"/>
        <item x="66"/>
        <item x="67"/>
        <item x="68"/>
        <item x="69"/>
        <item x="70"/>
        <item x="71"/>
        <item x="72"/>
        <item x="74"/>
        <item x="73"/>
        <item x="75"/>
        <item x="76"/>
        <item x="77"/>
        <item x="78"/>
        <item x="79"/>
        <item x="80"/>
        <item x="81"/>
        <item x="82"/>
        <item x="83"/>
        <item x="84"/>
        <item x="85"/>
        <item x="86"/>
        <item x="87"/>
        <item x="88"/>
        <item x="89"/>
        <item x="90"/>
        <item x="91"/>
        <item x="92"/>
        <item x="93"/>
        <item x="95"/>
        <item x="94"/>
        <item x="96"/>
        <item x="97"/>
        <item x="98"/>
        <item x="99"/>
        <item x="101"/>
        <item x="100"/>
        <item x="103"/>
        <item x="102"/>
        <item x="104"/>
        <item x="105"/>
        <item x="106"/>
        <item x="107"/>
        <item x="108"/>
        <item x="109"/>
        <item x="110"/>
        <item x="111"/>
        <item x="112"/>
        <item x="114"/>
        <item x="113"/>
        <item x="115"/>
        <item x="116"/>
        <item x="117"/>
        <item x="118"/>
        <item x="119"/>
        <item x="122"/>
        <item x="120"/>
        <item x="121"/>
        <item x="123"/>
        <item x="124"/>
        <item x="125"/>
        <item x="126"/>
        <item x="127"/>
        <item x="129"/>
        <item x="128"/>
        <item x="130"/>
        <item x="131"/>
        <item x="132"/>
        <item x="133"/>
        <item x="134"/>
        <item x="135"/>
        <item x="136"/>
        <item x="137"/>
        <item x="138"/>
        <item x="139"/>
        <item x="140"/>
        <item x="141"/>
        <item x="142"/>
        <item x="143"/>
        <item x="144"/>
        <item x="145"/>
        <item x="146"/>
        <item x="147"/>
        <item x="148"/>
        <item x="149"/>
        <item x="151"/>
        <item x="150"/>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3"/>
        <item x="192"/>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4"/>
        <item x="233"/>
        <item x="235"/>
        <item x="236"/>
        <item x="237"/>
        <item x="238"/>
        <item x="239"/>
        <item x="240"/>
        <item x="241"/>
        <item x="242"/>
        <item x="243"/>
        <item x="244"/>
        <item x="246"/>
        <item x="245"/>
        <item x="247"/>
        <item x="248"/>
        <item x="249"/>
        <item x="250"/>
        <item x="251"/>
        <item x="252"/>
        <item x="253"/>
        <item x="254"/>
        <item x="255"/>
        <item x="256"/>
        <item x="257"/>
        <item x="258"/>
        <item x="259"/>
        <item x="260"/>
        <item x="261"/>
        <item x="262"/>
        <item x="263"/>
        <item x="264"/>
        <item x="265"/>
        <item x="266"/>
        <item x="268"/>
        <item x="267"/>
        <item x="269"/>
        <item x="270"/>
        <item x="271"/>
        <item x="272"/>
        <item x="273"/>
        <item x="274"/>
        <item x="275"/>
        <item x="277"/>
        <item x="276"/>
        <item x="278"/>
        <item x="279"/>
        <item x="280"/>
        <item x="281"/>
        <item x="282"/>
        <item x="283"/>
        <item x="285"/>
        <item x="284"/>
        <item x="288"/>
        <item x="286"/>
        <item x="287"/>
        <item x="289"/>
        <item x="290"/>
        <item x="291"/>
        <item x="292"/>
        <item x="293"/>
        <item x="294"/>
        <item x="295"/>
        <item x="297"/>
        <item x="296"/>
        <item x="298"/>
        <item x="299"/>
        <item x="300"/>
        <item x="301"/>
        <item x="302"/>
        <item x="303"/>
        <item x="304"/>
        <item x="305"/>
        <item x="306"/>
        <item x="307"/>
        <item x="308"/>
        <item x="309"/>
        <item x="310"/>
        <item x="311"/>
        <item x="312"/>
        <item x="313"/>
        <item x="314"/>
        <item x="316"/>
        <item x="315"/>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7"/>
        <item x="346"/>
        <item x="348"/>
        <item x="349"/>
        <item x="350"/>
        <item x="351"/>
        <item x="352"/>
        <item x="353"/>
        <item x="354"/>
        <item x="355"/>
        <item x="357"/>
        <item x="356"/>
        <item x="358"/>
        <item x="360"/>
        <item x="359"/>
        <item x="361"/>
        <item x="362"/>
        <item x="363"/>
        <item x="364"/>
        <item x="365"/>
        <item x="366"/>
        <item x="368"/>
        <item x="367"/>
        <item x="369"/>
        <item x="370"/>
        <item x="371"/>
        <item x="372"/>
        <item x="373"/>
        <item x="374"/>
        <item x="376"/>
        <item x="375"/>
        <item x="377"/>
        <item x="378"/>
        <item x="379"/>
        <item x="380"/>
        <item x="381"/>
        <item x="382"/>
        <item x="383"/>
        <item x="384"/>
        <item x="385"/>
        <item x="386"/>
        <item x="387"/>
        <item x="389"/>
        <item x="388"/>
        <item x="390"/>
        <item x="391"/>
        <item x="392"/>
        <item x="393"/>
        <item x="394"/>
        <item x="395"/>
        <item x="396"/>
        <item x="397"/>
        <item x="398"/>
        <item x="399"/>
        <item x="400"/>
        <item t="default"/>
      </items>
    </pivotField>
    <pivotField showAll="0"/>
    <pivotField showAll="0"/>
    <pivotField dataField="1" numFmtId="43" showAll="0"/>
    <pivotField numFmtId="43" showAll="0"/>
    <pivotField dataField="1" numFmtId="43" showAll="0"/>
    <pivotField numFmtId="43" showAll="0"/>
    <pivotField numFmtId="43" showAll="0"/>
    <pivotField dataField="1" numFmtId="43" showAll="0"/>
    <pivotField numFmtId="43" showAll="0"/>
    <pivotField dataField="1" numFmtId="43" showAll="0"/>
    <pivotField numFmtId="43" showAll="0"/>
    <pivotField numFmtId="43" showAll="0"/>
    <pivotField dataField="1" numFmtId="43" showAl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5">
    <field x="4"/>
    <field x="6"/>
    <field x="7"/>
    <field x="8"/>
    <field x="15"/>
  </rowFields>
  <rowItems count="48">
    <i>
      <x v="1"/>
    </i>
    <i r="1">
      <x/>
    </i>
    <i r="2">
      <x v="19"/>
    </i>
    <i r="3">
      <x v="81"/>
    </i>
    <i r="4">
      <x v="231"/>
    </i>
    <i r="1">
      <x v="3"/>
    </i>
    <i r="2">
      <x v="2"/>
    </i>
    <i r="3">
      <x v="7"/>
    </i>
    <i r="4">
      <x v="117"/>
    </i>
    <i r="4">
      <x v="124"/>
    </i>
    <i r="4">
      <x v="131"/>
    </i>
    <i r="4">
      <x v="380"/>
    </i>
    <i r="4">
      <x v="400"/>
    </i>
    <i r="3">
      <x v="10"/>
    </i>
    <i r="4">
      <x v="17"/>
    </i>
    <i r="4">
      <x v="18"/>
    </i>
    <i r="3">
      <x v="11"/>
    </i>
    <i r="4">
      <x v="7"/>
    </i>
    <i r="4">
      <x v="8"/>
    </i>
    <i r="3">
      <x v="12"/>
    </i>
    <i r="4">
      <x v="107"/>
    </i>
    <i r="3">
      <x v="13"/>
    </i>
    <i r="4">
      <x v="6"/>
    </i>
    <i r="3">
      <x v="14"/>
    </i>
    <i r="4">
      <x v="46"/>
    </i>
    <i r="4">
      <x v="47"/>
    </i>
    <i r="3">
      <x v="15"/>
    </i>
    <i r="4">
      <x v="372"/>
    </i>
    <i r="2">
      <x v="3"/>
    </i>
    <i r="3">
      <x v="18"/>
    </i>
    <i r="4">
      <x v="232"/>
    </i>
    <i r="3">
      <x v="19"/>
    </i>
    <i r="4">
      <x v="9"/>
    </i>
    <i r="2">
      <x v="4"/>
    </i>
    <i r="3">
      <x v="20"/>
    </i>
    <i r="4">
      <x v="34"/>
    </i>
    <i r="3">
      <x v="21"/>
    </i>
    <i r="4">
      <x v="98"/>
    </i>
    <i r="1">
      <x v="4"/>
    </i>
    <i r="2">
      <x v="8"/>
    </i>
    <i r="3">
      <x v="33"/>
    </i>
    <i r="4">
      <x v="237"/>
    </i>
    <i r="3">
      <x v="34"/>
    </i>
    <i r="4">
      <x v="373"/>
    </i>
    <i r="3">
      <x v="39"/>
    </i>
    <i r="4">
      <x v="233"/>
    </i>
    <i r="4">
      <x v="234"/>
    </i>
    <i t="grand">
      <x/>
    </i>
  </rowItems>
  <colFields count="1">
    <field x="-2"/>
  </colFields>
  <colItems count="9">
    <i>
      <x/>
    </i>
    <i i="1">
      <x v="1"/>
    </i>
    <i i="2">
      <x v="2"/>
    </i>
    <i i="3">
      <x v="3"/>
    </i>
    <i i="4">
      <x v="4"/>
    </i>
    <i i="5">
      <x v="5"/>
    </i>
    <i i="6">
      <x v="6"/>
    </i>
    <i i="7">
      <x v="7"/>
    </i>
    <i i="8">
      <x v="8"/>
    </i>
  </colItems>
  <pageFields count="1">
    <pageField fld="2" item="1" hier="-1"/>
  </pageFields>
  <dataFields count="9">
    <dataField name="PPTO INICIAL" fld="18" baseField="4" baseItem="0"/>
    <dataField name="PPTO VIGENTE" fld="20" baseField="4" baseItem="0"/>
    <dataField name="COMPROMISOS." fld="23" baseField="4" baseItem="0"/>
    <dataField name="GIROS." fld="25" baseField="4" baseItem="0"/>
    <dataField name="PAGOS " fld="28" baseField="4" baseItem="0"/>
    <dataField name=" SALDO APROPIACIÓN CDP" fld="29" baseField="4" baseItem="0" numFmtId="43"/>
    <dataField name="SALDO APROPIACIÓN RP" fld="30" baseField="4" baseItem="0" numFmtId="43"/>
    <dataField name="Suma de % CDP" fld="31" baseField="0" baseItem="0" numFmtId="43"/>
    <dataField name="Suma de % RP" fld="32" baseField="0" baseItem="0" numFmtId="43"/>
  </dataFields>
  <formats count="374">
    <format dxfId="6902">
      <pivotArea dataOnly="0" labelOnly="1" fieldPosition="0">
        <references count="1">
          <reference field="4" count="0"/>
        </references>
      </pivotArea>
    </format>
    <format dxfId="6901">
      <pivotArea dataOnly="0" labelOnly="1" fieldPosition="0">
        <references count="1">
          <reference field="4" count="1">
            <x v="0"/>
          </reference>
        </references>
      </pivotArea>
    </format>
    <format dxfId="6900">
      <pivotArea dataOnly="0" labelOnly="1" fieldPosition="0">
        <references count="1">
          <reference field="6" count="0"/>
        </references>
      </pivotArea>
    </format>
    <format dxfId="6899">
      <pivotArea dataOnly="0" labelOnly="1" fieldPosition="0">
        <references count="1">
          <reference field="7" count="0"/>
        </references>
      </pivotArea>
    </format>
    <format dxfId="6898">
      <pivotArea dataOnly="0" labelOnly="1" fieldPosition="0">
        <references count="1">
          <reference field="7" count="0"/>
        </references>
      </pivotArea>
    </format>
    <format dxfId="6897">
      <pivotArea dataOnly="0" labelOnly="1" fieldPosition="0">
        <references count="1">
          <reference field="8" count="0"/>
        </references>
      </pivotArea>
    </format>
    <format dxfId="6896">
      <pivotArea outline="0" collapsedLevelsAreSubtotals="1" fieldPosition="0"/>
    </format>
    <format dxfId="6895">
      <pivotArea dataOnly="0" labelOnly="1" outline="0" fieldPosition="0">
        <references count="1">
          <reference field="2" count="0"/>
        </references>
      </pivotArea>
    </format>
    <format dxfId="6894">
      <pivotArea dataOnly="0" labelOnly="1" outline="0" fieldPosition="0">
        <references count="1">
          <reference field="4294967294" count="9">
            <x v="0"/>
            <x v="1"/>
            <x v="2"/>
            <x v="3"/>
            <x v="4"/>
            <x v="5"/>
            <x v="6"/>
            <x v="7"/>
            <x v="8"/>
          </reference>
        </references>
      </pivotArea>
    </format>
    <format dxfId="6893">
      <pivotArea field="2" type="button" dataOnly="0" labelOnly="1" outline="0" axis="axisPage" fieldPosition="0"/>
    </format>
    <format dxfId="6892">
      <pivotArea field="4" type="button" dataOnly="0" labelOnly="1" outline="0" axis="axisRow" fieldPosition="0"/>
    </format>
    <format dxfId="6891">
      <pivotArea dataOnly="0" labelOnly="1" fieldPosition="0">
        <references count="1">
          <reference field="4" count="0"/>
        </references>
      </pivotArea>
    </format>
    <format dxfId="6890">
      <pivotArea dataOnly="0" labelOnly="1" grandRow="1" outline="0" fieldPosition="0"/>
    </format>
    <format dxfId="6889">
      <pivotArea dataOnly="0" labelOnly="1" fieldPosition="0">
        <references count="2">
          <reference field="4" count="1" selected="0">
            <x v="0"/>
          </reference>
          <reference field="6" count="2">
            <x v="0"/>
            <x v="1"/>
          </reference>
        </references>
      </pivotArea>
    </format>
    <format dxfId="6888">
      <pivotArea dataOnly="0" labelOnly="1" fieldPosition="0">
        <references count="2">
          <reference field="4" count="1" selected="0">
            <x v="1"/>
          </reference>
          <reference field="6" count="3">
            <x v="0"/>
            <x v="3"/>
            <x v="4"/>
          </reference>
        </references>
      </pivotArea>
    </format>
    <format dxfId="6887">
      <pivotArea dataOnly="0" labelOnly="1" fieldPosition="0">
        <references count="2">
          <reference field="4" count="1" selected="0">
            <x v="2"/>
          </reference>
          <reference field="6" count="3">
            <x v="2"/>
            <x v="3"/>
            <x v="4"/>
          </reference>
        </references>
      </pivotArea>
    </format>
    <format dxfId="6886">
      <pivotArea dataOnly="0" labelOnly="1" fieldPosition="0">
        <references count="2">
          <reference field="4" count="1" selected="0">
            <x v="3"/>
          </reference>
          <reference field="6" count="1">
            <x v="3"/>
          </reference>
        </references>
      </pivotArea>
    </format>
    <format dxfId="6885">
      <pivotArea dataOnly="0" labelOnly="1" fieldPosition="0">
        <references count="2">
          <reference field="4" count="1" selected="0">
            <x v="4"/>
          </reference>
          <reference field="6" count="4">
            <x v="0"/>
            <x v="1"/>
            <x v="2"/>
            <x v="3"/>
          </reference>
        </references>
      </pivotArea>
    </format>
    <format dxfId="6884">
      <pivotArea dataOnly="0" labelOnly="1" fieldPosition="0">
        <references count="2">
          <reference field="4" count="1" selected="0">
            <x v="5"/>
          </reference>
          <reference field="6" count="2">
            <x v="0"/>
            <x v="4"/>
          </reference>
        </references>
      </pivotArea>
    </format>
    <format dxfId="6883">
      <pivotArea dataOnly="0" labelOnly="1" fieldPosition="0">
        <references count="2">
          <reference field="4" count="1" selected="0">
            <x v="6"/>
          </reference>
          <reference field="6" count="1">
            <x v="1"/>
          </reference>
        </references>
      </pivotArea>
    </format>
    <format dxfId="6882">
      <pivotArea dataOnly="0" labelOnly="1" fieldPosition="0">
        <references count="2">
          <reference field="4" count="1" selected="0">
            <x v="7"/>
          </reference>
          <reference field="6" count="4">
            <x v="0"/>
            <x v="2"/>
            <x v="3"/>
            <x v="4"/>
          </reference>
        </references>
      </pivotArea>
    </format>
    <format dxfId="6881">
      <pivotArea dataOnly="0" labelOnly="1" fieldPosition="0">
        <references count="2">
          <reference field="4" count="1" selected="0">
            <x v="8"/>
          </reference>
          <reference field="6" count="4">
            <x v="0"/>
            <x v="1"/>
            <x v="2"/>
            <x v="3"/>
          </reference>
        </references>
      </pivotArea>
    </format>
    <format dxfId="6880">
      <pivotArea dataOnly="0" labelOnly="1" fieldPosition="0">
        <references count="2">
          <reference field="4" count="1" selected="0">
            <x v="9"/>
          </reference>
          <reference field="6" count="1">
            <x v="1"/>
          </reference>
        </references>
      </pivotArea>
    </format>
    <format dxfId="6879">
      <pivotArea dataOnly="0" labelOnly="1" fieldPosition="0">
        <references count="2">
          <reference field="4" count="1" selected="0">
            <x v="10"/>
          </reference>
          <reference field="6" count="1">
            <x v="3"/>
          </reference>
        </references>
      </pivotArea>
    </format>
    <format dxfId="6878">
      <pivotArea dataOnly="0" labelOnly="1" fieldPosition="0">
        <references count="2">
          <reference field="4" count="1" selected="0">
            <x v="11"/>
          </reference>
          <reference field="6" count="1">
            <x v="0"/>
          </reference>
        </references>
      </pivotArea>
    </format>
    <format dxfId="6877">
      <pivotArea dataOnly="0" labelOnly="1" fieldPosition="0">
        <references count="2">
          <reference field="4" count="1" selected="0">
            <x v="12"/>
          </reference>
          <reference field="6" count="1">
            <x v="0"/>
          </reference>
        </references>
      </pivotArea>
    </format>
    <format dxfId="6876">
      <pivotArea dataOnly="0" labelOnly="1" fieldPosition="0">
        <references count="2">
          <reference field="4" count="1" selected="0">
            <x v="13"/>
          </reference>
          <reference field="6" count="1">
            <x v="3"/>
          </reference>
        </references>
      </pivotArea>
    </format>
    <format dxfId="6875">
      <pivotArea dataOnly="0" labelOnly="1" fieldPosition="0">
        <references count="2">
          <reference field="4" count="1" selected="0">
            <x v="14"/>
          </reference>
          <reference field="6" count="1">
            <x v="1"/>
          </reference>
        </references>
      </pivotArea>
    </format>
    <format dxfId="6874">
      <pivotArea dataOnly="0" labelOnly="1" fieldPosition="0">
        <references count="2">
          <reference field="4" count="1" selected="0">
            <x v="15"/>
          </reference>
          <reference field="6" count="1">
            <x v="0"/>
          </reference>
        </references>
      </pivotArea>
    </format>
    <format dxfId="6873">
      <pivotArea dataOnly="0" labelOnly="1" fieldPosition="0">
        <references count="2">
          <reference field="4" count="1" selected="0">
            <x v="16"/>
          </reference>
          <reference field="6" count="3">
            <x v="1"/>
            <x v="3"/>
            <x v="4"/>
          </reference>
        </references>
      </pivotArea>
    </format>
    <format dxfId="6872">
      <pivotArea dataOnly="0" labelOnly="1" fieldPosition="0">
        <references count="2">
          <reference field="4" count="1" selected="0">
            <x v="17"/>
          </reference>
          <reference field="6" count="1">
            <x v="0"/>
          </reference>
        </references>
      </pivotArea>
    </format>
    <format dxfId="6871">
      <pivotArea dataOnly="0" labelOnly="1" fieldPosition="0">
        <references count="2">
          <reference field="4" count="1" selected="0">
            <x v="18"/>
          </reference>
          <reference field="6" count="1">
            <x v="3"/>
          </reference>
        </references>
      </pivotArea>
    </format>
    <format dxfId="6870">
      <pivotArea dataOnly="0" labelOnly="1" fieldPosition="0">
        <references count="2">
          <reference field="4" count="1" selected="0">
            <x v="19"/>
          </reference>
          <reference field="6" count="1">
            <x v="3"/>
          </reference>
        </references>
      </pivotArea>
    </format>
    <format dxfId="6869">
      <pivotArea dataOnly="0" labelOnly="1" fieldPosition="0">
        <references count="2">
          <reference field="4" count="1" selected="0">
            <x v="20"/>
          </reference>
          <reference field="6" count="1">
            <x v="1"/>
          </reference>
        </references>
      </pivotArea>
    </format>
    <format dxfId="6868">
      <pivotArea dataOnly="0" labelOnly="1" fieldPosition="0">
        <references count="3">
          <reference field="4" count="1" selected="0">
            <x v="0"/>
          </reference>
          <reference field="6" count="1" selected="0">
            <x v="0"/>
          </reference>
          <reference field="7" count="2">
            <x v="17"/>
            <x v="19"/>
          </reference>
        </references>
      </pivotArea>
    </format>
    <format dxfId="6867">
      <pivotArea dataOnly="0" labelOnly="1" fieldPosition="0">
        <references count="3">
          <reference field="4" count="1" selected="0">
            <x v="0"/>
          </reference>
          <reference field="6" count="1" selected="0">
            <x v="1"/>
          </reference>
          <reference field="7" count="2">
            <x v="23"/>
            <x v="26"/>
          </reference>
        </references>
      </pivotArea>
    </format>
    <format dxfId="6866">
      <pivotArea dataOnly="0" labelOnly="1" fieldPosition="0">
        <references count="3">
          <reference field="4" count="1" selected="0">
            <x v="1"/>
          </reference>
          <reference field="6" count="1" selected="0">
            <x v="0"/>
          </reference>
          <reference field="7" count="1">
            <x v="19"/>
          </reference>
        </references>
      </pivotArea>
    </format>
    <format dxfId="6865">
      <pivotArea dataOnly="0" labelOnly="1" fieldPosition="0">
        <references count="3">
          <reference field="4" count="1" selected="0">
            <x v="1"/>
          </reference>
          <reference field="6" count="1" selected="0">
            <x v="3"/>
          </reference>
          <reference field="7" count="3">
            <x v="2"/>
            <x v="3"/>
            <x v="4"/>
          </reference>
        </references>
      </pivotArea>
    </format>
    <format dxfId="6864">
      <pivotArea dataOnly="0" labelOnly="1" fieldPosition="0">
        <references count="3">
          <reference field="4" count="1" selected="0">
            <x v="1"/>
          </reference>
          <reference field="6" count="1" selected="0">
            <x v="4"/>
          </reference>
          <reference field="7" count="1">
            <x v="8"/>
          </reference>
        </references>
      </pivotArea>
    </format>
    <format dxfId="6863">
      <pivotArea dataOnly="0" labelOnly="1" fieldPosition="0">
        <references count="3">
          <reference field="4" count="1" selected="0">
            <x v="2"/>
          </reference>
          <reference field="6" count="1" selected="0">
            <x v="2"/>
          </reference>
          <reference field="7" count="2">
            <x v="29"/>
            <x v="30"/>
          </reference>
        </references>
      </pivotArea>
    </format>
    <format dxfId="6862">
      <pivotArea dataOnly="0" labelOnly="1" fieldPosition="0">
        <references count="3">
          <reference field="4" count="1" selected="0">
            <x v="2"/>
          </reference>
          <reference field="6" count="1" selected="0">
            <x v="3"/>
          </reference>
          <reference field="7" count="2">
            <x v="5"/>
            <x v="7"/>
          </reference>
        </references>
      </pivotArea>
    </format>
    <format dxfId="6861">
      <pivotArea dataOnly="0" labelOnly="1" fieldPosition="0">
        <references count="3">
          <reference field="4" count="1" selected="0">
            <x v="2"/>
          </reference>
          <reference field="6" count="1" selected="0">
            <x v="4"/>
          </reference>
          <reference field="7" count="1">
            <x v="8"/>
          </reference>
        </references>
      </pivotArea>
    </format>
    <format dxfId="6860">
      <pivotArea dataOnly="0" labelOnly="1" fieldPosition="0">
        <references count="3">
          <reference field="4" count="1" selected="0">
            <x v="3"/>
          </reference>
          <reference field="6" count="1" selected="0">
            <x v="3"/>
          </reference>
          <reference field="7" count="1">
            <x v="6"/>
          </reference>
        </references>
      </pivotArea>
    </format>
    <format dxfId="6859">
      <pivotArea dataOnly="0" labelOnly="1" fieldPosition="0">
        <references count="3">
          <reference field="4" count="1" selected="0">
            <x v="4"/>
          </reference>
          <reference field="6" count="1" selected="0">
            <x v="0"/>
          </reference>
          <reference field="7" count="1">
            <x v="21"/>
          </reference>
        </references>
      </pivotArea>
    </format>
    <format dxfId="6858">
      <pivotArea dataOnly="0" labelOnly="1" fieldPosition="0">
        <references count="3">
          <reference field="4" count="1" selected="0">
            <x v="4"/>
          </reference>
          <reference field="6" count="1" selected="0">
            <x v="1"/>
          </reference>
          <reference field="7" count="1">
            <x v="24"/>
          </reference>
        </references>
      </pivotArea>
    </format>
    <format dxfId="6857">
      <pivotArea dataOnly="0" labelOnly="1" fieldPosition="0">
        <references count="3">
          <reference field="4" count="1" selected="0">
            <x v="4"/>
          </reference>
          <reference field="6" count="1" selected="0">
            <x v="2"/>
          </reference>
          <reference field="7" count="2">
            <x v="29"/>
            <x v="31"/>
          </reference>
        </references>
      </pivotArea>
    </format>
    <format dxfId="6856">
      <pivotArea dataOnly="0" labelOnly="1" fieldPosition="0">
        <references count="3">
          <reference field="4" count="1" selected="0">
            <x v="4"/>
          </reference>
          <reference field="6" count="1" selected="0">
            <x v="3"/>
          </reference>
          <reference field="7" count="2">
            <x v="0"/>
            <x v="1"/>
          </reference>
        </references>
      </pivotArea>
    </format>
    <format dxfId="6855">
      <pivotArea dataOnly="0" labelOnly="1" fieldPosition="0">
        <references count="3">
          <reference field="4" count="1" selected="0">
            <x v="5"/>
          </reference>
          <reference field="6" count="1" selected="0">
            <x v="0"/>
          </reference>
          <reference field="7" count="2">
            <x v="18"/>
            <x v="22"/>
          </reference>
        </references>
      </pivotArea>
    </format>
    <format dxfId="6854">
      <pivotArea dataOnly="0" labelOnly="1" fieldPosition="0">
        <references count="3">
          <reference field="4" count="1" selected="0">
            <x v="5"/>
          </reference>
          <reference field="6" count="1" selected="0">
            <x v="4"/>
          </reference>
          <reference field="7" count="1">
            <x v="8"/>
          </reference>
        </references>
      </pivotArea>
    </format>
    <format dxfId="6853">
      <pivotArea dataOnly="0" labelOnly="1" fieldPosition="0">
        <references count="3">
          <reference field="4" count="1" selected="0">
            <x v="6"/>
          </reference>
          <reference field="6" count="1" selected="0">
            <x v="1"/>
          </reference>
          <reference field="7" count="1">
            <x v="24"/>
          </reference>
        </references>
      </pivotArea>
    </format>
    <format dxfId="6852">
      <pivotArea dataOnly="0" labelOnly="1" fieldPosition="0">
        <references count="3">
          <reference field="4" count="1" selected="0">
            <x v="7"/>
          </reference>
          <reference field="6" count="1" selected="0">
            <x v="0"/>
          </reference>
          <reference field="7" count="1">
            <x v="16"/>
          </reference>
        </references>
      </pivotArea>
    </format>
    <format dxfId="6851">
      <pivotArea dataOnly="0" labelOnly="1" fieldPosition="0">
        <references count="3">
          <reference field="4" count="1" selected="0">
            <x v="7"/>
          </reference>
          <reference field="6" count="1" selected="0">
            <x v="2"/>
          </reference>
          <reference field="7" count="2">
            <x v="29"/>
            <x v="30"/>
          </reference>
        </references>
      </pivotArea>
    </format>
    <format dxfId="6850">
      <pivotArea dataOnly="0" labelOnly="1" fieldPosition="0">
        <references count="3">
          <reference field="4" count="1" selected="0">
            <x v="7"/>
          </reference>
          <reference field="6" count="1" selected="0">
            <x v="3"/>
          </reference>
          <reference field="7" count="1">
            <x v="6"/>
          </reference>
        </references>
      </pivotArea>
    </format>
    <format dxfId="6849">
      <pivotArea dataOnly="0" labelOnly="1" fieldPosition="0">
        <references count="3">
          <reference field="4" count="1" selected="0">
            <x v="7"/>
          </reference>
          <reference field="6" count="1" selected="0">
            <x v="4"/>
          </reference>
          <reference field="7" count="8">
            <x v="8"/>
            <x v="9"/>
            <x v="10"/>
            <x v="11"/>
            <x v="12"/>
            <x v="13"/>
            <x v="14"/>
            <x v="15"/>
          </reference>
        </references>
      </pivotArea>
    </format>
    <format dxfId="6848">
      <pivotArea dataOnly="0" labelOnly="1" fieldPosition="0">
        <references count="3">
          <reference field="4" count="1" selected="0">
            <x v="8"/>
          </reference>
          <reference field="6" count="1" selected="0">
            <x v="0"/>
          </reference>
          <reference field="7" count="2">
            <x v="18"/>
            <x v="22"/>
          </reference>
        </references>
      </pivotArea>
    </format>
    <format dxfId="6847">
      <pivotArea dataOnly="0" labelOnly="1" fieldPosition="0">
        <references count="3">
          <reference field="4" count="1" selected="0">
            <x v="8"/>
          </reference>
          <reference field="6" count="1" selected="0">
            <x v="1"/>
          </reference>
          <reference field="7" count="1">
            <x v="28"/>
          </reference>
        </references>
      </pivotArea>
    </format>
    <format dxfId="6846">
      <pivotArea dataOnly="0" labelOnly="1" fieldPosition="0">
        <references count="3">
          <reference field="4" count="1" selected="0">
            <x v="8"/>
          </reference>
          <reference field="6" count="1" selected="0">
            <x v="2"/>
          </reference>
          <reference field="7" count="1">
            <x v="32"/>
          </reference>
        </references>
      </pivotArea>
    </format>
    <format dxfId="6845">
      <pivotArea dataOnly="0" labelOnly="1" fieldPosition="0">
        <references count="3">
          <reference field="4" count="1" selected="0">
            <x v="8"/>
          </reference>
          <reference field="6" count="1" selected="0">
            <x v="3"/>
          </reference>
          <reference field="7" count="1">
            <x v="6"/>
          </reference>
        </references>
      </pivotArea>
    </format>
    <format dxfId="6844">
      <pivotArea dataOnly="0" labelOnly="1" fieldPosition="0">
        <references count="3">
          <reference field="4" count="1" selected="0">
            <x v="9"/>
          </reference>
          <reference field="6" count="1" selected="0">
            <x v="1"/>
          </reference>
          <reference field="7" count="1">
            <x v="25"/>
          </reference>
        </references>
      </pivotArea>
    </format>
    <format dxfId="6843">
      <pivotArea dataOnly="0" labelOnly="1" fieldPosition="0">
        <references count="3">
          <reference field="4" count="1" selected="0">
            <x v="10"/>
          </reference>
          <reference field="6" count="1" selected="0">
            <x v="3"/>
          </reference>
          <reference field="7" count="1">
            <x v="6"/>
          </reference>
        </references>
      </pivotArea>
    </format>
    <format dxfId="6842">
      <pivotArea dataOnly="0" labelOnly="1" fieldPosition="0">
        <references count="3">
          <reference field="4" count="1" selected="0">
            <x v="11"/>
          </reference>
          <reference field="6" count="1" selected="0">
            <x v="0"/>
          </reference>
          <reference field="7" count="1">
            <x v="17"/>
          </reference>
        </references>
      </pivotArea>
    </format>
    <format dxfId="6841">
      <pivotArea dataOnly="0" labelOnly="1" fieldPosition="0">
        <references count="3">
          <reference field="4" count="1" selected="0">
            <x v="12"/>
          </reference>
          <reference field="6" count="1" selected="0">
            <x v="0"/>
          </reference>
          <reference field="7" count="1">
            <x v="18"/>
          </reference>
        </references>
      </pivotArea>
    </format>
    <format dxfId="6840">
      <pivotArea dataOnly="0" labelOnly="1" fieldPosition="0">
        <references count="3">
          <reference field="4" count="1" selected="0">
            <x v="13"/>
          </reference>
          <reference field="6" count="1" selected="0">
            <x v="3"/>
          </reference>
          <reference field="7" count="2">
            <x v="1"/>
            <x v="5"/>
          </reference>
        </references>
      </pivotArea>
    </format>
    <format dxfId="6839">
      <pivotArea dataOnly="0" labelOnly="1" fieldPosition="0">
        <references count="3">
          <reference field="4" count="1" selected="0">
            <x v="14"/>
          </reference>
          <reference field="6" count="1" selected="0">
            <x v="1"/>
          </reference>
          <reference field="7" count="1">
            <x v="26"/>
          </reference>
        </references>
      </pivotArea>
    </format>
    <format dxfId="6838">
      <pivotArea dataOnly="0" labelOnly="1" fieldPosition="0">
        <references count="3">
          <reference field="4" count="1" selected="0">
            <x v="15"/>
          </reference>
          <reference field="6" count="1" selected="0">
            <x v="0"/>
          </reference>
          <reference field="7" count="1">
            <x v="20"/>
          </reference>
        </references>
      </pivotArea>
    </format>
    <format dxfId="6837">
      <pivotArea dataOnly="0" labelOnly="1" fieldPosition="0">
        <references count="3">
          <reference field="4" count="1" selected="0">
            <x v="16"/>
          </reference>
          <reference field="6" count="1" selected="0">
            <x v="1"/>
          </reference>
          <reference field="7" count="1">
            <x v="27"/>
          </reference>
        </references>
      </pivotArea>
    </format>
    <format dxfId="6836">
      <pivotArea dataOnly="0" labelOnly="1" fieldPosition="0">
        <references count="3">
          <reference field="4" count="1" selected="0">
            <x v="16"/>
          </reference>
          <reference field="6" count="1" selected="0">
            <x v="3"/>
          </reference>
          <reference field="7" count="1">
            <x v="1"/>
          </reference>
        </references>
      </pivotArea>
    </format>
    <format dxfId="6835">
      <pivotArea dataOnly="0" labelOnly="1" fieldPosition="0">
        <references count="3">
          <reference field="4" count="1" selected="0">
            <x v="16"/>
          </reference>
          <reference field="6" count="1" selected="0">
            <x v="4"/>
          </reference>
          <reference field="7" count="2">
            <x v="8"/>
            <x v="11"/>
          </reference>
        </references>
      </pivotArea>
    </format>
    <format dxfId="6834">
      <pivotArea dataOnly="0" labelOnly="1" fieldPosition="0">
        <references count="3">
          <reference field="4" count="1" selected="0">
            <x v="17"/>
          </reference>
          <reference field="6" count="1" selected="0">
            <x v="0"/>
          </reference>
          <reference field="7" count="2">
            <x v="16"/>
            <x v="22"/>
          </reference>
        </references>
      </pivotArea>
    </format>
    <format dxfId="6833">
      <pivotArea dataOnly="0" labelOnly="1" fieldPosition="0">
        <references count="3">
          <reference field="4" count="1" selected="0">
            <x v="18"/>
          </reference>
          <reference field="6" count="1" selected="0">
            <x v="3"/>
          </reference>
          <reference field="7" count="1">
            <x v="2"/>
          </reference>
        </references>
      </pivotArea>
    </format>
    <format dxfId="6832">
      <pivotArea dataOnly="0" labelOnly="1" fieldPosition="0">
        <references count="3">
          <reference field="4" count="1" selected="0">
            <x v="19"/>
          </reference>
          <reference field="6" count="1" selected="0">
            <x v="3"/>
          </reference>
          <reference field="7" count="1">
            <x v="6"/>
          </reference>
        </references>
      </pivotArea>
    </format>
    <format dxfId="6831">
      <pivotArea dataOnly="0" labelOnly="1" fieldPosition="0">
        <references count="3">
          <reference field="4" count="1" selected="0">
            <x v="20"/>
          </reference>
          <reference field="6" count="1" selected="0">
            <x v="1"/>
          </reference>
          <reference field="7" count="1">
            <x v="24"/>
          </reference>
        </references>
      </pivotArea>
    </format>
    <format dxfId="6830">
      <pivotArea dataOnly="0" labelOnly="1" fieldPosition="0">
        <references count="4">
          <reference field="4" count="1" selected="0">
            <x v="0"/>
          </reference>
          <reference field="6" count="1" selected="0">
            <x v="0"/>
          </reference>
          <reference field="7" count="1" selected="0">
            <x v="17"/>
          </reference>
          <reference field="8" count="5">
            <x v="65"/>
            <x v="66"/>
            <x v="67"/>
            <x v="68"/>
            <x v="69"/>
          </reference>
        </references>
      </pivotArea>
    </format>
    <format dxfId="6829">
      <pivotArea dataOnly="0" labelOnly="1" fieldPosition="0">
        <references count="4">
          <reference field="4" count="1" selected="0">
            <x v="0"/>
          </reference>
          <reference field="6" count="1" selected="0">
            <x v="0"/>
          </reference>
          <reference field="7" count="1" selected="0">
            <x v="19"/>
          </reference>
          <reference field="8" count="3">
            <x v="78"/>
            <x v="79"/>
            <x v="80"/>
          </reference>
        </references>
      </pivotArea>
    </format>
    <format dxfId="6828">
      <pivotArea dataOnly="0" labelOnly="1" fieldPosition="0">
        <references count="4">
          <reference field="4" count="1" selected="0">
            <x v="0"/>
          </reference>
          <reference field="6" count="1" selected="0">
            <x v="1"/>
          </reference>
          <reference field="7" count="1" selected="0">
            <x v="23"/>
          </reference>
          <reference field="8" count="10">
            <x v="95"/>
            <x v="96"/>
            <x v="97"/>
            <x v="98"/>
            <x v="99"/>
            <x v="100"/>
            <x v="101"/>
            <x v="102"/>
            <x v="103"/>
            <x v="104"/>
          </reference>
        </references>
      </pivotArea>
    </format>
    <format dxfId="6827">
      <pivotArea dataOnly="0" labelOnly="1" fieldPosition="0">
        <references count="4">
          <reference field="4" count="1" selected="0">
            <x v="0"/>
          </reference>
          <reference field="6" count="1" selected="0">
            <x v="1"/>
          </reference>
          <reference field="7" count="1" selected="0">
            <x v="26"/>
          </reference>
          <reference field="8" count="1">
            <x v="131"/>
          </reference>
        </references>
      </pivotArea>
    </format>
    <format dxfId="6826">
      <pivotArea dataOnly="0" labelOnly="1" fieldPosition="0">
        <references count="4">
          <reference field="4" count="1" selected="0">
            <x v="1"/>
          </reference>
          <reference field="6" count="1" selected="0">
            <x v="0"/>
          </reference>
          <reference field="7" count="1" selected="0">
            <x v="19"/>
          </reference>
          <reference field="8" count="1">
            <x v="81"/>
          </reference>
        </references>
      </pivotArea>
    </format>
    <format dxfId="6825">
      <pivotArea dataOnly="0" labelOnly="1" fieldPosition="0">
        <references count="4">
          <reference field="4" count="1" selected="0">
            <x v="1"/>
          </reference>
          <reference field="6" count="1" selected="0">
            <x v="3"/>
          </reference>
          <reference field="7" count="1" selected="0">
            <x v="2"/>
          </reference>
          <reference field="8" count="7">
            <x v="7"/>
            <x v="10"/>
            <x v="11"/>
            <x v="12"/>
            <x v="13"/>
            <x v="14"/>
            <x v="15"/>
          </reference>
        </references>
      </pivotArea>
    </format>
    <format dxfId="6824">
      <pivotArea dataOnly="0" labelOnly="1" fieldPosition="0">
        <references count="4">
          <reference field="4" count="1" selected="0">
            <x v="1"/>
          </reference>
          <reference field="6" count="1" selected="0">
            <x v="3"/>
          </reference>
          <reference field="7" count="1" selected="0">
            <x v="3"/>
          </reference>
          <reference field="8" count="2">
            <x v="18"/>
            <x v="19"/>
          </reference>
        </references>
      </pivotArea>
    </format>
    <format dxfId="6823">
      <pivotArea dataOnly="0" labelOnly="1" fieldPosition="0">
        <references count="4">
          <reference field="4" count="1" selected="0">
            <x v="1"/>
          </reference>
          <reference field="6" count="1" selected="0">
            <x v="3"/>
          </reference>
          <reference field="7" count="1" selected="0">
            <x v="4"/>
          </reference>
          <reference field="8" count="2">
            <x v="20"/>
            <x v="21"/>
          </reference>
        </references>
      </pivotArea>
    </format>
    <format dxfId="6822">
      <pivotArea dataOnly="0" labelOnly="1" fieldPosition="0">
        <references count="4">
          <reference field="4" count="1" selected="0">
            <x v="1"/>
          </reference>
          <reference field="6" count="1" selected="0">
            <x v="4"/>
          </reference>
          <reference field="7" count="1" selected="0">
            <x v="8"/>
          </reference>
          <reference field="8" count="3">
            <x v="33"/>
            <x v="34"/>
            <x v="39"/>
          </reference>
        </references>
      </pivotArea>
    </format>
    <format dxfId="6821">
      <pivotArea dataOnly="0" labelOnly="1" fieldPosition="0">
        <references count="4">
          <reference field="4" count="1" selected="0">
            <x v="2"/>
          </reference>
          <reference field="6" count="1" selected="0">
            <x v="2"/>
          </reference>
          <reference field="7" count="1" selected="0">
            <x v="29"/>
          </reference>
          <reference field="8" count="6">
            <x v="145"/>
            <x v="146"/>
            <x v="147"/>
            <x v="148"/>
            <x v="149"/>
            <x v="150"/>
          </reference>
        </references>
      </pivotArea>
    </format>
    <format dxfId="6820">
      <pivotArea dataOnly="0" labelOnly="1" fieldPosition="0">
        <references count="4">
          <reference field="4" count="1" selected="0">
            <x v="2"/>
          </reference>
          <reference field="6" count="1" selected="0">
            <x v="2"/>
          </reference>
          <reference field="7" count="1" selected="0">
            <x v="30"/>
          </reference>
          <reference field="8" count="2">
            <x v="152"/>
            <x v="153"/>
          </reference>
        </references>
      </pivotArea>
    </format>
    <format dxfId="6819">
      <pivotArea dataOnly="0" labelOnly="1" fieldPosition="0">
        <references count="4">
          <reference field="4" count="1" selected="0">
            <x v="2"/>
          </reference>
          <reference field="6" count="1" selected="0">
            <x v="3"/>
          </reference>
          <reference field="7" count="1" selected="0">
            <x v="5"/>
          </reference>
          <reference field="8" count="1">
            <x v="24"/>
          </reference>
        </references>
      </pivotArea>
    </format>
    <format dxfId="6818">
      <pivotArea dataOnly="0" labelOnly="1" fieldPosition="0">
        <references count="4">
          <reference field="4" count="1" selected="0">
            <x v="2"/>
          </reference>
          <reference field="6" count="1" selected="0">
            <x v="3"/>
          </reference>
          <reference field="7" count="1" selected="0">
            <x v="7"/>
          </reference>
          <reference field="8" count="2">
            <x v="31"/>
            <x v="32"/>
          </reference>
        </references>
      </pivotArea>
    </format>
    <format dxfId="6817">
      <pivotArea dataOnly="0" labelOnly="1" fieldPosition="0">
        <references count="4">
          <reference field="4" count="1" selected="0">
            <x v="2"/>
          </reference>
          <reference field="6" count="1" selected="0">
            <x v="4"/>
          </reference>
          <reference field="7" count="1" selected="0">
            <x v="8"/>
          </reference>
          <reference field="8" count="2">
            <x v="36"/>
            <x v="39"/>
          </reference>
        </references>
      </pivotArea>
    </format>
    <format dxfId="6816">
      <pivotArea dataOnly="0" labelOnly="1" fieldPosition="0">
        <references count="4">
          <reference field="4" count="1" selected="0">
            <x v="3"/>
          </reference>
          <reference field="6" count="1" selected="0">
            <x v="3"/>
          </reference>
          <reference field="7" count="1" selected="0">
            <x v="6"/>
          </reference>
          <reference field="8" count="1">
            <x v="29"/>
          </reference>
        </references>
      </pivotArea>
    </format>
    <format dxfId="6815">
      <pivotArea dataOnly="0" labelOnly="1" fieldPosition="0">
        <references count="4">
          <reference field="4" count="1" selected="0">
            <x v="4"/>
          </reference>
          <reference field="6" count="1" selected="0">
            <x v="0"/>
          </reference>
          <reference field="7" count="1" selected="0">
            <x v="21"/>
          </reference>
          <reference field="8" count="5">
            <x v="87"/>
            <x v="88"/>
            <x v="89"/>
            <x v="90"/>
            <x v="91"/>
          </reference>
        </references>
      </pivotArea>
    </format>
    <format dxfId="6814">
      <pivotArea dataOnly="0" labelOnly="1" fieldPosition="0">
        <references count="4">
          <reference field="4" count="1" selected="0">
            <x v="4"/>
          </reference>
          <reference field="6" count="1" selected="0">
            <x v="1"/>
          </reference>
          <reference field="7" count="1" selected="0">
            <x v="24"/>
          </reference>
          <reference field="8" count="1">
            <x v="114"/>
          </reference>
        </references>
      </pivotArea>
    </format>
    <format dxfId="6813">
      <pivotArea dataOnly="0" labelOnly="1" fieldPosition="0">
        <references count="4">
          <reference field="4" count="1" selected="0">
            <x v="4"/>
          </reference>
          <reference field="6" count="1" selected="0">
            <x v="2"/>
          </reference>
          <reference field="7" count="1" selected="0">
            <x v="29"/>
          </reference>
          <reference field="8" count="3">
            <x v="142"/>
            <x v="143"/>
            <x v="151"/>
          </reference>
        </references>
      </pivotArea>
    </format>
    <format dxfId="6812">
      <pivotArea dataOnly="0" labelOnly="1" fieldPosition="0">
        <references count="4">
          <reference field="4" count="1" selected="0">
            <x v="4"/>
          </reference>
          <reference field="6" count="1" selected="0">
            <x v="2"/>
          </reference>
          <reference field="7" count="1" selected="0">
            <x v="31"/>
          </reference>
          <reference field="8" count="3">
            <x v="155"/>
            <x v="156"/>
            <x v="157"/>
          </reference>
        </references>
      </pivotArea>
    </format>
    <format dxfId="6811">
      <pivotArea dataOnly="0" labelOnly="1" fieldPosition="0">
        <references count="4">
          <reference field="4" count="1" selected="0">
            <x v="4"/>
          </reference>
          <reference field="6" count="1" selected="0">
            <x v="3"/>
          </reference>
          <reference field="7" count="1" selected="0">
            <x v="0"/>
          </reference>
          <reference field="8" count="2">
            <x v="0"/>
            <x v="1"/>
          </reference>
        </references>
      </pivotArea>
    </format>
    <format dxfId="6810">
      <pivotArea dataOnly="0" labelOnly="1" fieldPosition="0">
        <references count="4">
          <reference field="4" count="1" selected="0">
            <x v="4"/>
          </reference>
          <reference field="6" count="1" selected="0">
            <x v="3"/>
          </reference>
          <reference field="7" count="1" selected="0">
            <x v="1"/>
          </reference>
          <reference field="8" count="4">
            <x v="2"/>
            <x v="3"/>
            <x v="4"/>
            <x v="5"/>
          </reference>
        </references>
      </pivotArea>
    </format>
    <format dxfId="6809">
      <pivotArea dataOnly="0" labelOnly="1" fieldPosition="0">
        <references count="4">
          <reference field="4" count="1" selected="0">
            <x v="5"/>
          </reference>
          <reference field="6" count="1" selected="0">
            <x v="0"/>
          </reference>
          <reference field="7" count="1" selected="0">
            <x v="18"/>
          </reference>
          <reference field="8" count="3">
            <x v="73"/>
            <x v="74"/>
            <x v="77"/>
          </reference>
        </references>
      </pivotArea>
    </format>
    <format dxfId="6808">
      <pivotArea dataOnly="0" labelOnly="1" fieldPosition="0">
        <references count="4">
          <reference field="4" count="1" selected="0">
            <x v="5"/>
          </reference>
          <reference field="6" count="1" selected="0">
            <x v="0"/>
          </reference>
          <reference field="7" count="1" selected="0">
            <x v="22"/>
          </reference>
          <reference field="8" count="1">
            <x v="94"/>
          </reference>
        </references>
      </pivotArea>
    </format>
    <format dxfId="6807">
      <pivotArea dataOnly="0" labelOnly="1" fieldPosition="0">
        <references count="4">
          <reference field="4" count="1" selected="0">
            <x v="5"/>
          </reference>
          <reference field="6" count="1" selected="0">
            <x v="4"/>
          </reference>
          <reference field="7" count="1" selected="0">
            <x v="8"/>
          </reference>
          <reference field="8" count="1">
            <x v="37"/>
          </reference>
        </references>
      </pivotArea>
    </format>
    <format dxfId="6806">
      <pivotArea dataOnly="0" labelOnly="1" fieldPosition="0">
        <references count="4">
          <reference field="4" count="1" selected="0">
            <x v="6"/>
          </reference>
          <reference field="6" count="1" selected="0">
            <x v="1"/>
          </reference>
          <reference field="7" count="1" selected="0">
            <x v="24"/>
          </reference>
          <reference field="8" count="8">
            <x v="105"/>
            <x v="107"/>
            <x v="108"/>
            <x v="109"/>
            <x v="110"/>
            <x v="111"/>
            <x v="112"/>
            <x v="113"/>
          </reference>
        </references>
      </pivotArea>
    </format>
    <format dxfId="6805">
      <pivotArea dataOnly="0" labelOnly="1" fieldPosition="0">
        <references count="4">
          <reference field="4" count="1" selected="0">
            <x v="7"/>
          </reference>
          <reference field="6" count="1" selected="0">
            <x v="0"/>
          </reference>
          <reference field="7" count="1" selected="0">
            <x v="16"/>
          </reference>
          <reference field="8" count="1">
            <x v="64"/>
          </reference>
        </references>
      </pivotArea>
    </format>
    <format dxfId="6804">
      <pivotArea dataOnly="0" labelOnly="1" fieldPosition="0">
        <references count="4">
          <reference field="4" count="1" selected="0">
            <x v="7"/>
          </reference>
          <reference field="6" count="1" selected="0">
            <x v="2"/>
          </reference>
          <reference field="7" count="1" selected="0">
            <x v="29"/>
          </reference>
          <reference field="8" count="4">
            <x v="140"/>
            <x v="141"/>
            <x v="144"/>
            <x v="145"/>
          </reference>
        </references>
      </pivotArea>
    </format>
    <format dxfId="6803">
      <pivotArea dataOnly="0" labelOnly="1" fieldPosition="0">
        <references count="4">
          <reference field="4" count="1" selected="0">
            <x v="7"/>
          </reference>
          <reference field="6" count="1" selected="0">
            <x v="2"/>
          </reference>
          <reference field="7" count="1" selected="0">
            <x v="30"/>
          </reference>
          <reference field="8" count="1">
            <x v="154"/>
          </reference>
        </references>
      </pivotArea>
    </format>
    <format dxfId="6802">
      <pivotArea dataOnly="0" labelOnly="1" fieldPosition="0">
        <references count="4">
          <reference field="4" count="1" selected="0">
            <x v="7"/>
          </reference>
          <reference field="6" count="1" selected="0">
            <x v="3"/>
          </reference>
          <reference field="7" count="1" selected="0">
            <x v="6"/>
          </reference>
          <reference field="8" count="1">
            <x v="28"/>
          </reference>
        </references>
      </pivotArea>
    </format>
    <format dxfId="6801">
      <pivotArea dataOnly="0" labelOnly="1" fieldPosition="0">
        <references count="4">
          <reference field="4" count="1" selected="0">
            <x v="7"/>
          </reference>
          <reference field="6" count="1" selected="0">
            <x v="4"/>
          </reference>
          <reference field="7" count="1" selected="0">
            <x v="8"/>
          </reference>
          <reference field="8" count="2">
            <x v="35"/>
            <x v="36"/>
          </reference>
        </references>
      </pivotArea>
    </format>
    <format dxfId="6800">
      <pivotArea dataOnly="0" labelOnly="1" fieldPosition="0">
        <references count="4">
          <reference field="4" count="1" selected="0">
            <x v="7"/>
          </reference>
          <reference field="6" count="1" selected="0">
            <x v="4"/>
          </reference>
          <reference field="7" count="1" selected="0">
            <x v="9"/>
          </reference>
          <reference field="8" count="4">
            <x v="40"/>
            <x v="41"/>
            <x v="42"/>
            <x v="43"/>
          </reference>
        </references>
      </pivotArea>
    </format>
    <format dxfId="6799">
      <pivotArea dataOnly="0" labelOnly="1" fieldPosition="0">
        <references count="4">
          <reference field="4" count="1" selected="0">
            <x v="7"/>
          </reference>
          <reference field="6" count="1" selected="0">
            <x v="4"/>
          </reference>
          <reference field="7" count="1" selected="0">
            <x v="10"/>
          </reference>
          <reference field="8" count="4">
            <x v="44"/>
            <x v="45"/>
            <x v="46"/>
            <x v="47"/>
          </reference>
        </references>
      </pivotArea>
    </format>
    <format dxfId="6798">
      <pivotArea dataOnly="0" labelOnly="1" fieldPosition="0">
        <references count="4">
          <reference field="4" count="1" selected="0">
            <x v="7"/>
          </reference>
          <reference field="6" count="1" selected="0">
            <x v="4"/>
          </reference>
          <reference field="7" count="1" selected="0">
            <x v="11"/>
          </reference>
          <reference field="8" count="2">
            <x v="48"/>
            <x v="49"/>
          </reference>
        </references>
      </pivotArea>
    </format>
    <format dxfId="6797">
      <pivotArea dataOnly="0" labelOnly="1" fieldPosition="0">
        <references count="4">
          <reference field="4" count="1" selected="0">
            <x v="7"/>
          </reference>
          <reference field="6" count="1" selected="0">
            <x v="4"/>
          </reference>
          <reference field="7" count="1" selected="0">
            <x v="12"/>
          </reference>
          <reference field="8" count="1">
            <x v="50"/>
          </reference>
        </references>
      </pivotArea>
    </format>
    <format dxfId="6796">
      <pivotArea dataOnly="0" labelOnly="1" fieldPosition="0">
        <references count="4">
          <reference field="4" count="1" selected="0">
            <x v="7"/>
          </reference>
          <reference field="6" count="1" selected="0">
            <x v="4"/>
          </reference>
          <reference field="7" count="1" selected="0">
            <x v="13"/>
          </reference>
          <reference field="8" count="3">
            <x v="51"/>
            <x v="52"/>
            <x v="53"/>
          </reference>
        </references>
      </pivotArea>
    </format>
    <format dxfId="6795">
      <pivotArea dataOnly="0" labelOnly="1" fieldPosition="0">
        <references count="4">
          <reference field="4" count="1" selected="0">
            <x v="7"/>
          </reference>
          <reference field="6" count="1" selected="0">
            <x v="4"/>
          </reference>
          <reference field="7" count="1" selected="0">
            <x v="14"/>
          </reference>
          <reference field="8" count="2">
            <x v="54"/>
            <x v="55"/>
          </reference>
        </references>
      </pivotArea>
    </format>
    <format dxfId="6794">
      <pivotArea dataOnly="0" labelOnly="1" fieldPosition="0">
        <references count="4">
          <reference field="4" count="1" selected="0">
            <x v="7"/>
          </reference>
          <reference field="6" count="1" selected="0">
            <x v="4"/>
          </reference>
          <reference field="7" count="1" selected="0">
            <x v="15"/>
          </reference>
          <reference field="8" count="1">
            <x v="56"/>
          </reference>
        </references>
      </pivotArea>
    </format>
    <format dxfId="6793">
      <pivotArea dataOnly="0" labelOnly="1" fieldPosition="0">
        <references count="4">
          <reference field="4" count="1" selected="0">
            <x v="8"/>
          </reference>
          <reference field="6" count="1" selected="0">
            <x v="0"/>
          </reference>
          <reference field="7" count="1" selected="0">
            <x v="18"/>
          </reference>
          <reference field="8" count="1">
            <x v="77"/>
          </reference>
        </references>
      </pivotArea>
    </format>
    <format dxfId="6792">
      <pivotArea dataOnly="0" labelOnly="1" fieldPosition="0">
        <references count="4">
          <reference field="4" count="1" selected="0">
            <x v="8"/>
          </reference>
          <reference field="6" count="1" selected="0">
            <x v="0"/>
          </reference>
          <reference field="7" count="1" selected="0">
            <x v="22"/>
          </reference>
          <reference field="8" count="3">
            <x v="92"/>
            <x v="93"/>
            <x v="94"/>
          </reference>
        </references>
      </pivotArea>
    </format>
    <format dxfId="6791">
      <pivotArea dataOnly="0" labelOnly="1" fieldPosition="0">
        <references count="4">
          <reference field="4" count="1" selected="0">
            <x v="8"/>
          </reference>
          <reference field="6" count="1" selected="0">
            <x v="1"/>
          </reference>
          <reference field="7" count="1" selected="0">
            <x v="28"/>
          </reference>
          <reference field="8" count="2">
            <x v="138"/>
            <x v="139"/>
          </reference>
        </references>
      </pivotArea>
    </format>
    <format dxfId="6790">
      <pivotArea dataOnly="0" labelOnly="1" fieldPosition="0">
        <references count="4">
          <reference field="4" count="1" selected="0">
            <x v="8"/>
          </reference>
          <reference field="6" count="1" selected="0">
            <x v="2"/>
          </reference>
          <reference field="7" count="1" selected="0">
            <x v="32"/>
          </reference>
          <reference field="8" count="2">
            <x v="158"/>
            <x v="159"/>
          </reference>
        </references>
      </pivotArea>
    </format>
    <format dxfId="6789">
      <pivotArea dataOnly="0" labelOnly="1" fieldPosition="0">
        <references count="4">
          <reference field="4" count="1" selected="0">
            <x v="8"/>
          </reference>
          <reference field="6" count="1" selected="0">
            <x v="3"/>
          </reference>
          <reference field="7" count="1" selected="0">
            <x v="6"/>
          </reference>
          <reference field="8" count="2">
            <x v="29"/>
            <x v="30"/>
          </reference>
        </references>
      </pivotArea>
    </format>
    <format dxfId="6788">
      <pivotArea dataOnly="0" labelOnly="1" fieldPosition="0">
        <references count="4">
          <reference field="4" count="1" selected="0">
            <x v="9"/>
          </reference>
          <reference field="6" count="1" selected="0">
            <x v="1"/>
          </reference>
          <reference field="7" count="1" selected="0">
            <x v="25"/>
          </reference>
          <reference field="8" count="10">
            <x v="115"/>
            <x v="116"/>
            <x v="117"/>
            <x v="118"/>
            <x v="119"/>
            <x v="120"/>
            <x v="121"/>
            <x v="122"/>
            <x v="123"/>
            <x v="124"/>
          </reference>
        </references>
      </pivotArea>
    </format>
    <format dxfId="6787">
      <pivotArea dataOnly="0" labelOnly="1" fieldPosition="0">
        <references count="4">
          <reference field="4" count="1" selected="0">
            <x v="10"/>
          </reference>
          <reference field="6" count="1" selected="0">
            <x v="3"/>
          </reference>
          <reference field="7" count="1" selected="0">
            <x v="6"/>
          </reference>
          <reference field="8" count="1">
            <x v="29"/>
          </reference>
        </references>
      </pivotArea>
    </format>
    <format dxfId="6786">
      <pivotArea dataOnly="0" labelOnly="1" fieldPosition="0">
        <references count="4">
          <reference field="4" count="1" selected="0">
            <x v="11"/>
          </reference>
          <reference field="6" count="1" selected="0">
            <x v="0"/>
          </reference>
          <reference field="7" count="1" selected="0">
            <x v="17"/>
          </reference>
          <reference field="8" count="3">
            <x v="70"/>
            <x v="71"/>
            <x v="72"/>
          </reference>
        </references>
      </pivotArea>
    </format>
    <format dxfId="6785">
      <pivotArea dataOnly="0" labelOnly="1" fieldPosition="0">
        <references count="4">
          <reference field="4" count="1" selected="0">
            <x v="12"/>
          </reference>
          <reference field="6" count="1" selected="0">
            <x v="0"/>
          </reference>
          <reference field="7" count="1" selected="0">
            <x v="18"/>
          </reference>
          <reference field="8" count="3">
            <x v="74"/>
            <x v="75"/>
            <x v="76"/>
          </reference>
        </references>
      </pivotArea>
    </format>
    <format dxfId="6784">
      <pivotArea dataOnly="0" labelOnly="1" fieldPosition="0">
        <references count="4">
          <reference field="4" count="1" selected="0">
            <x v="13"/>
          </reference>
          <reference field="6" count="1" selected="0">
            <x v="3"/>
          </reference>
          <reference field="7" count="1" selected="0">
            <x v="1"/>
          </reference>
          <reference field="8" count="1">
            <x v="6"/>
          </reference>
        </references>
      </pivotArea>
    </format>
    <format dxfId="6783">
      <pivotArea dataOnly="0" labelOnly="1" fieldPosition="0">
        <references count="4">
          <reference field="4" count="1" selected="0">
            <x v="13"/>
          </reference>
          <reference field="6" count="1" selected="0">
            <x v="3"/>
          </reference>
          <reference field="7" count="1" selected="0">
            <x v="5"/>
          </reference>
          <reference field="8" count="6">
            <x v="22"/>
            <x v="23"/>
            <x v="24"/>
            <x v="25"/>
            <x v="26"/>
            <x v="27"/>
          </reference>
        </references>
      </pivotArea>
    </format>
    <format dxfId="6782">
      <pivotArea dataOnly="0" labelOnly="1" fieldPosition="0">
        <references count="4">
          <reference field="4" count="1" selected="0">
            <x v="14"/>
          </reference>
          <reference field="6" count="1" selected="0">
            <x v="1"/>
          </reference>
          <reference field="7" count="1" selected="0">
            <x v="26"/>
          </reference>
          <reference field="8" count="7">
            <x v="125"/>
            <x v="126"/>
            <x v="127"/>
            <x v="128"/>
            <x v="129"/>
            <x v="130"/>
            <x v="131"/>
          </reference>
        </references>
      </pivotArea>
    </format>
    <format dxfId="6781">
      <pivotArea dataOnly="0" labelOnly="1" fieldPosition="0">
        <references count="4">
          <reference field="4" count="1" selected="0">
            <x v="15"/>
          </reference>
          <reference field="6" count="1" selected="0">
            <x v="0"/>
          </reference>
          <reference field="7" count="1" selected="0">
            <x v="20"/>
          </reference>
          <reference field="8" count="5">
            <x v="82"/>
            <x v="83"/>
            <x v="84"/>
            <x v="85"/>
            <x v="86"/>
          </reference>
        </references>
      </pivotArea>
    </format>
    <format dxfId="6780">
      <pivotArea dataOnly="0" labelOnly="1" fieldPosition="0">
        <references count="4">
          <reference field="4" count="1" selected="0">
            <x v="16"/>
          </reference>
          <reference field="6" count="1" selected="0">
            <x v="1"/>
          </reference>
          <reference field="7" count="1" selected="0">
            <x v="27"/>
          </reference>
          <reference field="8" count="6">
            <x v="132"/>
            <x v="133"/>
            <x v="134"/>
            <x v="135"/>
            <x v="136"/>
            <x v="137"/>
          </reference>
        </references>
      </pivotArea>
    </format>
    <format dxfId="6779">
      <pivotArea dataOnly="0" labelOnly="1" fieldPosition="0">
        <references count="4">
          <reference field="4" count="1" selected="0">
            <x v="16"/>
          </reference>
          <reference field="6" count="1" selected="0">
            <x v="3"/>
          </reference>
          <reference field="7" count="1" selected="0">
            <x v="1"/>
          </reference>
          <reference field="8" count="1">
            <x v="6"/>
          </reference>
        </references>
      </pivotArea>
    </format>
    <format dxfId="6778">
      <pivotArea dataOnly="0" labelOnly="1" fieldPosition="0">
        <references count="4">
          <reference field="4" count="1" selected="0">
            <x v="16"/>
          </reference>
          <reference field="6" count="1" selected="0">
            <x v="4"/>
          </reference>
          <reference field="7" count="1" selected="0">
            <x v="8"/>
          </reference>
          <reference field="8" count="1">
            <x v="38"/>
          </reference>
        </references>
      </pivotArea>
    </format>
    <format dxfId="6777">
      <pivotArea dataOnly="0" labelOnly="1" fieldPosition="0">
        <references count="4">
          <reference field="4" count="1" selected="0">
            <x v="16"/>
          </reference>
          <reference field="6" count="1" selected="0">
            <x v="4"/>
          </reference>
          <reference field="7" count="1" selected="0">
            <x v="11"/>
          </reference>
          <reference field="8" count="1">
            <x v="48"/>
          </reference>
        </references>
      </pivotArea>
    </format>
    <format dxfId="6776">
      <pivotArea dataOnly="0" labelOnly="1" fieldPosition="0">
        <references count="4">
          <reference field="4" count="1" selected="0">
            <x v="17"/>
          </reference>
          <reference field="6" count="1" selected="0">
            <x v="0"/>
          </reference>
          <reference field="7" count="1" selected="0">
            <x v="16"/>
          </reference>
          <reference field="8" count="7">
            <x v="57"/>
            <x v="58"/>
            <x v="59"/>
            <x v="60"/>
            <x v="61"/>
            <x v="62"/>
            <x v="63"/>
          </reference>
        </references>
      </pivotArea>
    </format>
    <format dxfId="6775">
      <pivotArea dataOnly="0" labelOnly="1" fieldPosition="0">
        <references count="4">
          <reference field="4" count="1" selected="0">
            <x v="17"/>
          </reference>
          <reference field="6" count="1" selected="0">
            <x v="0"/>
          </reference>
          <reference field="7" count="1" selected="0">
            <x v="22"/>
          </reference>
          <reference field="8" count="1">
            <x v="94"/>
          </reference>
        </references>
      </pivotArea>
    </format>
    <format dxfId="6774">
      <pivotArea dataOnly="0" labelOnly="1" fieldPosition="0">
        <references count="4">
          <reference field="4" count="1" selected="0">
            <x v="18"/>
          </reference>
          <reference field="6" count="1" selected="0">
            <x v="3"/>
          </reference>
          <reference field="7" count="1" selected="0">
            <x v="2"/>
          </reference>
          <reference field="8" count="4">
            <x v="8"/>
            <x v="9"/>
            <x v="16"/>
            <x v="17"/>
          </reference>
        </references>
      </pivotArea>
    </format>
    <format dxfId="6773">
      <pivotArea dataOnly="0" labelOnly="1" fieldPosition="0">
        <references count="4">
          <reference field="4" count="1" selected="0">
            <x v="19"/>
          </reference>
          <reference field="6" count="1" selected="0">
            <x v="3"/>
          </reference>
          <reference field="7" count="1" selected="0">
            <x v="6"/>
          </reference>
          <reference field="8" count="1">
            <x v="29"/>
          </reference>
        </references>
      </pivotArea>
    </format>
    <format dxfId="6772">
      <pivotArea dataOnly="0" labelOnly="1" fieldPosition="0">
        <references count="4">
          <reference field="4" count="1" selected="0">
            <x v="20"/>
          </reference>
          <reference field="6" count="1" selected="0">
            <x v="1"/>
          </reference>
          <reference field="7" count="1" selected="0">
            <x v="24"/>
          </reference>
          <reference field="8" count="1">
            <x v="106"/>
          </reference>
        </references>
      </pivotArea>
    </format>
    <format dxfId="6771">
      <pivotArea dataOnly="0" labelOnly="1" fieldPosition="0">
        <references count="5">
          <reference field="4" count="1" selected="0">
            <x v="0"/>
          </reference>
          <reference field="6" count="1" selected="0">
            <x v="0"/>
          </reference>
          <reference field="7" count="1" selected="0">
            <x v="17"/>
          </reference>
          <reference field="8" count="1" selected="0">
            <x v="65"/>
          </reference>
          <reference field="15" count="1">
            <x v="108"/>
          </reference>
        </references>
      </pivotArea>
    </format>
    <format dxfId="6770">
      <pivotArea dataOnly="0" labelOnly="1" fieldPosition="0">
        <references count="5">
          <reference field="4" count="1" selected="0">
            <x v="0"/>
          </reference>
          <reference field="6" count="1" selected="0">
            <x v="0"/>
          </reference>
          <reference field="7" count="1" selected="0">
            <x v="17"/>
          </reference>
          <reference field="8" count="1" selected="0">
            <x v="66"/>
          </reference>
          <reference field="15" count="2">
            <x v="365"/>
            <x v="366"/>
          </reference>
        </references>
      </pivotArea>
    </format>
    <format dxfId="6769">
      <pivotArea dataOnly="0" labelOnly="1" fieldPosition="0">
        <references count="5">
          <reference field="4" count="1" selected="0">
            <x v="0"/>
          </reference>
          <reference field="6" count="1" selected="0">
            <x v="0"/>
          </reference>
          <reference field="7" count="1" selected="0">
            <x v="17"/>
          </reference>
          <reference field="8" count="1" selected="0">
            <x v="67"/>
          </reference>
          <reference field="15" count="2">
            <x v="364"/>
            <x v="370"/>
          </reference>
        </references>
      </pivotArea>
    </format>
    <format dxfId="6768">
      <pivotArea dataOnly="0" labelOnly="1" fieldPosition="0">
        <references count="5">
          <reference field="4" count="1" selected="0">
            <x v="0"/>
          </reference>
          <reference field="6" count="1" selected="0">
            <x v="0"/>
          </reference>
          <reference field="7" count="1" selected="0">
            <x v="17"/>
          </reference>
          <reference field="8" count="1" selected="0">
            <x v="68"/>
          </reference>
          <reference field="15" count="1">
            <x v="79"/>
          </reference>
        </references>
      </pivotArea>
    </format>
    <format dxfId="6767">
      <pivotArea dataOnly="0" labelOnly="1" fieldPosition="0">
        <references count="5">
          <reference field="4" count="1" selected="0">
            <x v="0"/>
          </reference>
          <reference field="6" count="1" selected="0">
            <x v="0"/>
          </reference>
          <reference field="7" count="1" selected="0">
            <x v="17"/>
          </reference>
          <reference field="8" count="1" selected="0">
            <x v="69"/>
          </reference>
          <reference field="15" count="1">
            <x v="42"/>
          </reference>
        </references>
      </pivotArea>
    </format>
    <format dxfId="6766">
      <pivotArea dataOnly="0" labelOnly="1" fieldPosition="0">
        <references count="5">
          <reference field="4" count="1" selected="0">
            <x v="0"/>
          </reference>
          <reference field="6" count="1" selected="0">
            <x v="0"/>
          </reference>
          <reference field="7" count="1" selected="0">
            <x v="19"/>
          </reference>
          <reference field="8" count="1" selected="0">
            <x v="78"/>
          </reference>
          <reference field="15" count="1">
            <x v="236"/>
          </reference>
        </references>
      </pivotArea>
    </format>
    <format dxfId="6765">
      <pivotArea dataOnly="0" labelOnly="1" fieldPosition="0">
        <references count="5">
          <reference field="4" count="1" selected="0">
            <x v="0"/>
          </reference>
          <reference field="6" count="1" selected="0">
            <x v="0"/>
          </reference>
          <reference field="7" count="1" selected="0">
            <x v="19"/>
          </reference>
          <reference field="8" count="1" selected="0">
            <x v="79"/>
          </reference>
          <reference field="15" count="1">
            <x v="12"/>
          </reference>
        </references>
      </pivotArea>
    </format>
    <format dxfId="6764">
      <pivotArea dataOnly="0" labelOnly="1" fieldPosition="0">
        <references count="5">
          <reference field="4" count="1" selected="0">
            <x v="0"/>
          </reference>
          <reference field="6" count="1" selected="0">
            <x v="0"/>
          </reference>
          <reference field="7" count="1" selected="0">
            <x v="19"/>
          </reference>
          <reference field="8" count="1" selected="0">
            <x v="80"/>
          </reference>
          <reference field="15" count="2">
            <x v="10"/>
            <x v="11"/>
          </reference>
        </references>
      </pivotArea>
    </format>
    <format dxfId="6763">
      <pivotArea dataOnly="0" labelOnly="1" fieldPosition="0">
        <references count="5">
          <reference field="4" count="1" selected="0">
            <x v="0"/>
          </reference>
          <reference field="6" count="1" selected="0">
            <x v="1"/>
          </reference>
          <reference field="7" count="1" selected="0">
            <x v="23"/>
          </reference>
          <reference field="8" count="1" selected="0">
            <x v="95"/>
          </reference>
          <reference field="15" count="1">
            <x v="250"/>
          </reference>
        </references>
      </pivotArea>
    </format>
    <format dxfId="6762">
      <pivotArea dataOnly="0" labelOnly="1" fieldPosition="0">
        <references count="5">
          <reference field="4" count="1" selected="0">
            <x v="0"/>
          </reference>
          <reference field="6" count="1" selected="0">
            <x v="1"/>
          </reference>
          <reference field="7" count="1" selected="0">
            <x v="23"/>
          </reference>
          <reference field="8" count="1" selected="0">
            <x v="96"/>
          </reference>
          <reference field="15" count="2">
            <x v="251"/>
            <x v="358"/>
          </reference>
        </references>
      </pivotArea>
    </format>
    <format dxfId="6761">
      <pivotArea dataOnly="0" labelOnly="1" fieldPosition="0">
        <references count="5">
          <reference field="4" count="1" selected="0">
            <x v="0"/>
          </reference>
          <reference field="6" count="1" selected="0">
            <x v="1"/>
          </reference>
          <reference field="7" count="1" selected="0">
            <x v="23"/>
          </reference>
          <reference field="8" count="1" selected="0">
            <x v="97"/>
          </reference>
          <reference field="15" count="1">
            <x v="257"/>
          </reference>
        </references>
      </pivotArea>
    </format>
    <format dxfId="6760">
      <pivotArea dataOnly="0" labelOnly="1" fieldPosition="0">
        <references count="5">
          <reference field="4" count="1" selected="0">
            <x v="0"/>
          </reference>
          <reference field="6" count="1" selected="0">
            <x v="1"/>
          </reference>
          <reference field="7" count="1" selected="0">
            <x v="23"/>
          </reference>
          <reference field="8" count="1" selected="0">
            <x v="98"/>
          </reference>
          <reference field="15" count="1">
            <x v="43"/>
          </reference>
        </references>
      </pivotArea>
    </format>
    <format dxfId="6759">
      <pivotArea dataOnly="0" labelOnly="1" fieldPosition="0">
        <references count="5">
          <reference field="4" count="1" selected="0">
            <x v="0"/>
          </reference>
          <reference field="6" count="1" selected="0">
            <x v="1"/>
          </reference>
          <reference field="7" count="1" selected="0">
            <x v="23"/>
          </reference>
          <reference field="8" count="1" selected="0">
            <x v="99"/>
          </reference>
          <reference field="15" count="1">
            <x v="254"/>
          </reference>
        </references>
      </pivotArea>
    </format>
    <format dxfId="6758">
      <pivotArea dataOnly="0" labelOnly="1" fieldPosition="0">
        <references count="5">
          <reference field="4" count="1" selected="0">
            <x v="0"/>
          </reference>
          <reference field="6" count="1" selected="0">
            <x v="1"/>
          </reference>
          <reference field="7" count="1" selected="0">
            <x v="23"/>
          </reference>
          <reference field="8" count="1" selected="0">
            <x v="100"/>
          </reference>
          <reference field="15" count="1">
            <x v="253"/>
          </reference>
        </references>
      </pivotArea>
    </format>
    <format dxfId="6757">
      <pivotArea dataOnly="0" labelOnly="1" fieldPosition="0">
        <references count="5">
          <reference field="4" count="1" selected="0">
            <x v="0"/>
          </reference>
          <reference field="6" count="1" selected="0">
            <x v="1"/>
          </reference>
          <reference field="7" count="1" selected="0">
            <x v="23"/>
          </reference>
          <reference field="8" count="1" selected="0">
            <x v="101"/>
          </reference>
          <reference field="15" count="1">
            <x v="255"/>
          </reference>
        </references>
      </pivotArea>
    </format>
    <format dxfId="6756">
      <pivotArea dataOnly="0" labelOnly="1" fieldPosition="0">
        <references count="5">
          <reference field="4" count="1" selected="0">
            <x v="0"/>
          </reference>
          <reference field="6" count="1" selected="0">
            <x v="1"/>
          </reference>
          <reference field="7" count="1" selected="0">
            <x v="23"/>
          </reference>
          <reference field="8" count="1" selected="0">
            <x v="102"/>
          </reference>
          <reference field="15" count="1">
            <x v="40"/>
          </reference>
        </references>
      </pivotArea>
    </format>
    <format dxfId="6755">
      <pivotArea dataOnly="0" labelOnly="1" fieldPosition="0">
        <references count="5">
          <reference field="4" count="1" selected="0">
            <x v="0"/>
          </reference>
          <reference field="6" count="1" selected="0">
            <x v="1"/>
          </reference>
          <reference field="7" count="1" selected="0">
            <x v="23"/>
          </reference>
          <reference field="8" count="1" selected="0">
            <x v="103"/>
          </reference>
          <reference field="15" count="1">
            <x v="252"/>
          </reference>
        </references>
      </pivotArea>
    </format>
    <format dxfId="6754">
      <pivotArea dataOnly="0" labelOnly="1" fieldPosition="0">
        <references count="5">
          <reference field="4" count="1" selected="0">
            <x v="0"/>
          </reference>
          <reference field="6" count="1" selected="0">
            <x v="1"/>
          </reference>
          <reference field="7" count="1" selected="0">
            <x v="23"/>
          </reference>
          <reference field="8" count="1" selected="0">
            <x v="104"/>
          </reference>
          <reference field="15" count="1">
            <x v="256"/>
          </reference>
        </references>
      </pivotArea>
    </format>
    <format dxfId="6753">
      <pivotArea dataOnly="0" labelOnly="1" fieldPosition="0">
        <references count="5">
          <reference field="4" count="1" selected="0">
            <x v="0"/>
          </reference>
          <reference field="6" count="1" selected="0">
            <x v="1"/>
          </reference>
          <reference field="7" count="1" selected="0">
            <x v="26"/>
          </reference>
          <reference field="8" count="1" selected="0">
            <x v="131"/>
          </reference>
          <reference field="15" count="1">
            <x v="13"/>
          </reference>
        </references>
      </pivotArea>
    </format>
    <format dxfId="6752">
      <pivotArea dataOnly="0" labelOnly="1" fieldPosition="0">
        <references count="5">
          <reference field="4" count="1" selected="0">
            <x v="1"/>
          </reference>
          <reference field="6" count="1" selected="0">
            <x v="0"/>
          </reference>
          <reference field="7" count="1" selected="0">
            <x v="19"/>
          </reference>
          <reference field="8" count="1" selected="0">
            <x v="81"/>
          </reference>
          <reference field="15" count="1">
            <x v="231"/>
          </reference>
        </references>
      </pivotArea>
    </format>
    <format dxfId="6751">
      <pivotArea dataOnly="0" labelOnly="1" fieldPosition="0">
        <references count="5">
          <reference field="4" count="1" selected="0">
            <x v="1"/>
          </reference>
          <reference field="6" count="1" selected="0">
            <x v="3"/>
          </reference>
          <reference field="7" count="1" selected="0">
            <x v="2"/>
          </reference>
          <reference field="8" count="1" selected="0">
            <x v="7"/>
          </reference>
          <reference field="15" count="5">
            <x v="117"/>
            <x v="124"/>
            <x v="131"/>
            <x v="380"/>
            <x v="400"/>
          </reference>
        </references>
      </pivotArea>
    </format>
    <format dxfId="6750">
      <pivotArea dataOnly="0" labelOnly="1" fieldPosition="0">
        <references count="5">
          <reference field="4" count="1" selected="0">
            <x v="1"/>
          </reference>
          <reference field="6" count="1" selected="0">
            <x v="3"/>
          </reference>
          <reference field="7" count="1" selected="0">
            <x v="2"/>
          </reference>
          <reference field="8" count="1" selected="0">
            <x v="10"/>
          </reference>
          <reference field="15" count="2">
            <x v="17"/>
            <x v="18"/>
          </reference>
        </references>
      </pivotArea>
    </format>
    <format dxfId="6749">
      <pivotArea dataOnly="0" labelOnly="1" fieldPosition="0">
        <references count="5">
          <reference field="4" count="1" selected="0">
            <x v="1"/>
          </reference>
          <reference field="6" count="1" selected="0">
            <x v="3"/>
          </reference>
          <reference field="7" count="1" selected="0">
            <x v="2"/>
          </reference>
          <reference field="8" count="1" selected="0">
            <x v="11"/>
          </reference>
          <reference field="15" count="2">
            <x v="7"/>
            <x v="8"/>
          </reference>
        </references>
      </pivotArea>
    </format>
    <format dxfId="6748">
      <pivotArea dataOnly="0" labelOnly="1" fieldPosition="0">
        <references count="5">
          <reference field="4" count="1" selected="0">
            <x v="1"/>
          </reference>
          <reference field="6" count="1" selected="0">
            <x v="3"/>
          </reference>
          <reference field="7" count="1" selected="0">
            <x v="2"/>
          </reference>
          <reference field="8" count="1" selected="0">
            <x v="12"/>
          </reference>
          <reference field="15" count="1">
            <x v="107"/>
          </reference>
        </references>
      </pivotArea>
    </format>
    <format dxfId="6747">
      <pivotArea dataOnly="0" labelOnly="1" fieldPosition="0">
        <references count="5">
          <reference field="4" count="1" selected="0">
            <x v="1"/>
          </reference>
          <reference field="6" count="1" selected="0">
            <x v="3"/>
          </reference>
          <reference field="7" count="1" selected="0">
            <x v="2"/>
          </reference>
          <reference field="8" count="1" selected="0">
            <x v="13"/>
          </reference>
          <reference field="15" count="1">
            <x v="6"/>
          </reference>
        </references>
      </pivotArea>
    </format>
    <format dxfId="6746">
      <pivotArea dataOnly="0" labelOnly="1" fieldPosition="0">
        <references count="5">
          <reference field="4" count="1" selected="0">
            <x v="1"/>
          </reference>
          <reference field="6" count="1" selected="0">
            <x v="3"/>
          </reference>
          <reference field="7" count="1" selected="0">
            <x v="2"/>
          </reference>
          <reference field="8" count="1" selected="0">
            <x v="14"/>
          </reference>
          <reference field="15" count="2">
            <x v="46"/>
            <x v="47"/>
          </reference>
        </references>
      </pivotArea>
    </format>
    <format dxfId="6745">
      <pivotArea dataOnly="0" labelOnly="1" fieldPosition="0">
        <references count="5">
          <reference field="4" count="1" selected="0">
            <x v="1"/>
          </reference>
          <reference field="6" count="1" selected="0">
            <x v="3"/>
          </reference>
          <reference field="7" count="1" selected="0">
            <x v="2"/>
          </reference>
          <reference field="8" count="1" selected="0">
            <x v="15"/>
          </reference>
          <reference field="15" count="1">
            <x v="372"/>
          </reference>
        </references>
      </pivotArea>
    </format>
    <format dxfId="6744">
      <pivotArea dataOnly="0" labelOnly="1" fieldPosition="0">
        <references count="5">
          <reference field="4" count="1" selected="0">
            <x v="1"/>
          </reference>
          <reference field="6" count="1" selected="0">
            <x v="3"/>
          </reference>
          <reference field="7" count="1" selected="0">
            <x v="3"/>
          </reference>
          <reference field="8" count="1" selected="0">
            <x v="18"/>
          </reference>
          <reference field="15" count="1">
            <x v="232"/>
          </reference>
        </references>
      </pivotArea>
    </format>
    <format dxfId="6743">
      <pivotArea dataOnly="0" labelOnly="1" fieldPosition="0">
        <references count="5">
          <reference field="4" count="1" selected="0">
            <x v="1"/>
          </reference>
          <reference field="6" count="1" selected="0">
            <x v="3"/>
          </reference>
          <reference field="7" count="1" selected="0">
            <x v="3"/>
          </reference>
          <reference field="8" count="1" selected="0">
            <x v="19"/>
          </reference>
          <reference field="15" count="1">
            <x v="9"/>
          </reference>
        </references>
      </pivotArea>
    </format>
    <format dxfId="6742">
      <pivotArea dataOnly="0" labelOnly="1" fieldPosition="0">
        <references count="5">
          <reference field="4" count="1" selected="0">
            <x v="1"/>
          </reference>
          <reference field="6" count="1" selected="0">
            <x v="3"/>
          </reference>
          <reference field="7" count="1" selected="0">
            <x v="4"/>
          </reference>
          <reference field="8" count="1" selected="0">
            <x v="20"/>
          </reference>
          <reference field="15" count="1">
            <x v="34"/>
          </reference>
        </references>
      </pivotArea>
    </format>
    <format dxfId="6741">
      <pivotArea dataOnly="0" labelOnly="1" fieldPosition="0">
        <references count="5">
          <reference field="4" count="1" selected="0">
            <x v="1"/>
          </reference>
          <reference field="6" count="1" selected="0">
            <x v="3"/>
          </reference>
          <reference field="7" count="1" selected="0">
            <x v="4"/>
          </reference>
          <reference field="8" count="1" selected="0">
            <x v="21"/>
          </reference>
          <reference field="15" count="1">
            <x v="98"/>
          </reference>
        </references>
      </pivotArea>
    </format>
    <format dxfId="6740">
      <pivotArea dataOnly="0" labelOnly="1" fieldPosition="0">
        <references count="5">
          <reference field="4" count="1" selected="0">
            <x v="1"/>
          </reference>
          <reference field="6" count="1" selected="0">
            <x v="4"/>
          </reference>
          <reference field="7" count="1" selected="0">
            <x v="8"/>
          </reference>
          <reference field="8" count="1" selected="0">
            <x v="33"/>
          </reference>
          <reference field="15" count="1">
            <x v="237"/>
          </reference>
        </references>
      </pivotArea>
    </format>
    <format dxfId="6739">
      <pivotArea dataOnly="0" labelOnly="1" fieldPosition="0">
        <references count="5">
          <reference field="4" count="1" selected="0">
            <x v="1"/>
          </reference>
          <reference field="6" count="1" selected="0">
            <x v="4"/>
          </reference>
          <reference field="7" count="1" selected="0">
            <x v="8"/>
          </reference>
          <reference field="8" count="1" selected="0">
            <x v="34"/>
          </reference>
          <reference field="15" count="1">
            <x v="373"/>
          </reference>
        </references>
      </pivotArea>
    </format>
    <format dxfId="6738">
      <pivotArea dataOnly="0" labelOnly="1" fieldPosition="0">
        <references count="5">
          <reference field="4" count="1" selected="0">
            <x v="1"/>
          </reference>
          <reference field="6" count="1" selected="0">
            <x v="4"/>
          </reference>
          <reference field="7" count="1" selected="0">
            <x v="8"/>
          </reference>
          <reference field="8" count="1" selected="0">
            <x v="39"/>
          </reference>
          <reference field="15" count="2">
            <x v="233"/>
            <x v="234"/>
          </reference>
        </references>
      </pivotArea>
    </format>
    <format dxfId="6737">
      <pivotArea dataOnly="0" labelOnly="1" fieldPosition="0">
        <references count="5">
          <reference field="4" count="1" selected="0">
            <x v="2"/>
          </reference>
          <reference field="6" count="1" selected="0">
            <x v="2"/>
          </reference>
          <reference field="7" count="1" selected="0">
            <x v="29"/>
          </reference>
          <reference field="8" count="1" selected="0">
            <x v="145"/>
          </reference>
          <reference field="15" count="1">
            <x v="377"/>
          </reference>
        </references>
      </pivotArea>
    </format>
    <format dxfId="6736">
      <pivotArea dataOnly="0" labelOnly="1" fieldPosition="0">
        <references count="5">
          <reference field="4" count="1" selected="0">
            <x v="2"/>
          </reference>
          <reference field="6" count="1" selected="0">
            <x v="2"/>
          </reference>
          <reference field="7" count="1" selected="0">
            <x v="29"/>
          </reference>
          <reference field="8" count="1" selected="0">
            <x v="146"/>
          </reference>
          <reference field="15" count="1">
            <x v="139"/>
          </reference>
        </references>
      </pivotArea>
    </format>
    <format dxfId="6735">
      <pivotArea dataOnly="0" labelOnly="1" fieldPosition="0">
        <references count="5">
          <reference field="4" count="1" selected="0">
            <x v="2"/>
          </reference>
          <reference field="6" count="1" selected="0">
            <x v="2"/>
          </reference>
          <reference field="7" count="1" selected="0">
            <x v="29"/>
          </reference>
          <reference field="8" count="1" selected="0">
            <x v="147"/>
          </reference>
          <reference field="15" count="1">
            <x v="127"/>
          </reference>
        </references>
      </pivotArea>
    </format>
    <format dxfId="6734">
      <pivotArea dataOnly="0" labelOnly="1" fieldPosition="0">
        <references count="5">
          <reference field="4" count="1" selected="0">
            <x v="2"/>
          </reference>
          <reference field="6" count="1" selected="0">
            <x v="2"/>
          </reference>
          <reference field="7" count="1" selected="0">
            <x v="29"/>
          </reference>
          <reference field="8" count="1" selected="0">
            <x v="148"/>
          </reference>
          <reference field="15" count="1">
            <x v="142"/>
          </reference>
        </references>
      </pivotArea>
    </format>
    <format dxfId="6733">
      <pivotArea dataOnly="0" labelOnly="1" fieldPosition="0">
        <references count="5">
          <reference field="4" count="1" selected="0">
            <x v="2"/>
          </reference>
          <reference field="6" count="1" selected="0">
            <x v="2"/>
          </reference>
          <reference field="7" count="1" selected="0">
            <x v="29"/>
          </reference>
          <reference field="8" count="1" selected="0">
            <x v="149"/>
          </reference>
          <reference field="15" count="1">
            <x v="140"/>
          </reference>
        </references>
      </pivotArea>
    </format>
    <format dxfId="6732">
      <pivotArea dataOnly="0" labelOnly="1" fieldPosition="0">
        <references count="5">
          <reference field="4" count="1" selected="0">
            <x v="2"/>
          </reference>
          <reference field="6" count="1" selected="0">
            <x v="2"/>
          </reference>
          <reference field="7" count="1" selected="0">
            <x v="29"/>
          </reference>
          <reference field="8" count="1" selected="0">
            <x v="150"/>
          </reference>
          <reference field="15" count="1">
            <x v="144"/>
          </reference>
        </references>
      </pivotArea>
    </format>
    <format dxfId="6731">
      <pivotArea dataOnly="0" labelOnly="1" fieldPosition="0">
        <references count="5">
          <reference field="4" count="1" selected="0">
            <x v="2"/>
          </reference>
          <reference field="6" count="1" selected="0">
            <x v="2"/>
          </reference>
          <reference field="7" count="1" selected="0">
            <x v="30"/>
          </reference>
          <reference field="8" count="1" selected="0">
            <x v="152"/>
          </reference>
          <reference field="15" count="2">
            <x v="128"/>
            <x v="129"/>
          </reference>
        </references>
      </pivotArea>
    </format>
    <format dxfId="6730">
      <pivotArea dataOnly="0" labelOnly="1" fieldPosition="0">
        <references count="5">
          <reference field="4" count="1" selected="0">
            <x v="2"/>
          </reference>
          <reference field="6" count="1" selected="0">
            <x v="2"/>
          </reference>
          <reference field="7" count="1" selected="0">
            <x v="30"/>
          </reference>
          <reference field="8" count="1" selected="0">
            <x v="153"/>
          </reference>
          <reference field="15" count="1">
            <x v="141"/>
          </reference>
        </references>
      </pivotArea>
    </format>
    <format dxfId="6729">
      <pivotArea dataOnly="0" labelOnly="1" fieldPosition="0">
        <references count="5">
          <reference field="4" count="1" selected="0">
            <x v="2"/>
          </reference>
          <reference field="6" count="1" selected="0">
            <x v="3"/>
          </reference>
          <reference field="7" count="1" selected="0">
            <x v="5"/>
          </reference>
          <reference field="8" count="1" selected="0">
            <x v="24"/>
          </reference>
          <reference field="15" count="1">
            <x v="339"/>
          </reference>
        </references>
      </pivotArea>
    </format>
    <format dxfId="6728">
      <pivotArea dataOnly="0" labelOnly="1" fieldPosition="0">
        <references count="5">
          <reference field="4" count="1" selected="0">
            <x v="2"/>
          </reference>
          <reference field="6" count="1" selected="0">
            <x v="3"/>
          </reference>
          <reference field="7" count="1" selected="0">
            <x v="7"/>
          </reference>
          <reference field="8" count="1" selected="0">
            <x v="31"/>
          </reference>
          <reference field="15" count="2">
            <x v="391"/>
            <x v="392"/>
          </reference>
        </references>
      </pivotArea>
    </format>
    <format dxfId="6727">
      <pivotArea dataOnly="0" labelOnly="1" fieldPosition="0">
        <references count="5">
          <reference field="4" count="1" selected="0">
            <x v="2"/>
          </reference>
          <reference field="6" count="1" selected="0">
            <x v="3"/>
          </reference>
          <reference field="7" count="1" selected="0">
            <x v="7"/>
          </reference>
          <reference field="8" count="1" selected="0">
            <x v="32"/>
          </reference>
          <reference field="15" count="1">
            <x v="371"/>
          </reference>
        </references>
      </pivotArea>
    </format>
    <format dxfId="6726">
      <pivotArea dataOnly="0" labelOnly="1" fieldPosition="0">
        <references count="5">
          <reference field="4" count="1" selected="0">
            <x v="2"/>
          </reference>
          <reference field="6" count="1" selected="0">
            <x v="4"/>
          </reference>
          <reference field="7" count="1" selected="0">
            <x v="8"/>
          </reference>
          <reference field="8" count="1" selected="0">
            <x v="36"/>
          </reference>
          <reference field="15" count="1">
            <x v="379"/>
          </reference>
        </references>
      </pivotArea>
    </format>
    <format dxfId="6725">
      <pivotArea dataOnly="0" labelOnly="1" fieldPosition="0">
        <references count="5">
          <reference field="4" count="1" selected="0">
            <x v="2"/>
          </reference>
          <reference field="6" count="1" selected="0">
            <x v="4"/>
          </reference>
          <reference field="7" count="1" selected="0">
            <x v="8"/>
          </reference>
          <reference field="8" count="1" selected="0">
            <x v="39"/>
          </reference>
          <reference field="15" count="1">
            <x v="378"/>
          </reference>
        </references>
      </pivotArea>
    </format>
    <format dxfId="6724">
      <pivotArea dataOnly="0" labelOnly="1" fieldPosition="0">
        <references count="5">
          <reference field="4" count="1" selected="0">
            <x v="3"/>
          </reference>
          <reference field="6" count="1" selected="0">
            <x v="3"/>
          </reference>
          <reference field="7" count="1" selected="0">
            <x v="6"/>
          </reference>
          <reference field="8" count="1" selected="0">
            <x v="29"/>
          </reference>
          <reference field="15" count="41">
            <x v="0"/>
            <x v="1"/>
            <x v="167"/>
            <x v="175"/>
            <x v="176"/>
            <x v="177"/>
            <x v="178"/>
            <x v="179"/>
            <x v="180"/>
            <x v="181"/>
            <x v="182"/>
            <x v="201"/>
            <x v="202"/>
            <x v="205"/>
            <x v="206"/>
            <x v="207"/>
            <x v="208"/>
            <x v="209"/>
            <x v="210"/>
            <x v="211"/>
            <x v="212"/>
            <x v="213"/>
            <x v="214"/>
            <x v="215"/>
            <x v="216"/>
            <x v="217"/>
            <x v="218"/>
            <x v="219"/>
            <x v="220"/>
            <x v="221"/>
            <x v="224"/>
            <x v="225"/>
            <x v="226"/>
            <x v="227"/>
            <x v="228"/>
            <x v="393"/>
            <x v="394"/>
            <x v="396"/>
            <x v="397"/>
            <x v="398"/>
            <x v="399"/>
          </reference>
        </references>
      </pivotArea>
    </format>
    <format dxfId="6723">
      <pivotArea dataOnly="0" labelOnly="1" fieldPosition="0">
        <references count="5">
          <reference field="4" count="1" selected="0">
            <x v="4"/>
          </reference>
          <reference field="6" count="1" selected="0">
            <x v="0"/>
          </reference>
          <reference field="7" count="1" selected="0">
            <x v="21"/>
          </reference>
          <reference field="8" count="1" selected="0">
            <x v="87"/>
          </reference>
          <reference field="15" count="8">
            <x v="126"/>
            <x v="293"/>
            <x v="305"/>
            <x v="306"/>
            <x v="317"/>
            <x v="388"/>
            <x v="389"/>
            <x v="390"/>
          </reference>
        </references>
      </pivotArea>
    </format>
    <format dxfId="6722">
      <pivotArea dataOnly="0" labelOnly="1" fieldPosition="0">
        <references count="5">
          <reference field="4" count="1" selected="0">
            <x v="4"/>
          </reference>
          <reference field="6" count="1" selected="0">
            <x v="0"/>
          </reference>
          <reference field="7" count="1" selected="0">
            <x v="21"/>
          </reference>
          <reference field="8" count="1" selected="0">
            <x v="88"/>
          </reference>
          <reference field="15" count="3">
            <x v="291"/>
            <x v="292"/>
            <x v="301"/>
          </reference>
        </references>
      </pivotArea>
    </format>
    <format dxfId="6721">
      <pivotArea dataOnly="0" labelOnly="1" fieldPosition="0">
        <references count="5">
          <reference field="4" count="1" selected="0">
            <x v="4"/>
          </reference>
          <reference field="6" count="1" selected="0">
            <x v="0"/>
          </reference>
          <reference field="7" count="1" selected="0">
            <x v="21"/>
          </reference>
          <reference field="8" count="1" selected="0">
            <x v="89"/>
          </reference>
          <reference field="15" count="1">
            <x v="310"/>
          </reference>
        </references>
      </pivotArea>
    </format>
    <format dxfId="6720">
      <pivotArea dataOnly="0" labelOnly="1" fieldPosition="0">
        <references count="5">
          <reference field="4" count="1" selected="0">
            <x v="4"/>
          </reference>
          <reference field="6" count="1" selected="0">
            <x v="0"/>
          </reference>
          <reference field="7" count="1" selected="0">
            <x v="21"/>
          </reference>
          <reference field="8" count="1" selected="0">
            <x v="90"/>
          </reference>
          <reference field="15" count="1">
            <x v="385"/>
          </reference>
        </references>
      </pivotArea>
    </format>
    <format dxfId="6719">
      <pivotArea dataOnly="0" labelOnly="1" fieldPosition="0">
        <references count="5">
          <reference field="4" count="1" selected="0">
            <x v="4"/>
          </reference>
          <reference field="6" count="1" selected="0">
            <x v="0"/>
          </reference>
          <reference field="7" count="1" selected="0">
            <x v="21"/>
          </reference>
          <reference field="8" count="1" selected="0">
            <x v="91"/>
          </reference>
          <reference field="15" count="2">
            <x v="264"/>
            <x v="265"/>
          </reference>
        </references>
      </pivotArea>
    </format>
    <format dxfId="6718">
      <pivotArea dataOnly="0" labelOnly="1" fieldPosition="0">
        <references count="5">
          <reference field="4" count="1" selected="0">
            <x v="4"/>
          </reference>
          <reference field="6" count="1" selected="0">
            <x v="1"/>
          </reference>
          <reference field="7" count="1" selected="0">
            <x v="24"/>
          </reference>
          <reference field="8" count="1" selected="0">
            <x v="114"/>
          </reference>
          <reference field="15" count="1">
            <x v="263"/>
          </reference>
        </references>
      </pivotArea>
    </format>
    <format dxfId="6717">
      <pivotArea dataOnly="0" labelOnly="1" fieldPosition="0">
        <references count="5">
          <reference field="4" count="1" selected="0">
            <x v="4"/>
          </reference>
          <reference field="6" count="1" selected="0">
            <x v="2"/>
          </reference>
          <reference field="7" count="1" selected="0">
            <x v="29"/>
          </reference>
          <reference field="8" count="1" selected="0">
            <x v="142"/>
          </reference>
          <reference field="15" count="1">
            <x v="283"/>
          </reference>
        </references>
      </pivotArea>
    </format>
    <format dxfId="6716">
      <pivotArea dataOnly="0" labelOnly="1" fieldPosition="0">
        <references count="5">
          <reference field="4" count="1" selected="0">
            <x v="4"/>
          </reference>
          <reference field="6" count="1" selected="0">
            <x v="2"/>
          </reference>
          <reference field="7" count="1" selected="0">
            <x v="29"/>
          </reference>
          <reference field="8" count="1" selected="0">
            <x v="143"/>
          </reference>
          <reference field="15" count="2">
            <x v="289"/>
            <x v="314"/>
          </reference>
        </references>
      </pivotArea>
    </format>
    <format dxfId="6715">
      <pivotArea dataOnly="0" labelOnly="1" fieldPosition="0">
        <references count="5">
          <reference field="4" count="1" selected="0">
            <x v="4"/>
          </reference>
          <reference field="6" count="1" selected="0">
            <x v="2"/>
          </reference>
          <reference field="7" count="1" selected="0">
            <x v="29"/>
          </reference>
          <reference field="8" count="1" selected="0">
            <x v="151"/>
          </reference>
          <reference field="15" count="1">
            <x v="387"/>
          </reference>
        </references>
      </pivotArea>
    </format>
    <format dxfId="6714">
      <pivotArea dataOnly="0" labelOnly="1" fieldPosition="0">
        <references count="5">
          <reference field="4" count="1" selected="0">
            <x v="4"/>
          </reference>
          <reference field="6" count="1" selected="0">
            <x v="2"/>
          </reference>
          <reference field="7" count="1" selected="0">
            <x v="31"/>
          </reference>
          <reference field="8" count="1" selected="0">
            <x v="155"/>
          </reference>
          <reference field="15" count="4">
            <x v="235"/>
            <x v="303"/>
            <x v="374"/>
            <x v="386"/>
          </reference>
        </references>
      </pivotArea>
    </format>
    <format dxfId="6713">
      <pivotArea dataOnly="0" labelOnly="1" fieldPosition="0">
        <references count="5">
          <reference field="4" count="1" selected="0">
            <x v="4"/>
          </reference>
          <reference field="6" count="1" selected="0">
            <x v="2"/>
          </reference>
          <reference field="7" count="1" selected="0">
            <x v="31"/>
          </reference>
          <reference field="8" count="1" selected="0">
            <x v="156"/>
          </reference>
          <reference field="15" count="1">
            <x v="304"/>
          </reference>
        </references>
      </pivotArea>
    </format>
    <format dxfId="6712">
      <pivotArea dataOnly="0" labelOnly="1" fieldPosition="0">
        <references count="5">
          <reference field="4" count="1" selected="0">
            <x v="4"/>
          </reference>
          <reference field="6" count="1" selected="0">
            <x v="2"/>
          </reference>
          <reference field="7" count="1" selected="0">
            <x v="31"/>
          </reference>
          <reference field="8" count="1" selected="0">
            <x v="157"/>
          </reference>
          <reference field="15" count="1">
            <x v="302"/>
          </reference>
        </references>
      </pivotArea>
    </format>
    <format dxfId="6711">
      <pivotArea dataOnly="0" labelOnly="1" fieldPosition="0">
        <references count="5">
          <reference field="4" count="1" selected="0">
            <x v="4"/>
          </reference>
          <reference field="6" count="1" selected="0">
            <x v="3"/>
          </reference>
          <reference field="7" count="1" selected="0">
            <x v="0"/>
          </reference>
          <reference field="8" count="1" selected="0">
            <x v="0"/>
          </reference>
          <reference field="15" count="2">
            <x v="125"/>
            <x v="269"/>
          </reference>
        </references>
      </pivotArea>
    </format>
    <format dxfId="6710">
      <pivotArea dataOnly="0" labelOnly="1" fieldPosition="0">
        <references count="5">
          <reference field="4" count="1" selected="0">
            <x v="4"/>
          </reference>
          <reference field="6" count="1" selected="0">
            <x v="3"/>
          </reference>
          <reference field="7" count="1" selected="0">
            <x v="0"/>
          </reference>
          <reference field="8" count="1" selected="0">
            <x v="1"/>
          </reference>
          <reference field="15" count="1">
            <x v="382"/>
          </reference>
        </references>
      </pivotArea>
    </format>
    <format dxfId="6709">
      <pivotArea dataOnly="0" labelOnly="1" fieldPosition="0">
        <references count="5">
          <reference field="4" count="1" selected="0">
            <x v="4"/>
          </reference>
          <reference field="6" count="1" selected="0">
            <x v="3"/>
          </reference>
          <reference field="7" count="1" selected="0">
            <x v="1"/>
          </reference>
          <reference field="8" count="1" selected="0">
            <x v="2"/>
          </reference>
          <reference field="15" count="1">
            <x v="282"/>
          </reference>
        </references>
      </pivotArea>
    </format>
    <format dxfId="6708">
      <pivotArea dataOnly="0" labelOnly="1" fieldPosition="0">
        <references count="5">
          <reference field="4" count="1" selected="0">
            <x v="4"/>
          </reference>
          <reference field="6" count="1" selected="0">
            <x v="3"/>
          </reference>
          <reference field="7" count="1" selected="0">
            <x v="1"/>
          </reference>
          <reference field="8" count="1" selected="0">
            <x v="3"/>
          </reference>
          <reference field="15" count="1">
            <x v="384"/>
          </reference>
        </references>
      </pivotArea>
    </format>
    <format dxfId="6707">
      <pivotArea dataOnly="0" labelOnly="1" fieldPosition="0">
        <references count="5">
          <reference field="4" count="1" selected="0">
            <x v="4"/>
          </reference>
          <reference field="6" count="1" selected="0">
            <x v="3"/>
          </reference>
          <reference field="7" count="1" selected="0">
            <x v="1"/>
          </reference>
          <reference field="8" count="1" selected="0">
            <x v="4"/>
          </reference>
          <reference field="15" count="1">
            <x v="298"/>
          </reference>
        </references>
      </pivotArea>
    </format>
    <format dxfId="6706">
      <pivotArea dataOnly="0" labelOnly="1" fieldPosition="0">
        <references count="5">
          <reference field="4" count="1" selected="0">
            <x v="4"/>
          </reference>
          <reference field="6" count="1" selected="0">
            <x v="3"/>
          </reference>
          <reference field="7" count="1" selected="0">
            <x v="1"/>
          </reference>
          <reference field="8" count="1" selected="0">
            <x v="5"/>
          </reference>
          <reference field="15" count="2">
            <x v="381"/>
            <x v="383"/>
          </reference>
        </references>
      </pivotArea>
    </format>
    <format dxfId="6705">
      <pivotArea dataOnly="0" labelOnly="1" fieldPosition="0">
        <references count="5">
          <reference field="4" count="1" selected="0">
            <x v="5"/>
          </reference>
          <reference field="6" count="1" selected="0">
            <x v="0"/>
          </reference>
          <reference field="7" count="1" selected="0">
            <x v="18"/>
          </reference>
          <reference field="8" count="1" selected="0">
            <x v="73"/>
          </reference>
          <reference field="15" count="3">
            <x v="245"/>
            <x v="246"/>
            <x v="313"/>
          </reference>
        </references>
      </pivotArea>
    </format>
    <format dxfId="6704">
      <pivotArea dataOnly="0" labelOnly="1" fieldPosition="0">
        <references count="5">
          <reference field="4" count="1" selected="0">
            <x v="5"/>
          </reference>
          <reference field="6" count="1" selected="0">
            <x v="0"/>
          </reference>
          <reference field="7" count="1" selected="0">
            <x v="18"/>
          </reference>
          <reference field="8" count="1" selected="0">
            <x v="74"/>
          </reference>
          <reference field="15" count="1">
            <x v="230"/>
          </reference>
        </references>
      </pivotArea>
    </format>
    <format dxfId="6703">
      <pivotArea dataOnly="0" labelOnly="1" fieldPosition="0">
        <references count="5">
          <reference field="4" count="1" selected="0">
            <x v="5"/>
          </reference>
          <reference field="6" count="1" selected="0">
            <x v="0"/>
          </reference>
          <reference field="7" count="1" selected="0">
            <x v="18"/>
          </reference>
          <reference field="8" count="1" selected="0">
            <x v="77"/>
          </reference>
          <reference field="15" count="2">
            <x v="276"/>
            <x v="277"/>
          </reference>
        </references>
      </pivotArea>
    </format>
    <format dxfId="6702">
      <pivotArea dataOnly="0" labelOnly="1" fieldPosition="0">
        <references count="5">
          <reference field="4" count="1" selected="0">
            <x v="5"/>
          </reference>
          <reference field="6" count="1" selected="0">
            <x v="0"/>
          </reference>
          <reference field="7" count="1" selected="0">
            <x v="22"/>
          </reference>
          <reference field="8" count="1" selected="0">
            <x v="94"/>
          </reference>
          <reference field="15" count="1">
            <x v="164"/>
          </reference>
        </references>
      </pivotArea>
    </format>
    <format dxfId="6701">
      <pivotArea dataOnly="0" labelOnly="1" fieldPosition="0">
        <references count="5">
          <reference field="4" count="1" selected="0">
            <x v="5"/>
          </reference>
          <reference field="6" count="1" selected="0">
            <x v="4"/>
          </reference>
          <reference field="7" count="1" selected="0">
            <x v="8"/>
          </reference>
          <reference field="8" count="1" selected="0">
            <x v="37"/>
          </reference>
          <reference field="15" count="1">
            <x v="222"/>
          </reference>
        </references>
      </pivotArea>
    </format>
    <format dxfId="6700">
      <pivotArea dataOnly="0" labelOnly="1" fieldPosition="0">
        <references count="5">
          <reference field="4" count="1" selected="0">
            <x v="6"/>
          </reference>
          <reference field="6" count="1" selected="0">
            <x v="1"/>
          </reference>
          <reference field="7" count="1" selected="0">
            <x v="24"/>
          </reference>
          <reference field="8" count="1" selected="0">
            <x v="105"/>
          </reference>
          <reference field="15" count="13">
            <x v="24"/>
            <x v="25"/>
            <x v="31"/>
            <x v="37"/>
            <x v="44"/>
            <x v="45"/>
            <x v="48"/>
            <x v="49"/>
            <x v="50"/>
            <x v="56"/>
            <x v="66"/>
            <x v="100"/>
            <x v="101"/>
          </reference>
        </references>
      </pivotArea>
    </format>
    <format dxfId="6699">
      <pivotArea dataOnly="0" labelOnly="1" fieldPosition="0">
        <references count="5">
          <reference field="4" count="1" selected="0">
            <x v="6"/>
          </reference>
          <reference field="6" count="1" selected="0">
            <x v="1"/>
          </reference>
          <reference field="7" count="1" selected="0">
            <x v="24"/>
          </reference>
          <reference field="8" count="1" selected="0">
            <x v="107"/>
          </reference>
          <reference field="15" count="3">
            <x v="118"/>
            <x v="123"/>
            <x v="165"/>
          </reference>
        </references>
      </pivotArea>
    </format>
    <format dxfId="6698">
      <pivotArea dataOnly="0" labelOnly="1" fieldPosition="0">
        <references count="5">
          <reference field="4" count="1" selected="0">
            <x v="6"/>
          </reference>
          <reference field="6" count="1" selected="0">
            <x v="1"/>
          </reference>
          <reference field="7" count="1" selected="0">
            <x v="24"/>
          </reference>
          <reference field="8" count="1" selected="0">
            <x v="108"/>
          </reference>
          <reference field="15" count="2">
            <x v="97"/>
            <x v="119"/>
          </reference>
        </references>
      </pivotArea>
    </format>
    <format dxfId="6697">
      <pivotArea dataOnly="0" labelOnly="1" fieldPosition="0">
        <references count="5">
          <reference field="4" count="1" selected="0">
            <x v="6"/>
          </reference>
          <reference field="6" count="1" selected="0">
            <x v="1"/>
          </reference>
          <reference field="7" count="1" selected="0">
            <x v="24"/>
          </reference>
          <reference field="8" count="1" selected="0">
            <x v="109"/>
          </reference>
          <reference field="15" count="2">
            <x v="96"/>
            <x v="327"/>
          </reference>
        </references>
      </pivotArea>
    </format>
    <format dxfId="6696">
      <pivotArea dataOnly="0" labelOnly="1" fieldPosition="0">
        <references count="5">
          <reference field="4" count="1" selected="0">
            <x v="6"/>
          </reference>
          <reference field="6" count="1" selected="0">
            <x v="1"/>
          </reference>
          <reference field="7" count="1" selected="0">
            <x v="24"/>
          </reference>
          <reference field="8" count="1" selected="0">
            <x v="110"/>
          </reference>
          <reference field="15" count="2">
            <x v="115"/>
            <x v="324"/>
          </reference>
        </references>
      </pivotArea>
    </format>
    <format dxfId="6695">
      <pivotArea dataOnly="0" labelOnly="1" fieldPosition="0">
        <references count="5">
          <reference field="4" count="1" selected="0">
            <x v="6"/>
          </reference>
          <reference field="6" count="1" selected="0">
            <x v="1"/>
          </reference>
          <reference field="7" count="1" selected="0">
            <x v="24"/>
          </reference>
          <reference field="8" count="1" selected="0">
            <x v="111"/>
          </reference>
          <reference field="15" count="1">
            <x v="326"/>
          </reference>
        </references>
      </pivotArea>
    </format>
    <format dxfId="6694">
      <pivotArea dataOnly="0" labelOnly="1" fieldPosition="0">
        <references count="5">
          <reference field="4" count="1" selected="0">
            <x v="6"/>
          </reference>
          <reference field="6" count="1" selected="0">
            <x v="1"/>
          </reference>
          <reference field="7" count="1" selected="0">
            <x v="24"/>
          </reference>
          <reference field="8" count="1" selected="0">
            <x v="112"/>
          </reference>
          <reference field="15" count="5">
            <x v="80"/>
            <x v="120"/>
            <x v="121"/>
            <x v="122"/>
            <x v="135"/>
          </reference>
        </references>
      </pivotArea>
    </format>
    <format dxfId="6693">
      <pivotArea dataOnly="0" labelOnly="1" fieldPosition="0">
        <references count="5">
          <reference field="4" count="1" selected="0">
            <x v="6"/>
          </reference>
          <reference field="6" count="1" selected="0">
            <x v="1"/>
          </reference>
          <reference field="7" count="1" selected="0">
            <x v="24"/>
          </reference>
          <reference field="8" count="1" selected="0">
            <x v="113"/>
          </reference>
          <reference field="15" count="3">
            <x v="67"/>
            <x v="84"/>
            <x v="166"/>
          </reference>
        </references>
      </pivotArea>
    </format>
    <format dxfId="6692">
      <pivotArea dataOnly="0" labelOnly="1" fieldPosition="0">
        <references count="5">
          <reference field="4" count="1" selected="0">
            <x v="7"/>
          </reference>
          <reference field="6" count="1" selected="0">
            <x v="0"/>
          </reference>
          <reference field="7" count="1" selected="0">
            <x v="16"/>
          </reference>
          <reference field="8" count="1" selected="0">
            <x v="64"/>
          </reference>
          <reference field="15" count="3">
            <x v="274"/>
            <x v="278"/>
            <x v="325"/>
          </reference>
        </references>
      </pivotArea>
    </format>
    <format dxfId="6691">
      <pivotArea dataOnly="0" labelOnly="1" fieldPosition="0">
        <references count="5">
          <reference field="4" count="1" selected="0">
            <x v="7"/>
          </reference>
          <reference field="6" count="1" selected="0">
            <x v="2"/>
          </reference>
          <reference field="7" count="1" selected="0">
            <x v="29"/>
          </reference>
          <reference field="8" count="1" selected="0">
            <x v="140"/>
          </reference>
          <reference field="15" count="1">
            <x v="53"/>
          </reference>
        </references>
      </pivotArea>
    </format>
    <format dxfId="6690">
      <pivotArea dataOnly="0" labelOnly="1" fieldPosition="0">
        <references count="5">
          <reference field="4" count="1" selected="0">
            <x v="7"/>
          </reference>
          <reference field="6" count="1" selected="0">
            <x v="2"/>
          </reference>
          <reference field="7" count="1" selected="0">
            <x v="29"/>
          </reference>
          <reference field="8" count="1" selected="0">
            <x v="141"/>
          </reference>
          <reference field="15" count="1">
            <x v="279"/>
          </reference>
        </references>
      </pivotArea>
    </format>
    <format dxfId="6689">
      <pivotArea dataOnly="0" labelOnly="1" fieldPosition="0">
        <references count="5">
          <reference field="4" count="1" selected="0">
            <x v="7"/>
          </reference>
          <reference field="6" count="1" selected="0">
            <x v="2"/>
          </reference>
          <reference field="7" count="1" selected="0">
            <x v="29"/>
          </reference>
          <reference field="8" count="1" selected="0">
            <x v="144"/>
          </reference>
          <reference field="15" count="1">
            <x v="52"/>
          </reference>
        </references>
      </pivotArea>
    </format>
    <format dxfId="6688">
      <pivotArea dataOnly="0" labelOnly="1" fieldPosition="0">
        <references count="5">
          <reference field="4" count="1" selected="0">
            <x v="7"/>
          </reference>
          <reference field="6" count="1" selected="0">
            <x v="2"/>
          </reference>
          <reference field="7" count="1" selected="0">
            <x v="29"/>
          </reference>
          <reference field="8" count="1" selected="0">
            <x v="145"/>
          </reference>
          <reference field="15" count="1">
            <x v="51"/>
          </reference>
        </references>
      </pivotArea>
    </format>
    <format dxfId="6687">
      <pivotArea dataOnly="0" labelOnly="1" fieldPosition="0">
        <references count="5">
          <reference field="4" count="1" selected="0">
            <x v="7"/>
          </reference>
          <reference field="6" count="1" selected="0">
            <x v="2"/>
          </reference>
          <reference field="7" count="1" selected="0">
            <x v="30"/>
          </reference>
          <reference field="8" count="1" selected="0">
            <x v="154"/>
          </reference>
          <reference field="15" count="1">
            <x v="275"/>
          </reference>
        </references>
      </pivotArea>
    </format>
    <format dxfId="6686">
      <pivotArea dataOnly="0" labelOnly="1" fieldPosition="0">
        <references count="5">
          <reference field="4" count="1" selected="0">
            <x v="7"/>
          </reference>
          <reference field="6" count="1" selected="0">
            <x v="3"/>
          </reference>
          <reference field="7" count="1" selected="0">
            <x v="6"/>
          </reference>
          <reference field="8" count="1" selected="0">
            <x v="28"/>
          </reference>
          <reference field="15" count="3">
            <x v="318"/>
            <x v="319"/>
            <x v="320"/>
          </reference>
        </references>
      </pivotArea>
    </format>
    <format dxfId="6685">
      <pivotArea dataOnly="0" labelOnly="1" fieldPosition="0">
        <references count="5">
          <reference field="4" count="1" selected="0">
            <x v="7"/>
          </reference>
          <reference field="6" count="1" selected="0">
            <x v="4"/>
          </reference>
          <reference field="7" count="1" selected="0">
            <x v="8"/>
          </reference>
          <reference field="8" count="1" selected="0">
            <x v="35"/>
          </reference>
          <reference field="15" count="1">
            <x v="337"/>
          </reference>
        </references>
      </pivotArea>
    </format>
    <format dxfId="6684">
      <pivotArea dataOnly="0" labelOnly="1" fieldPosition="0">
        <references count="5">
          <reference field="4" count="1" selected="0">
            <x v="7"/>
          </reference>
          <reference field="6" count="1" selected="0">
            <x v="4"/>
          </reference>
          <reference field="7" count="1" selected="0">
            <x v="8"/>
          </reference>
          <reference field="8" count="1" selected="0">
            <x v="36"/>
          </reference>
          <reference field="15" count="1">
            <x v="280"/>
          </reference>
        </references>
      </pivotArea>
    </format>
    <format dxfId="6683">
      <pivotArea dataOnly="0" labelOnly="1" fieldPosition="0">
        <references count="5">
          <reference field="4" count="1" selected="0">
            <x v="7"/>
          </reference>
          <reference field="6" count="1" selected="0">
            <x v="4"/>
          </reference>
          <reference field="7" count="1" selected="0">
            <x v="9"/>
          </reference>
          <reference field="8" count="1" selected="0">
            <x v="40"/>
          </reference>
          <reference field="15" count="3">
            <x v="311"/>
            <x v="312"/>
            <x v="334"/>
          </reference>
        </references>
      </pivotArea>
    </format>
    <format dxfId="6682">
      <pivotArea dataOnly="0" labelOnly="1" fieldPosition="0">
        <references count="5">
          <reference field="4" count="1" selected="0">
            <x v="7"/>
          </reference>
          <reference field="6" count="1" selected="0">
            <x v="4"/>
          </reference>
          <reference field="7" count="1" selected="0">
            <x v="9"/>
          </reference>
          <reference field="8" count="1" selected="0">
            <x v="41"/>
          </reference>
          <reference field="15" count="1">
            <x v="328"/>
          </reference>
        </references>
      </pivotArea>
    </format>
    <format dxfId="6681">
      <pivotArea dataOnly="0" labelOnly="1" fieldPosition="0">
        <references count="5">
          <reference field="4" count="1" selected="0">
            <x v="7"/>
          </reference>
          <reference field="6" count="1" selected="0">
            <x v="4"/>
          </reference>
          <reference field="7" count="1" selected="0">
            <x v="9"/>
          </reference>
          <reference field="8" count="1" selected="0">
            <x v="42"/>
          </reference>
          <reference field="15" count="1">
            <x v="329"/>
          </reference>
        </references>
      </pivotArea>
    </format>
    <format dxfId="6680">
      <pivotArea dataOnly="0" labelOnly="1" fieldPosition="0">
        <references count="5">
          <reference field="4" count="1" selected="0">
            <x v="7"/>
          </reference>
          <reference field="6" count="1" selected="0">
            <x v="4"/>
          </reference>
          <reference field="7" count="1" selected="0">
            <x v="9"/>
          </reference>
          <reference field="8" count="1" selected="0">
            <x v="43"/>
          </reference>
          <reference field="15" count="1">
            <x v="321"/>
          </reference>
        </references>
      </pivotArea>
    </format>
    <format dxfId="6679">
      <pivotArea dataOnly="0" labelOnly="1" fieldPosition="0">
        <references count="5">
          <reference field="4" count="1" selected="0">
            <x v="7"/>
          </reference>
          <reference field="6" count="1" selected="0">
            <x v="4"/>
          </reference>
          <reference field="7" count="1" selected="0">
            <x v="10"/>
          </reference>
          <reference field="8" count="1" selected="0">
            <x v="44"/>
          </reference>
          <reference field="15" count="2">
            <x v="57"/>
            <x v="58"/>
          </reference>
        </references>
      </pivotArea>
    </format>
    <format dxfId="6678">
      <pivotArea dataOnly="0" labelOnly="1" fieldPosition="0">
        <references count="5">
          <reference field="4" count="1" selected="0">
            <x v="7"/>
          </reference>
          <reference field="6" count="1" selected="0">
            <x v="4"/>
          </reference>
          <reference field="7" count="1" selected="0">
            <x v="10"/>
          </reference>
          <reference field="8" count="1" selected="0">
            <x v="45"/>
          </reference>
          <reference field="15" count="1">
            <x v="55"/>
          </reference>
        </references>
      </pivotArea>
    </format>
    <format dxfId="6677">
      <pivotArea dataOnly="0" labelOnly="1" fieldPosition="0">
        <references count="5">
          <reference field="4" count="1" selected="0">
            <x v="7"/>
          </reference>
          <reference field="6" count="1" selected="0">
            <x v="4"/>
          </reference>
          <reference field="7" count="1" selected="0">
            <x v="10"/>
          </reference>
          <reference field="8" count="1" selected="0">
            <x v="46"/>
          </reference>
          <reference field="15" count="1">
            <x v="59"/>
          </reference>
        </references>
      </pivotArea>
    </format>
    <format dxfId="6676">
      <pivotArea dataOnly="0" labelOnly="1" fieldPosition="0">
        <references count="5">
          <reference field="4" count="1" selected="0">
            <x v="7"/>
          </reference>
          <reference field="6" count="1" selected="0">
            <x v="4"/>
          </reference>
          <reference field="7" count="1" selected="0">
            <x v="10"/>
          </reference>
          <reference field="8" count="1" selected="0">
            <x v="47"/>
          </reference>
          <reference field="15" count="1">
            <x v="54"/>
          </reference>
        </references>
      </pivotArea>
    </format>
    <format dxfId="6675">
      <pivotArea dataOnly="0" labelOnly="1" fieldPosition="0">
        <references count="5">
          <reference field="4" count="1" selected="0">
            <x v="7"/>
          </reference>
          <reference field="6" count="1" selected="0">
            <x v="4"/>
          </reference>
          <reference field="7" count="1" selected="0">
            <x v="11"/>
          </reference>
          <reference field="8" count="1" selected="0">
            <x v="48"/>
          </reference>
          <reference field="15" count="1">
            <x v="88"/>
          </reference>
        </references>
      </pivotArea>
    </format>
    <format dxfId="6674">
      <pivotArea dataOnly="0" labelOnly="1" fieldPosition="0">
        <references count="5">
          <reference field="4" count="1" selected="0">
            <x v="7"/>
          </reference>
          <reference field="6" count="1" selected="0">
            <x v="4"/>
          </reference>
          <reference field="7" count="1" selected="0">
            <x v="11"/>
          </reference>
          <reference field="8" count="1" selected="0">
            <x v="49"/>
          </reference>
          <reference field="15" count="1">
            <x v="86"/>
          </reference>
        </references>
      </pivotArea>
    </format>
    <format dxfId="6673">
      <pivotArea dataOnly="0" labelOnly="1" fieldPosition="0">
        <references count="5">
          <reference field="4" count="1" selected="0">
            <x v="7"/>
          </reference>
          <reference field="6" count="1" selected="0">
            <x v="4"/>
          </reference>
          <reference field="7" count="1" selected="0">
            <x v="12"/>
          </reference>
          <reference field="8" count="1" selected="0">
            <x v="50"/>
          </reference>
          <reference field="15" count="3">
            <x v="64"/>
            <x v="65"/>
            <x v="136"/>
          </reference>
        </references>
      </pivotArea>
    </format>
    <format dxfId="6672">
      <pivotArea dataOnly="0" labelOnly="1" fieldPosition="0">
        <references count="5">
          <reference field="4" count="1" selected="0">
            <x v="7"/>
          </reference>
          <reference field="6" count="1" selected="0">
            <x v="4"/>
          </reference>
          <reference field="7" count="1" selected="0">
            <x v="13"/>
          </reference>
          <reference field="8" count="1" selected="0">
            <x v="51"/>
          </reference>
          <reference field="15" count="1">
            <x v="307"/>
          </reference>
        </references>
      </pivotArea>
    </format>
    <format dxfId="6671">
      <pivotArea dataOnly="0" labelOnly="1" fieldPosition="0">
        <references count="5">
          <reference field="4" count="1" selected="0">
            <x v="7"/>
          </reference>
          <reference field="6" count="1" selected="0">
            <x v="4"/>
          </reference>
          <reference field="7" count="1" selected="0">
            <x v="13"/>
          </reference>
          <reference field="8" count="1" selected="0">
            <x v="52"/>
          </reference>
          <reference field="15" count="1">
            <x v="309"/>
          </reference>
        </references>
      </pivotArea>
    </format>
    <format dxfId="6670">
      <pivotArea dataOnly="0" labelOnly="1" fieldPosition="0">
        <references count="5">
          <reference field="4" count="1" selected="0">
            <x v="7"/>
          </reference>
          <reference field="6" count="1" selected="0">
            <x v="4"/>
          </reference>
          <reference field="7" count="1" selected="0">
            <x v="13"/>
          </reference>
          <reference field="8" count="1" selected="0">
            <x v="53"/>
          </reference>
          <reference field="15" count="1">
            <x v="308"/>
          </reference>
        </references>
      </pivotArea>
    </format>
    <format dxfId="6669">
      <pivotArea dataOnly="0" labelOnly="1" fieldPosition="0">
        <references count="5">
          <reference field="4" count="1" selected="0">
            <x v="7"/>
          </reference>
          <reference field="6" count="1" selected="0">
            <x v="4"/>
          </reference>
          <reference field="7" count="1" selected="0">
            <x v="14"/>
          </reference>
          <reference field="8" count="1" selected="0">
            <x v="54"/>
          </reference>
          <reference field="15" count="1">
            <x v="281"/>
          </reference>
        </references>
      </pivotArea>
    </format>
    <format dxfId="6668">
      <pivotArea dataOnly="0" labelOnly="1" fieldPosition="0">
        <references count="5">
          <reference field="4" count="1" selected="0">
            <x v="7"/>
          </reference>
          <reference field="6" count="1" selected="0">
            <x v="4"/>
          </reference>
          <reference field="7" count="1" selected="0">
            <x v="14"/>
          </reference>
          <reference field="8" count="1" selected="0">
            <x v="55"/>
          </reference>
          <reference field="15" count="1">
            <x v="138"/>
          </reference>
        </references>
      </pivotArea>
    </format>
    <format dxfId="6667">
      <pivotArea dataOnly="0" labelOnly="1" fieldPosition="0">
        <references count="5">
          <reference field="4" count="1" selected="0">
            <x v="7"/>
          </reference>
          <reference field="6" count="1" selected="0">
            <x v="4"/>
          </reference>
          <reference field="7" count="1" selected="0">
            <x v="15"/>
          </reference>
          <reference field="8" count="1" selected="0">
            <x v="56"/>
          </reference>
          <reference field="15" count="2">
            <x v="335"/>
            <x v="336"/>
          </reference>
        </references>
      </pivotArea>
    </format>
    <format dxfId="6666">
      <pivotArea dataOnly="0" labelOnly="1" fieldPosition="0">
        <references count="5">
          <reference field="4" count="1" selected="0">
            <x v="8"/>
          </reference>
          <reference field="6" count="1" selected="0">
            <x v="0"/>
          </reference>
          <reference field="7" count="1" selected="0">
            <x v="18"/>
          </reference>
          <reference field="8" count="1" selected="0">
            <x v="77"/>
          </reference>
          <reference field="15" count="1">
            <x v="290"/>
          </reference>
        </references>
      </pivotArea>
    </format>
    <format dxfId="6665">
      <pivotArea dataOnly="0" labelOnly="1" fieldPosition="0">
        <references count="5">
          <reference field="4" count="1" selected="0">
            <x v="8"/>
          </reference>
          <reference field="6" count="1" selected="0">
            <x v="0"/>
          </reference>
          <reference field="7" count="1" selected="0">
            <x v="22"/>
          </reference>
          <reference field="8" count="1" selected="0">
            <x v="92"/>
          </reference>
          <reference field="15" count="4">
            <x v="130"/>
            <x v="359"/>
            <x v="360"/>
            <x v="361"/>
          </reference>
        </references>
      </pivotArea>
    </format>
    <format dxfId="6664">
      <pivotArea dataOnly="0" labelOnly="1" fieldPosition="0">
        <references count="5">
          <reference field="4" count="1" selected="0">
            <x v="8"/>
          </reference>
          <reference field="6" count="1" selected="0">
            <x v="0"/>
          </reference>
          <reference field="7" count="1" selected="0">
            <x v="22"/>
          </reference>
          <reference field="8" count="1" selected="0">
            <x v="93"/>
          </reference>
          <reference field="15" count="1">
            <x v="369"/>
          </reference>
        </references>
      </pivotArea>
    </format>
    <format dxfId="6663">
      <pivotArea dataOnly="0" labelOnly="1" fieldPosition="0">
        <references count="5">
          <reference field="4" count="1" selected="0">
            <x v="8"/>
          </reference>
          <reference field="6" count="1" selected="0">
            <x v="0"/>
          </reference>
          <reference field="7" count="1" selected="0">
            <x v="22"/>
          </reference>
          <reference field="8" count="1" selected="0">
            <x v="94"/>
          </reference>
          <reference field="15" count="1">
            <x v="273"/>
          </reference>
        </references>
      </pivotArea>
    </format>
    <format dxfId="6662">
      <pivotArea dataOnly="0" labelOnly="1" fieldPosition="0">
        <references count="5">
          <reference field="4" count="1" selected="0">
            <x v="8"/>
          </reference>
          <reference field="6" count="1" selected="0">
            <x v="1"/>
          </reference>
          <reference field="7" count="1" selected="0">
            <x v="28"/>
          </reference>
          <reference field="8" count="1" selected="0">
            <x v="138"/>
          </reference>
          <reference field="15" count="3">
            <x v="270"/>
            <x v="343"/>
            <x v="355"/>
          </reference>
        </references>
      </pivotArea>
    </format>
    <format dxfId="6661">
      <pivotArea dataOnly="0" labelOnly="1" fieldPosition="0">
        <references count="5">
          <reference field="4" count="1" selected="0">
            <x v="8"/>
          </reference>
          <reference field="6" count="1" selected="0">
            <x v="1"/>
          </reference>
          <reference field="7" count="1" selected="0">
            <x v="28"/>
          </reference>
          <reference field="8" count="1" selected="0">
            <x v="139"/>
          </reference>
          <reference field="15" count="1">
            <x v="147"/>
          </reference>
        </references>
      </pivotArea>
    </format>
    <format dxfId="6660">
      <pivotArea dataOnly="0" labelOnly="1" fieldPosition="0">
        <references count="5">
          <reference field="4" count="1" selected="0">
            <x v="8"/>
          </reference>
          <reference field="6" count="1" selected="0">
            <x v="2"/>
          </reference>
          <reference field="7" count="1" selected="0">
            <x v="32"/>
          </reference>
          <reference field="8" count="1" selected="0">
            <x v="158"/>
          </reference>
          <reference field="15" count="1">
            <x v="344"/>
          </reference>
        </references>
      </pivotArea>
    </format>
    <format dxfId="6659">
      <pivotArea dataOnly="0" labelOnly="1" fieldPosition="0">
        <references count="5">
          <reference field="4" count="1" selected="0">
            <x v="8"/>
          </reference>
          <reference field="6" count="1" selected="0">
            <x v="2"/>
          </reference>
          <reference field="7" count="1" selected="0">
            <x v="32"/>
          </reference>
          <reference field="8" count="1" selected="0">
            <x v="159"/>
          </reference>
          <reference field="15" count="1">
            <x v="137"/>
          </reference>
        </references>
      </pivotArea>
    </format>
    <format dxfId="6658">
      <pivotArea dataOnly="0" labelOnly="1" fieldPosition="0">
        <references count="5">
          <reference field="4" count="1" selected="0">
            <x v="8"/>
          </reference>
          <reference field="6" count="1" selected="0">
            <x v="3"/>
          </reference>
          <reference field="7" count="1" selected="0">
            <x v="6"/>
          </reference>
          <reference field="8" count="1" selected="0">
            <x v="29"/>
          </reference>
          <reference field="15" count="4">
            <x v="145"/>
            <x v="146"/>
            <x v="356"/>
            <x v="357"/>
          </reference>
        </references>
      </pivotArea>
    </format>
    <format dxfId="6657">
      <pivotArea dataOnly="0" labelOnly="1" fieldPosition="0">
        <references count="5">
          <reference field="4" count="1" selected="0">
            <x v="8"/>
          </reference>
          <reference field="6" count="1" selected="0">
            <x v="3"/>
          </reference>
          <reference field="7" count="1" selected="0">
            <x v="6"/>
          </reference>
          <reference field="8" count="1" selected="0">
            <x v="30"/>
          </reference>
          <reference field="15" count="2">
            <x v="267"/>
            <x v="268"/>
          </reference>
        </references>
      </pivotArea>
    </format>
    <format dxfId="6656">
      <pivotArea dataOnly="0" labelOnly="1" fieldPosition="0">
        <references count="5">
          <reference field="4" count="1" selected="0">
            <x v="9"/>
          </reference>
          <reference field="6" count="1" selected="0">
            <x v="1"/>
          </reference>
          <reference field="7" count="1" selected="0">
            <x v="25"/>
          </reference>
          <reference field="8" count="1" selected="0">
            <x v="115"/>
          </reference>
          <reference field="15" count="13">
            <x v="35"/>
            <x v="36"/>
            <x v="63"/>
            <x v="72"/>
            <x v="77"/>
            <x v="238"/>
            <x v="241"/>
            <x v="242"/>
            <x v="243"/>
            <x v="247"/>
            <x v="248"/>
            <x v="260"/>
            <x v="262"/>
          </reference>
        </references>
      </pivotArea>
    </format>
    <format dxfId="6655">
      <pivotArea dataOnly="0" labelOnly="1" fieldPosition="0">
        <references count="5">
          <reference field="4" count="1" selected="0">
            <x v="9"/>
          </reference>
          <reference field="6" count="1" selected="0">
            <x v="1"/>
          </reference>
          <reference field="7" count="1" selected="0">
            <x v="25"/>
          </reference>
          <reference field="8" count="1" selected="0">
            <x v="116"/>
          </reference>
          <reference field="15" count="1">
            <x v="61"/>
          </reference>
        </references>
      </pivotArea>
    </format>
    <format dxfId="6654">
      <pivotArea dataOnly="0" labelOnly="1" fieldPosition="0">
        <references count="5">
          <reference field="4" count="1" selected="0">
            <x v="9"/>
          </reference>
          <reference field="6" count="1" selected="0">
            <x v="1"/>
          </reference>
          <reference field="7" count="1" selected="0">
            <x v="25"/>
          </reference>
          <reference field="8" count="1" selected="0">
            <x v="117"/>
          </reference>
          <reference field="15" count="2">
            <x v="92"/>
            <x v="249"/>
          </reference>
        </references>
      </pivotArea>
    </format>
    <format dxfId="6653">
      <pivotArea dataOnly="0" labelOnly="1" fieldPosition="0">
        <references count="5">
          <reference field="4" count="1" selected="0">
            <x v="9"/>
          </reference>
          <reference field="6" count="1" selected="0">
            <x v="1"/>
          </reference>
          <reference field="7" count="1" selected="0">
            <x v="25"/>
          </reference>
          <reference field="8" count="1" selected="0">
            <x v="118"/>
          </reference>
          <reference field="15" count="3">
            <x v="71"/>
            <x v="87"/>
            <x v="91"/>
          </reference>
        </references>
      </pivotArea>
    </format>
    <format dxfId="6652">
      <pivotArea dataOnly="0" labelOnly="1" fieldPosition="0">
        <references count="5">
          <reference field="4" count="1" selected="0">
            <x v="9"/>
          </reference>
          <reference field="6" count="1" selected="0">
            <x v="1"/>
          </reference>
          <reference field="7" count="1" selected="0">
            <x v="25"/>
          </reference>
          <reference field="8" count="1" selected="0">
            <x v="119"/>
          </reference>
          <reference field="15" count="4">
            <x v="62"/>
            <x v="68"/>
            <x v="69"/>
            <x v="70"/>
          </reference>
        </references>
      </pivotArea>
    </format>
    <format dxfId="6651">
      <pivotArea dataOnly="0" labelOnly="1" fieldPosition="0">
        <references count="5">
          <reference field="4" count="1" selected="0">
            <x v="9"/>
          </reference>
          <reference field="6" count="1" selected="0">
            <x v="1"/>
          </reference>
          <reference field="7" count="1" selected="0">
            <x v="25"/>
          </reference>
          <reference field="8" count="1" selected="0">
            <x v="120"/>
          </reference>
          <reference field="15" count="1">
            <x v="85"/>
          </reference>
        </references>
      </pivotArea>
    </format>
    <format dxfId="6650">
      <pivotArea dataOnly="0" labelOnly="1" fieldPosition="0">
        <references count="5">
          <reference field="4" count="1" selected="0">
            <x v="9"/>
          </reference>
          <reference field="6" count="1" selected="0">
            <x v="1"/>
          </reference>
          <reference field="7" count="1" selected="0">
            <x v="25"/>
          </reference>
          <reference field="8" count="1" selected="0">
            <x v="121"/>
          </reference>
          <reference field="15" count="2">
            <x v="41"/>
            <x v="78"/>
          </reference>
        </references>
      </pivotArea>
    </format>
    <format dxfId="6649">
      <pivotArea dataOnly="0" labelOnly="1" fieldPosition="0">
        <references count="5">
          <reference field="4" count="1" selected="0">
            <x v="9"/>
          </reference>
          <reference field="6" count="1" selected="0">
            <x v="1"/>
          </reference>
          <reference field="7" count="1" selected="0">
            <x v="25"/>
          </reference>
          <reference field="8" count="1" selected="0">
            <x v="122"/>
          </reference>
          <reference field="15" count="2">
            <x v="38"/>
            <x v="39"/>
          </reference>
        </references>
      </pivotArea>
    </format>
    <format dxfId="6648">
      <pivotArea dataOnly="0" labelOnly="1" fieldPosition="0">
        <references count="5">
          <reference field="4" count="1" selected="0">
            <x v="9"/>
          </reference>
          <reference field="6" count="1" selected="0">
            <x v="1"/>
          </reference>
          <reference field="7" count="1" selected="0">
            <x v="25"/>
          </reference>
          <reference field="8" count="1" selected="0">
            <x v="123"/>
          </reference>
          <reference field="15" count="7">
            <x v="32"/>
            <x v="33"/>
            <x v="60"/>
            <x v="82"/>
            <x v="83"/>
            <x v="89"/>
            <x v="90"/>
          </reference>
        </references>
      </pivotArea>
    </format>
    <format dxfId="6647">
      <pivotArea dataOnly="0" labelOnly="1" fieldPosition="0">
        <references count="5">
          <reference field="4" count="1" selected="0">
            <x v="9"/>
          </reference>
          <reference field="6" count="1" selected="0">
            <x v="1"/>
          </reference>
          <reference field="7" count="1" selected="0">
            <x v="25"/>
          </reference>
          <reference field="8" count="1" selected="0">
            <x v="124"/>
          </reference>
          <reference field="15" count="1">
            <x v="261"/>
          </reference>
        </references>
      </pivotArea>
    </format>
    <format dxfId="6646">
      <pivotArea dataOnly="0" labelOnly="1" fieldPosition="0">
        <references count="5">
          <reference field="4" count="1" selected="0">
            <x v="10"/>
          </reference>
          <reference field="6" count="1" selected="0">
            <x v="3"/>
          </reference>
          <reference field="7" count="1" selected="0">
            <x v="6"/>
          </reference>
          <reference field="8" count="1" selected="0">
            <x v="29"/>
          </reference>
          <reference field="15" count="21">
            <x v="2"/>
            <x v="3"/>
            <x v="5"/>
            <x v="152"/>
            <x v="153"/>
            <x v="154"/>
            <x v="155"/>
            <x v="156"/>
            <x v="157"/>
            <x v="158"/>
            <x v="159"/>
            <x v="160"/>
            <x v="161"/>
            <x v="162"/>
            <x v="163"/>
            <x v="189"/>
            <x v="190"/>
            <x v="191"/>
            <x v="192"/>
            <x v="193"/>
            <x v="395"/>
          </reference>
        </references>
      </pivotArea>
    </format>
    <format dxfId="6645">
      <pivotArea dataOnly="0" labelOnly="1" fieldPosition="0">
        <references count="5">
          <reference field="4" count="1" selected="0">
            <x v="11"/>
          </reference>
          <reference field="6" count="1" selected="0">
            <x v="0"/>
          </reference>
          <reference field="7" count="1" selected="0">
            <x v="17"/>
          </reference>
          <reference field="8" count="1" selected="0">
            <x v="70"/>
          </reference>
          <reference field="15" count="4">
            <x v="345"/>
            <x v="346"/>
            <x v="347"/>
            <x v="351"/>
          </reference>
        </references>
      </pivotArea>
    </format>
    <format dxfId="6644">
      <pivotArea dataOnly="0" labelOnly="1" fieldPosition="0">
        <references count="5">
          <reference field="4" count="1" selected="0">
            <x v="11"/>
          </reference>
          <reference field="6" count="1" selected="0">
            <x v="0"/>
          </reference>
          <reference field="7" count="1" selected="0">
            <x v="17"/>
          </reference>
          <reference field="8" count="1" selected="0">
            <x v="71"/>
          </reference>
          <reference field="15" count="3">
            <x v="348"/>
            <x v="352"/>
            <x v="353"/>
          </reference>
        </references>
      </pivotArea>
    </format>
    <format dxfId="6643">
      <pivotArea dataOnly="0" labelOnly="1" fieldPosition="0">
        <references count="5">
          <reference field="4" count="1" selected="0">
            <x v="11"/>
          </reference>
          <reference field="6" count="1" selected="0">
            <x v="0"/>
          </reference>
          <reference field="7" count="1" selected="0">
            <x v="17"/>
          </reference>
          <reference field="8" count="1" selected="0">
            <x v="72"/>
          </reference>
          <reference field="15" count="3">
            <x v="143"/>
            <x v="349"/>
            <x v="350"/>
          </reference>
        </references>
      </pivotArea>
    </format>
    <format dxfId="6642">
      <pivotArea dataOnly="0" labelOnly="1" fieldPosition="0">
        <references count="5">
          <reference field="4" count="1" selected="0">
            <x v="12"/>
          </reference>
          <reference field="6" count="1" selected="0">
            <x v="0"/>
          </reference>
          <reference field="7" count="1" selected="0">
            <x v="18"/>
          </reference>
          <reference field="8" count="1" selected="0">
            <x v="74"/>
          </reference>
          <reference field="15" count="2">
            <x v="113"/>
            <x v="114"/>
          </reference>
        </references>
      </pivotArea>
    </format>
    <format dxfId="6641">
      <pivotArea dataOnly="0" labelOnly="1" fieldPosition="0">
        <references count="5">
          <reference field="4" count="1" selected="0">
            <x v="12"/>
          </reference>
          <reference field="6" count="1" selected="0">
            <x v="0"/>
          </reference>
          <reference field="7" count="1" selected="0">
            <x v="18"/>
          </reference>
          <reference field="8" count="1" selected="0">
            <x v="75"/>
          </reference>
          <reference field="15" count="1">
            <x v="116"/>
          </reference>
        </references>
      </pivotArea>
    </format>
    <format dxfId="6640">
      <pivotArea dataOnly="0" labelOnly="1" fieldPosition="0">
        <references count="5">
          <reference field="4" count="1" selected="0">
            <x v="12"/>
          </reference>
          <reference field="6" count="1" selected="0">
            <x v="0"/>
          </reference>
          <reference field="7" count="1" selected="0">
            <x v="18"/>
          </reference>
          <reference field="8" count="1" selected="0">
            <x v="76"/>
          </reference>
          <reference field="15" count="1">
            <x v="244"/>
          </reference>
        </references>
      </pivotArea>
    </format>
    <format dxfId="6639">
      <pivotArea dataOnly="0" labelOnly="1" fieldPosition="0">
        <references count="5">
          <reference field="4" count="1" selected="0">
            <x v="13"/>
          </reference>
          <reference field="6" count="1" selected="0">
            <x v="3"/>
          </reference>
          <reference field="7" count="1" selected="0">
            <x v="1"/>
          </reference>
          <reference field="8" count="1" selected="0">
            <x v="6"/>
          </reference>
          <reference field="15" count="1">
            <x v="340"/>
          </reference>
        </references>
      </pivotArea>
    </format>
    <format dxfId="6638">
      <pivotArea dataOnly="0" labelOnly="1" fieldPosition="0">
        <references count="5">
          <reference field="4" count="1" selected="0">
            <x v="13"/>
          </reference>
          <reference field="6" count="1" selected="0">
            <x v="3"/>
          </reference>
          <reference field="7" count="1" selected="0">
            <x v="5"/>
          </reference>
          <reference field="8" count="1" selected="0">
            <x v="22"/>
          </reference>
          <reference field="15" count="1">
            <x v="333"/>
          </reference>
        </references>
      </pivotArea>
    </format>
    <format dxfId="6637">
      <pivotArea dataOnly="0" labelOnly="1" fieldPosition="0">
        <references count="5">
          <reference field="4" count="1" selected="0">
            <x v="13"/>
          </reference>
          <reference field="6" count="1" selected="0">
            <x v="3"/>
          </reference>
          <reference field="7" count="1" selected="0">
            <x v="5"/>
          </reference>
          <reference field="8" count="1" selected="0">
            <x v="23"/>
          </reference>
          <reference field="15" count="1">
            <x v="332"/>
          </reference>
        </references>
      </pivotArea>
    </format>
    <format dxfId="6636">
      <pivotArea dataOnly="0" labelOnly="1" fieldPosition="0">
        <references count="5">
          <reference field="4" count="1" selected="0">
            <x v="13"/>
          </reference>
          <reference field="6" count="1" selected="0">
            <x v="3"/>
          </reference>
          <reference field="7" count="1" selected="0">
            <x v="5"/>
          </reference>
          <reference field="8" count="1" selected="0">
            <x v="24"/>
          </reference>
          <reference field="15" count="1">
            <x v="339"/>
          </reference>
        </references>
      </pivotArea>
    </format>
    <format dxfId="6635">
      <pivotArea dataOnly="0" labelOnly="1" fieldPosition="0">
        <references count="5">
          <reference field="4" count="1" selected="0">
            <x v="13"/>
          </reference>
          <reference field="6" count="1" selected="0">
            <x v="3"/>
          </reference>
          <reference field="7" count="1" selected="0">
            <x v="5"/>
          </reference>
          <reference field="8" count="1" selected="0">
            <x v="25"/>
          </reference>
          <reference field="15" count="1">
            <x v="342"/>
          </reference>
        </references>
      </pivotArea>
    </format>
    <format dxfId="6634">
      <pivotArea dataOnly="0" labelOnly="1" fieldPosition="0">
        <references count="5">
          <reference field="4" count="1" selected="0">
            <x v="13"/>
          </reference>
          <reference field="6" count="1" selected="0">
            <x v="3"/>
          </reference>
          <reference field="7" count="1" selected="0">
            <x v="5"/>
          </reference>
          <reference field="8" count="1" selected="0">
            <x v="26"/>
          </reference>
          <reference field="15" count="1">
            <x v="338"/>
          </reference>
        </references>
      </pivotArea>
    </format>
    <format dxfId="6633">
      <pivotArea dataOnly="0" labelOnly="1" fieldPosition="0">
        <references count="5">
          <reference field="4" count="1" selected="0">
            <x v="13"/>
          </reference>
          <reference field="6" count="1" selected="0">
            <x v="3"/>
          </reference>
          <reference field="7" count="1" selected="0">
            <x v="5"/>
          </reference>
          <reference field="8" count="1" selected="0">
            <x v="27"/>
          </reference>
          <reference field="15" count="1">
            <x v="341"/>
          </reference>
        </references>
      </pivotArea>
    </format>
    <format dxfId="6632">
      <pivotArea dataOnly="0" labelOnly="1" fieldPosition="0">
        <references count="5">
          <reference field="4" count="1" selected="0">
            <x v="14"/>
          </reference>
          <reference field="6" count="1" selected="0">
            <x v="1"/>
          </reference>
          <reference field="7" count="1" selected="0">
            <x v="26"/>
          </reference>
          <reference field="8" count="1" selected="0">
            <x v="125"/>
          </reference>
          <reference field="15" count="4">
            <x v="26"/>
            <x v="27"/>
            <x v="28"/>
            <x v="99"/>
          </reference>
        </references>
      </pivotArea>
    </format>
    <format dxfId="6631">
      <pivotArea dataOnly="0" labelOnly="1" fieldPosition="0">
        <references count="5">
          <reference field="4" count="1" selected="0">
            <x v="14"/>
          </reference>
          <reference field="6" count="1" selected="0">
            <x v="1"/>
          </reference>
          <reference field="7" count="1" selected="0">
            <x v="26"/>
          </reference>
          <reference field="8" count="1" selected="0">
            <x v="126"/>
          </reference>
          <reference field="15" count="1">
            <x v="19"/>
          </reference>
        </references>
      </pivotArea>
    </format>
    <format dxfId="6630">
      <pivotArea dataOnly="0" labelOnly="1" fieldPosition="0">
        <references count="5">
          <reference field="4" count="1" selected="0">
            <x v="14"/>
          </reference>
          <reference field="6" count="1" selected="0">
            <x v="1"/>
          </reference>
          <reference field="7" count="1" selected="0">
            <x v="26"/>
          </reference>
          <reference field="8" count="1" selected="0">
            <x v="127"/>
          </reference>
          <reference field="15" count="2">
            <x v="150"/>
            <x v="151"/>
          </reference>
        </references>
      </pivotArea>
    </format>
    <format dxfId="6629">
      <pivotArea dataOnly="0" labelOnly="1" fieldPosition="0">
        <references count="5">
          <reference field="4" count="1" selected="0">
            <x v="14"/>
          </reference>
          <reference field="6" count="1" selected="0">
            <x v="1"/>
          </reference>
          <reference field="7" count="1" selected="0">
            <x v="26"/>
          </reference>
          <reference field="8" count="1" selected="0">
            <x v="128"/>
          </reference>
          <reference field="15" count="2">
            <x v="29"/>
            <x v="30"/>
          </reference>
        </references>
      </pivotArea>
    </format>
    <format dxfId="6628">
      <pivotArea dataOnly="0" labelOnly="1" fieldPosition="0">
        <references count="5">
          <reference field="4" count="1" selected="0">
            <x v="14"/>
          </reference>
          <reference field="6" count="1" selected="0">
            <x v="1"/>
          </reference>
          <reference field="7" count="1" selected="0">
            <x v="26"/>
          </reference>
          <reference field="8" count="1" selected="0">
            <x v="129"/>
          </reference>
          <reference field="15" count="2">
            <x v="330"/>
            <x v="331"/>
          </reference>
        </references>
      </pivotArea>
    </format>
    <format dxfId="6627">
      <pivotArea dataOnly="0" labelOnly="1" fieldPosition="0">
        <references count="5">
          <reference field="4" count="1" selected="0">
            <x v="14"/>
          </reference>
          <reference field="6" count="1" selected="0">
            <x v="1"/>
          </reference>
          <reference field="7" count="1" selected="0">
            <x v="26"/>
          </reference>
          <reference field="8" count="1" selected="0">
            <x v="130"/>
          </reference>
          <reference field="15" count="2">
            <x v="367"/>
            <x v="368"/>
          </reference>
        </references>
      </pivotArea>
    </format>
    <format dxfId="6626">
      <pivotArea dataOnly="0" labelOnly="1" fieldPosition="0">
        <references count="5">
          <reference field="4" count="1" selected="0">
            <x v="14"/>
          </reference>
          <reference field="6" count="1" selected="0">
            <x v="1"/>
          </reference>
          <reference field="7" count="1" selected="0">
            <x v="26"/>
          </reference>
          <reference field="8" count="1" selected="0">
            <x v="131"/>
          </reference>
          <reference field="15" count="3">
            <x v="14"/>
            <x v="15"/>
            <x v="16"/>
          </reference>
        </references>
      </pivotArea>
    </format>
    <format dxfId="6625">
      <pivotArea dataOnly="0" labelOnly="1" fieldPosition="0">
        <references count="5">
          <reference field="4" count="1" selected="0">
            <x v="15"/>
          </reference>
          <reference field="6" count="1" selected="0">
            <x v="0"/>
          </reference>
          <reference field="7" count="1" selected="0">
            <x v="20"/>
          </reference>
          <reference field="8" count="1" selected="0">
            <x v="82"/>
          </reference>
          <reference field="15" count="2">
            <x v="73"/>
            <x v="74"/>
          </reference>
        </references>
      </pivotArea>
    </format>
    <format dxfId="6624">
      <pivotArea dataOnly="0" labelOnly="1" fieldPosition="0">
        <references count="5">
          <reference field="4" count="1" selected="0">
            <x v="15"/>
          </reference>
          <reference field="6" count="1" selected="0">
            <x v="0"/>
          </reference>
          <reference field="7" count="1" selected="0">
            <x v="20"/>
          </reference>
          <reference field="8" count="1" selected="0">
            <x v="83"/>
          </reference>
          <reference field="15" count="1">
            <x v="75"/>
          </reference>
        </references>
      </pivotArea>
    </format>
    <format dxfId="6623">
      <pivotArea dataOnly="0" labelOnly="1" fieldPosition="0">
        <references count="5">
          <reference field="4" count="1" selected="0">
            <x v="15"/>
          </reference>
          <reference field="6" count="1" selected="0">
            <x v="0"/>
          </reference>
          <reference field="7" count="1" selected="0">
            <x v="20"/>
          </reference>
          <reference field="8" count="1" selected="0">
            <x v="84"/>
          </reference>
          <reference field="15" count="1">
            <x v="76"/>
          </reference>
        </references>
      </pivotArea>
    </format>
    <format dxfId="6622">
      <pivotArea dataOnly="0" labelOnly="1" fieldPosition="0">
        <references count="5">
          <reference field="4" count="1" selected="0">
            <x v="15"/>
          </reference>
          <reference field="6" count="1" selected="0">
            <x v="0"/>
          </reference>
          <reference field="7" count="1" selected="0">
            <x v="20"/>
          </reference>
          <reference field="8" count="1" selected="0">
            <x v="85"/>
          </reference>
          <reference field="15" count="1">
            <x v="259"/>
          </reference>
        </references>
      </pivotArea>
    </format>
    <format dxfId="6621">
      <pivotArea dataOnly="0" labelOnly="1" fieldPosition="0">
        <references count="5">
          <reference field="4" count="1" selected="0">
            <x v="15"/>
          </reference>
          <reference field="6" count="1" selected="0">
            <x v="0"/>
          </reference>
          <reference field="7" count="1" selected="0">
            <x v="20"/>
          </reference>
          <reference field="8" count="1" selected="0">
            <x v="86"/>
          </reference>
          <reference field="15" count="3">
            <x v="132"/>
            <x v="133"/>
            <x v="134"/>
          </reference>
        </references>
      </pivotArea>
    </format>
    <format dxfId="6620">
      <pivotArea dataOnly="0" labelOnly="1" fieldPosition="0">
        <references count="5">
          <reference field="4" count="1" selected="0">
            <x v="16"/>
          </reference>
          <reference field="6" count="1" selected="0">
            <x v="1"/>
          </reference>
          <reference field="7" count="1" selected="0">
            <x v="27"/>
          </reference>
          <reference field="8" count="1" selected="0">
            <x v="132"/>
          </reference>
          <reference field="15" count="1">
            <x v="20"/>
          </reference>
        </references>
      </pivotArea>
    </format>
    <format dxfId="6619">
      <pivotArea dataOnly="0" labelOnly="1" fieldPosition="0">
        <references count="5">
          <reference field="4" count="1" selected="0">
            <x v="16"/>
          </reference>
          <reference field="6" count="1" selected="0">
            <x v="1"/>
          </reference>
          <reference field="7" count="1" selected="0">
            <x v="27"/>
          </reference>
          <reference field="8" count="1" selected="0">
            <x v="133"/>
          </reference>
          <reference field="15" count="3">
            <x v="21"/>
            <x v="22"/>
            <x v="23"/>
          </reference>
        </references>
      </pivotArea>
    </format>
    <format dxfId="6618">
      <pivotArea dataOnly="0" labelOnly="1" fieldPosition="0">
        <references count="5">
          <reference field="4" count="1" selected="0">
            <x v="16"/>
          </reference>
          <reference field="6" count="1" selected="0">
            <x v="1"/>
          </reference>
          <reference field="7" count="1" selected="0">
            <x v="27"/>
          </reference>
          <reference field="8" count="1" selected="0">
            <x v="134"/>
          </reference>
          <reference field="15" count="2">
            <x v="149"/>
            <x v="354"/>
          </reference>
        </references>
      </pivotArea>
    </format>
    <format dxfId="6617">
      <pivotArea dataOnly="0" labelOnly="1" fieldPosition="0">
        <references count="5">
          <reference field="4" count="1" selected="0">
            <x v="16"/>
          </reference>
          <reference field="6" count="1" selected="0">
            <x v="1"/>
          </reference>
          <reference field="7" count="1" selected="0">
            <x v="27"/>
          </reference>
          <reference field="8" count="1" selected="0">
            <x v="135"/>
          </reference>
          <reference field="15" count="2">
            <x v="109"/>
            <x v="363"/>
          </reference>
        </references>
      </pivotArea>
    </format>
    <format dxfId="6616">
      <pivotArea dataOnly="0" labelOnly="1" fieldPosition="0">
        <references count="5">
          <reference field="4" count="1" selected="0">
            <x v="16"/>
          </reference>
          <reference field="6" count="1" selected="0">
            <x v="1"/>
          </reference>
          <reference field="7" count="1" selected="0">
            <x v="27"/>
          </reference>
          <reference field="8" count="1" selected="0">
            <x v="136"/>
          </reference>
          <reference field="15" count="2">
            <x v="81"/>
            <x v="148"/>
          </reference>
        </references>
      </pivotArea>
    </format>
    <format dxfId="6615">
      <pivotArea dataOnly="0" labelOnly="1" fieldPosition="0">
        <references count="5">
          <reference field="4" count="1" selected="0">
            <x v="16"/>
          </reference>
          <reference field="6" count="1" selected="0">
            <x v="1"/>
          </reference>
          <reference field="7" count="1" selected="0">
            <x v="27"/>
          </reference>
          <reference field="8" count="1" selected="0">
            <x v="137"/>
          </reference>
          <reference field="15" count="2">
            <x v="111"/>
            <x v="112"/>
          </reference>
        </references>
      </pivotArea>
    </format>
    <format dxfId="6614">
      <pivotArea dataOnly="0" labelOnly="1" fieldPosition="0">
        <references count="5">
          <reference field="4" count="1" selected="0">
            <x v="16"/>
          </reference>
          <reference field="6" count="1" selected="0">
            <x v="3"/>
          </reference>
          <reference field="7" count="1" selected="0">
            <x v="1"/>
          </reference>
          <reference field="8" count="1" selected="0">
            <x v="6"/>
          </reference>
          <reference field="15" count="1">
            <x v="362"/>
          </reference>
        </references>
      </pivotArea>
    </format>
    <format dxfId="6613">
      <pivotArea dataOnly="0" labelOnly="1" fieldPosition="0">
        <references count="5">
          <reference field="4" count="1" selected="0">
            <x v="16"/>
          </reference>
          <reference field="6" count="1" selected="0">
            <x v="4"/>
          </reference>
          <reference field="7" count="1" selected="0">
            <x v="8"/>
          </reference>
          <reference field="8" count="1" selected="0">
            <x v="38"/>
          </reference>
          <reference field="15" count="1">
            <x v="229"/>
          </reference>
        </references>
      </pivotArea>
    </format>
    <format dxfId="6612">
      <pivotArea dataOnly="0" labelOnly="1" fieldPosition="0">
        <references count="5">
          <reference field="4" count="1" selected="0">
            <x v="16"/>
          </reference>
          <reference field="6" count="1" selected="0">
            <x v="4"/>
          </reference>
          <reference field="7" count="1" selected="0">
            <x v="11"/>
          </reference>
          <reference field="8" count="1" selected="0">
            <x v="48"/>
          </reference>
          <reference field="15" count="1">
            <x v="200"/>
          </reference>
        </references>
      </pivotArea>
    </format>
    <format dxfId="6611">
      <pivotArea dataOnly="0" labelOnly="1" fieldPosition="0">
        <references count="5">
          <reference field="4" count="1" selected="0">
            <x v="17"/>
          </reference>
          <reference field="6" count="1" selected="0">
            <x v="0"/>
          </reference>
          <reference field="7" count="1" selected="0">
            <x v="16"/>
          </reference>
          <reference field="8" count="1" selected="0">
            <x v="57"/>
          </reference>
          <reference field="15" count="5">
            <x v="110"/>
            <x v="284"/>
            <x v="285"/>
            <x v="294"/>
            <x v="295"/>
          </reference>
        </references>
      </pivotArea>
    </format>
    <format dxfId="6610">
      <pivotArea dataOnly="0" labelOnly="1" fieldPosition="0">
        <references count="5">
          <reference field="4" count="1" selected="0">
            <x v="17"/>
          </reference>
          <reference field="6" count="1" selected="0">
            <x v="0"/>
          </reference>
          <reference field="7" count="1" selected="0">
            <x v="16"/>
          </reference>
          <reference field="8" count="1" selected="0">
            <x v="58"/>
          </reference>
          <reference field="15" count="2">
            <x v="299"/>
            <x v="300"/>
          </reference>
        </references>
      </pivotArea>
    </format>
    <format dxfId="6609">
      <pivotArea dataOnly="0" labelOnly="1" fieldPosition="0">
        <references count="5">
          <reference field="4" count="1" selected="0">
            <x v="17"/>
          </reference>
          <reference field="6" count="1" selected="0">
            <x v="0"/>
          </reference>
          <reference field="7" count="1" selected="0">
            <x v="16"/>
          </reference>
          <reference field="8" count="1" selected="0">
            <x v="59"/>
          </reference>
          <reference field="15" count="2">
            <x v="94"/>
            <x v="95"/>
          </reference>
        </references>
      </pivotArea>
    </format>
    <format dxfId="6608">
      <pivotArea dataOnly="0" labelOnly="1" fieldPosition="0">
        <references count="5">
          <reference field="4" count="1" selected="0">
            <x v="17"/>
          </reference>
          <reference field="6" count="1" selected="0">
            <x v="0"/>
          </reference>
          <reference field="7" count="1" selected="0">
            <x v="16"/>
          </reference>
          <reference field="8" count="1" selected="0">
            <x v="60"/>
          </reference>
          <reference field="15" count="5">
            <x v="102"/>
            <x v="103"/>
            <x v="104"/>
            <x v="322"/>
            <x v="323"/>
          </reference>
        </references>
      </pivotArea>
    </format>
    <format dxfId="6607">
      <pivotArea dataOnly="0" labelOnly="1" fieldPosition="0">
        <references count="5">
          <reference field="4" count="1" selected="0">
            <x v="17"/>
          </reference>
          <reference field="6" count="1" selected="0">
            <x v="0"/>
          </reference>
          <reference field="7" count="1" selected="0">
            <x v="16"/>
          </reference>
          <reference field="8" count="1" selected="0">
            <x v="61"/>
          </reference>
          <reference field="15" count="2">
            <x v="296"/>
            <x v="297"/>
          </reference>
        </references>
      </pivotArea>
    </format>
    <format dxfId="6606">
      <pivotArea dataOnly="0" labelOnly="1" fieldPosition="0">
        <references count="5">
          <reference field="4" count="1" selected="0">
            <x v="17"/>
          </reference>
          <reference field="6" count="1" selected="0">
            <x v="0"/>
          </reference>
          <reference field="7" count="1" selected="0">
            <x v="16"/>
          </reference>
          <reference field="8" count="1" selected="0">
            <x v="62"/>
          </reference>
          <reference field="15" count="1">
            <x v="93"/>
          </reference>
        </references>
      </pivotArea>
    </format>
    <format dxfId="6605">
      <pivotArea dataOnly="0" labelOnly="1" fieldPosition="0">
        <references count="5">
          <reference field="4" count="1" selected="0">
            <x v="17"/>
          </reference>
          <reference field="6" count="1" selected="0">
            <x v="0"/>
          </reference>
          <reference field="7" count="1" selected="0">
            <x v="16"/>
          </reference>
          <reference field="8" count="1" selected="0">
            <x v="63"/>
          </reference>
          <reference field="15" count="2">
            <x v="315"/>
            <x v="316"/>
          </reference>
        </references>
      </pivotArea>
    </format>
    <format dxfId="6604">
      <pivotArea dataOnly="0" labelOnly="1" fieldPosition="0">
        <references count="5">
          <reference field="4" count="1" selected="0">
            <x v="17"/>
          </reference>
          <reference field="6" count="1" selected="0">
            <x v="0"/>
          </reference>
          <reference field="7" count="1" selected="0">
            <x v="22"/>
          </reference>
          <reference field="8" count="1" selected="0">
            <x v="94"/>
          </reference>
          <reference field="15" count="2">
            <x v="105"/>
            <x v="106"/>
          </reference>
        </references>
      </pivotArea>
    </format>
    <format dxfId="6603">
      <pivotArea dataOnly="0" labelOnly="1" fieldPosition="0">
        <references count="5">
          <reference field="4" count="1" selected="0">
            <x v="18"/>
          </reference>
          <reference field="6" count="1" selected="0">
            <x v="3"/>
          </reference>
          <reference field="7" count="1" selected="0">
            <x v="2"/>
          </reference>
          <reference field="8" count="1" selected="0">
            <x v="8"/>
          </reference>
          <reference field="15" count="2">
            <x v="375"/>
            <x v="376"/>
          </reference>
        </references>
      </pivotArea>
    </format>
    <format dxfId="6602">
      <pivotArea dataOnly="0" labelOnly="1" fieldPosition="0">
        <references count="5">
          <reference field="4" count="1" selected="0">
            <x v="18"/>
          </reference>
          <reference field="6" count="1" selected="0">
            <x v="3"/>
          </reference>
          <reference field="7" count="1" selected="0">
            <x v="2"/>
          </reference>
          <reference field="8" count="1" selected="0">
            <x v="9"/>
          </reference>
          <reference field="15" count="1">
            <x v="266"/>
          </reference>
        </references>
      </pivotArea>
    </format>
    <format dxfId="6601">
      <pivotArea dataOnly="0" labelOnly="1" fieldPosition="0">
        <references count="5">
          <reference field="4" count="1" selected="0">
            <x v="18"/>
          </reference>
          <reference field="6" count="1" selected="0">
            <x v="3"/>
          </reference>
          <reference field="7" count="1" selected="0">
            <x v="2"/>
          </reference>
          <reference field="8" count="1" selected="0">
            <x v="16"/>
          </reference>
          <reference field="15" count="2">
            <x v="271"/>
            <x v="272"/>
          </reference>
        </references>
      </pivotArea>
    </format>
    <format dxfId="6600">
      <pivotArea dataOnly="0" labelOnly="1" fieldPosition="0">
        <references count="5">
          <reference field="4" count="1" selected="0">
            <x v="18"/>
          </reference>
          <reference field="6" count="1" selected="0">
            <x v="3"/>
          </reference>
          <reference field="7" count="1" selected="0">
            <x v="2"/>
          </reference>
          <reference field="8" count="1" selected="0">
            <x v="17"/>
          </reference>
          <reference field="15" count="3">
            <x v="286"/>
            <x v="287"/>
            <x v="288"/>
          </reference>
        </references>
      </pivotArea>
    </format>
    <format dxfId="6599">
      <pivotArea dataOnly="0" labelOnly="1" fieldPosition="0">
        <references count="5">
          <reference field="4" count="1" selected="0">
            <x v="19"/>
          </reference>
          <reference field="6" count="1" selected="0">
            <x v="3"/>
          </reference>
          <reference field="7" count="1" selected="0">
            <x v="6"/>
          </reference>
          <reference field="8" count="1" selected="0">
            <x v="29"/>
          </reference>
          <reference field="15" count="24">
            <x v="4"/>
            <x v="168"/>
            <x v="169"/>
            <x v="170"/>
            <x v="171"/>
            <x v="172"/>
            <x v="173"/>
            <x v="174"/>
            <x v="183"/>
            <x v="184"/>
            <x v="185"/>
            <x v="186"/>
            <x v="187"/>
            <x v="188"/>
            <x v="194"/>
            <x v="195"/>
            <x v="196"/>
            <x v="197"/>
            <x v="198"/>
            <x v="199"/>
            <x v="203"/>
            <x v="204"/>
            <x v="223"/>
            <x v="258"/>
          </reference>
        </references>
      </pivotArea>
    </format>
    <format dxfId="6598">
      <pivotArea dataOnly="0" labelOnly="1" fieldPosition="0">
        <references count="5">
          <reference field="4" count="1" selected="0">
            <x v="20"/>
          </reference>
          <reference field="6" count="1" selected="0">
            <x v="1"/>
          </reference>
          <reference field="7" count="1" selected="0">
            <x v="24"/>
          </reference>
          <reference field="8" count="1" selected="0">
            <x v="106"/>
          </reference>
          <reference field="15" count="2">
            <x v="239"/>
            <x v="240"/>
          </reference>
        </references>
      </pivotArea>
    </format>
    <format dxfId="6597">
      <pivotArea dataOnly="0" labelOnly="1" outline="0" fieldPosition="0">
        <references count="1">
          <reference field="4294967294" count="2">
            <x v="7"/>
            <x v="8"/>
          </reference>
        </references>
      </pivotArea>
    </format>
    <format dxfId="6596">
      <pivotArea type="all" dataOnly="0" outline="0" fieldPosition="0"/>
    </format>
    <format dxfId="6595">
      <pivotArea outline="0" collapsedLevelsAreSubtotals="1" fieldPosition="0"/>
    </format>
    <format dxfId="6594">
      <pivotArea dataOnly="0" labelOnly="1" outline="0" fieldPosition="0">
        <references count="1">
          <reference field="4294967294" count="9">
            <x v="0"/>
            <x v="1"/>
            <x v="2"/>
            <x v="3"/>
            <x v="4"/>
            <x v="5"/>
            <x v="6"/>
            <x v="7"/>
            <x v="8"/>
          </reference>
        </references>
      </pivotArea>
    </format>
    <format dxfId="6593">
      <pivotArea field="2" type="button" dataOnly="0" labelOnly="1" outline="0" axis="axisPage" fieldPosition="0"/>
    </format>
    <format dxfId="6592">
      <pivotArea field="4" type="button" dataOnly="0" labelOnly="1" outline="0" axis="axisRow" fieldPosition="0"/>
    </format>
    <format dxfId="6591">
      <pivotArea dataOnly="0" labelOnly="1" fieldPosition="0">
        <references count="1">
          <reference field="4" count="1">
            <x v="1"/>
          </reference>
        </references>
      </pivotArea>
    </format>
    <format dxfId="6590">
      <pivotArea dataOnly="0" labelOnly="1" grandRow="1" outline="0" fieldPosition="0"/>
    </format>
    <format dxfId="6589">
      <pivotArea dataOnly="0" labelOnly="1" fieldPosition="0">
        <references count="2">
          <reference field="4" count="1" selected="0">
            <x v="1"/>
          </reference>
          <reference field="6" count="3">
            <x v="0"/>
            <x v="3"/>
            <x v="4"/>
          </reference>
        </references>
      </pivotArea>
    </format>
    <format dxfId="6588">
      <pivotArea dataOnly="0" labelOnly="1" fieldPosition="0">
        <references count="3">
          <reference field="4" count="1" selected="0">
            <x v="1"/>
          </reference>
          <reference field="6" count="1" selected="0">
            <x v="0"/>
          </reference>
          <reference field="7" count="1">
            <x v="19"/>
          </reference>
        </references>
      </pivotArea>
    </format>
    <format dxfId="6587">
      <pivotArea dataOnly="0" labelOnly="1" fieldPosition="0">
        <references count="3">
          <reference field="4" count="1" selected="0">
            <x v="1"/>
          </reference>
          <reference field="6" count="1" selected="0">
            <x v="3"/>
          </reference>
          <reference field="7" count="3">
            <x v="2"/>
            <x v="3"/>
            <x v="4"/>
          </reference>
        </references>
      </pivotArea>
    </format>
    <format dxfId="6586">
      <pivotArea dataOnly="0" labelOnly="1" fieldPosition="0">
        <references count="3">
          <reference field="4" count="1" selected="0">
            <x v="1"/>
          </reference>
          <reference field="6" count="1" selected="0">
            <x v="4"/>
          </reference>
          <reference field="7" count="1">
            <x v="8"/>
          </reference>
        </references>
      </pivotArea>
    </format>
    <format dxfId="6585">
      <pivotArea dataOnly="0" labelOnly="1" fieldPosition="0">
        <references count="4">
          <reference field="4" count="1" selected="0">
            <x v="1"/>
          </reference>
          <reference field="6" count="1" selected="0">
            <x v="0"/>
          </reference>
          <reference field="7" count="1" selected="0">
            <x v="19"/>
          </reference>
          <reference field="8" count="1">
            <x v="81"/>
          </reference>
        </references>
      </pivotArea>
    </format>
    <format dxfId="6584">
      <pivotArea dataOnly="0" labelOnly="1" fieldPosition="0">
        <references count="4">
          <reference field="4" count="1" selected="0">
            <x v="1"/>
          </reference>
          <reference field="6" count="1" selected="0">
            <x v="3"/>
          </reference>
          <reference field="7" count="1" selected="0">
            <x v="2"/>
          </reference>
          <reference field="8" count="7">
            <x v="7"/>
            <x v="10"/>
            <x v="11"/>
            <x v="12"/>
            <x v="13"/>
            <x v="14"/>
            <x v="15"/>
          </reference>
        </references>
      </pivotArea>
    </format>
    <format dxfId="6583">
      <pivotArea dataOnly="0" labelOnly="1" fieldPosition="0">
        <references count="4">
          <reference field="4" count="1" selected="0">
            <x v="1"/>
          </reference>
          <reference field="6" count="1" selected="0">
            <x v="3"/>
          </reference>
          <reference field="7" count="1" selected="0">
            <x v="3"/>
          </reference>
          <reference field="8" count="2">
            <x v="18"/>
            <x v="19"/>
          </reference>
        </references>
      </pivotArea>
    </format>
    <format dxfId="6582">
      <pivotArea dataOnly="0" labelOnly="1" fieldPosition="0">
        <references count="4">
          <reference field="4" count="1" selected="0">
            <x v="1"/>
          </reference>
          <reference field="6" count="1" selected="0">
            <x v="3"/>
          </reference>
          <reference field="7" count="1" selected="0">
            <x v="4"/>
          </reference>
          <reference field="8" count="2">
            <x v="20"/>
            <x v="21"/>
          </reference>
        </references>
      </pivotArea>
    </format>
    <format dxfId="6581">
      <pivotArea dataOnly="0" labelOnly="1" fieldPosition="0">
        <references count="4">
          <reference field="4" count="1" selected="0">
            <x v="1"/>
          </reference>
          <reference field="6" count="1" selected="0">
            <x v="4"/>
          </reference>
          <reference field="7" count="1" selected="0">
            <x v="8"/>
          </reference>
          <reference field="8" count="3">
            <x v="33"/>
            <x v="34"/>
            <x v="39"/>
          </reference>
        </references>
      </pivotArea>
    </format>
    <format dxfId="6580">
      <pivotArea dataOnly="0" labelOnly="1" fieldPosition="0">
        <references count="5">
          <reference field="4" count="1" selected="0">
            <x v="1"/>
          </reference>
          <reference field="6" count="1" selected="0">
            <x v="0"/>
          </reference>
          <reference field="7" count="1" selected="0">
            <x v="19"/>
          </reference>
          <reference field="8" count="1" selected="0">
            <x v="81"/>
          </reference>
          <reference field="15" count="1">
            <x v="231"/>
          </reference>
        </references>
      </pivotArea>
    </format>
    <format dxfId="6579">
      <pivotArea dataOnly="0" labelOnly="1" fieldPosition="0">
        <references count="5">
          <reference field="4" count="1" selected="0">
            <x v="1"/>
          </reference>
          <reference field="6" count="1" selected="0">
            <x v="3"/>
          </reference>
          <reference field="7" count="1" selected="0">
            <x v="2"/>
          </reference>
          <reference field="8" count="1" selected="0">
            <x v="7"/>
          </reference>
          <reference field="15" count="5">
            <x v="117"/>
            <x v="124"/>
            <x v="131"/>
            <x v="380"/>
            <x v="400"/>
          </reference>
        </references>
      </pivotArea>
    </format>
    <format dxfId="6578">
      <pivotArea dataOnly="0" labelOnly="1" fieldPosition="0">
        <references count="5">
          <reference field="4" count="1" selected="0">
            <x v="1"/>
          </reference>
          <reference field="6" count="1" selected="0">
            <x v="3"/>
          </reference>
          <reference field="7" count="1" selected="0">
            <x v="2"/>
          </reference>
          <reference field="8" count="1" selected="0">
            <x v="10"/>
          </reference>
          <reference field="15" count="2">
            <x v="17"/>
            <x v="18"/>
          </reference>
        </references>
      </pivotArea>
    </format>
    <format dxfId="6577">
      <pivotArea dataOnly="0" labelOnly="1" fieldPosition="0">
        <references count="5">
          <reference field="4" count="1" selected="0">
            <x v="1"/>
          </reference>
          <reference field="6" count="1" selected="0">
            <x v="3"/>
          </reference>
          <reference field="7" count="1" selected="0">
            <x v="2"/>
          </reference>
          <reference field="8" count="1" selected="0">
            <x v="11"/>
          </reference>
          <reference field="15" count="2">
            <x v="7"/>
            <x v="8"/>
          </reference>
        </references>
      </pivotArea>
    </format>
    <format dxfId="6576">
      <pivotArea dataOnly="0" labelOnly="1" fieldPosition="0">
        <references count="5">
          <reference field="4" count="1" selected="0">
            <x v="1"/>
          </reference>
          <reference field="6" count="1" selected="0">
            <x v="3"/>
          </reference>
          <reference field="7" count="1" selected="0">
            <x v="2"/>
          </reference>
          <reference field="8" count="1" selected="0">
            <x v="12"/>
          </reference>
          <reference field="15" count="1">
            <x v="107"/>
          </reference>
        </references>
      </pivotArea>
    </format>
    <format dxfId="6575">
      <pivotArea dataOnly="0" labelOnly="1" fieldPosition="0">
        <references count="5">
          <reference field="4" count="1" selected="0">
            <x v="1"/>
          </reference>
          <reference field="6" count="1" selected="0">
            <x v="3"/>
          </reference>
          <reference field="7" count="1" selected="0">
            <x v="2"/>
          </reference>
          <reference field="8" count="1" selected="0">
            <x v="13"/>
          </reference>
          <reference field="15" count="1">
            <x v="6"/>
          </reference>
        </references>
      </pivotArea>
    </format>
    <format dxfId="6574">
      <pivotArea dataOnly="0" labelOnly="1" fieldPosition="0">
        <references count="5">
          <reference field="4" count="1" selected="0">
            <x v="1"/>
          </reference>
          <reference field="6" count="1" selected="0">
            <x v="3"/>
          </reference>
          <reference field="7" count="1" selected="0">
            <x v="2"/>
          </reference>
          <reference field="8" count="1" selected="0">
            <x v="14"/>
          </reference>
          <reference field="15" count="2">
            <x v="46"/>
            <x v="47"/>
          </reference>
        </references>
      </pivotArea>
    </format>
    <format dxfId="6573">
      <pivotArea dataOnly="0" labelOnly="1" fieldPosition="0">
        <references count="5">
          <reference field="4" count="1" selected="0">
            <x v="1"/>
          </reference>
          <reference field="6" count="1" selected="0">
            <x v="3"/>
          </reference>
          <reference field="7" count="1" selected="0">
            <x v="2"/>
          </reference>
          <reference field="8" count="1" selected="0">
            <x v="15"/>
          </reference>
          <reference field="15" count="1">
            <x v="372"/>
          </reference>
        </references>
      </pivotArea>
    </format>
    <format dxfId="6572">
      <pivotArea dataOnly="0" labelOnly="1" fieldPosition="0">
        <references count="5">
          <reference field="4" count="1" selected="0">
            <x v="1"/>
          </reference>
          <reference field="6" count="1" selected="0">
            <x v="3"/>
          </reference>
          <reference field="7" count="1" selected="0">
            <x v="3"/>
          </reference>
          <reference field="8" count="1" selected="0">
            <x v="18"/>
          </reference>
          <reference field="15" count="1">
            <x v="232"/>
          </reference>
        </references>
      </pivotArea>
    </format>
    <format dxfId="6571">
      <pivotArea dataOnly="0" labelOnly="1" fieldPosition="0">
        <references count="5">
          <reference field="4" count="1" selected="0">
            <x v="1"/>
          </reference>
          <reference field="6" count="1" selected="0">
            <x v="3"/>
          </reference>
          <reference field="7" count="1" selected="0">
            <x v="3"/>
          </reference>
          <reference field="8" count="1" selected="0">
            <x v="19"/>
          </reference>
          <reference field="15" count="1">
            <x v="9"/>
          </reference>
        </references>
      </pivotArea>
    </format>
    <format dxfId="6570">
      <pivotArea dataOnly="0" labelOnly="1" fieldPosition="0">
        <references count="5">
          <reference field="4" count="1" selected="0">
            <x v="1"/>
          </reference>
          <reference field="6" count="1" selected="0">
            <x v="3"/>
          </reference>
          <reference field="7" count="1" selected="0">
            <x v="4"/>
          </reference>
          <reference field="8" count="1" selected="0">
            <x v="20"/>
          </reference>
          <reference field="15" count="1">
            <x v="34"/>
          </reference>
        </references>
      </pivotArea>
    </format>
    <format dxfId="6569">
      <pivotArea dataOnly="0" labelOnly="1" fieldPosition="0">
        <references count="5">
          <reference field="4" count="1" selected="0">
            <x v="1"/>
          </reference>
          <reference field="6" count="1" selected="0">
            <x v="3"/>
          </reference>
          <reference field="7" count="1" selected="0">
            <x v="4"/>
          </reference>
          <reference field="8" count="1" selected="0">
            <x v="21"/>
          </reference>
          <reference field="15" count="1">
            <x v="98"/>
          </reference>
        </references>
      </pivotArea>
    </format>
    <format dxfId="6568">
      <pivotArea dataOnly="0" labelOnly="1" fieldPosition="0">
        <references count="5">
          <reference field="4" count="1" selected="0">
            <x v="1"/>
          </reference>
          <reference field="6" count="1" selected="0">
            <x v="4"/>
          </reference>
          <reference field="7" count="1" selected="0">
            <x v="8"/>
          </reference>
          <reference field="8" count="1" selected="0">
            <x v="33"/>
          </reference>
          <reference field="15" count="1">
            <x v="237"/>
          </reference>
        </references>
      </pivotArea>
    </format>
    <format dxfId="6567">
      <pivotArea dataOnly="0" labelOnly="1" fieldPosition="0">
        <references count="5">
          <reference field="4" count="1" selected="0">
            <x v="1"/>
          </reference>
          <reference field="6" count="1" selected="0">
            <x v="4"/>
          </reference>
          <reference field="7" count="1" selected="0">
            <x v="8"/>
          </reference>
          <reference field="8" count="1" selected="0">
            <x v="34"/>
          </reference>
          <reference field="15" count="1">
            <x v="373"/>
          </reference>
        </references>
      </pivotArea>
    </format>
    <format dxfId="6566">
      <pivotArea dataOnly="0" labelOnly="1" fieldPosition="0">
        <references count="5">
          <reference field="4" count="1" selected="0">
            <x v="1"/>
          </reference>
          <reference field="6" count="1" selected="0">
            <x v="4"/>
          </reference>
          <reference field="7" count="1" selected="0">
            <x v="8"/>
          </reference>
          <reference field="8" count="1" selected="0">
            <x v="39"/>
          </reference>
          <reference field="15" count="2">
            <x v="233"/>
            <x v="234"/>
          </reference>
        </references>
      </pivotArea>
    </format>
    <format dxfId="6565">
      <pivotArea outline="0" collapsedLevelsAreSubtotals="1" fieldPosition="0">
        <references count="1">
          <reference field="4294967294" count="7" selected="0">
            <x v="0"/>
            <x v="1"/>
            <x v="2"/>
            <x v="3"/>
            <x v="4"/>
            <x v="5"/>
            <x v="6"/>
          </reference>
        </references>
      </pivotArea>
    </format>
    <format dxfId="6564">
      <pivotArea dataOnly="0" labelOnly="1" outline="0" fieldPosition="0">
        <references count="1">
          <reference field="2" count="1">
            <x v="1"/>
          </reference>
        </references>
      </pivotArea>
    </format>
    <format dxfId="6563">
      <pivotArea dataOnly="0" labelOnly="1" outline="0" fieldPosition="0">
        <references count="1">
          <reference field="4294967294" count="7">
            <x v="0"/>
            <x v="1"/>
            <x v="2"/>
            <x v="3"/>
            <x v="4"/>
            <x v="5"/>
            <x v="6"/>
          </reference>
        </references>
      </pivotArea>
    </format>
    <format dxfId="6562">
      <pivotArea outline="0" collapsedLevelsAreSubtotals="1" fieldPosition="0">
        <references count="1">
          <reference field="4294967294" count="2" selected="0">
            <x v="7"/>
            <x v="8"/>
          </reference>
        </references>
      </pivotArea>
    </format>
    <format dxfId="6561">
      <pivotArea dataOnly="0" labelOnly="1" outline="0" fieldPosition="0">
        <references count="1">
          <reference field="4294967294" count="2">
            <x v="7"/>
            <x v="8"/>
          </reference>
        </references>
      </pivotArea>
    </format>
    <format dxfId="6560">
      <pivotArea outline="0" collapsedLevelsAreSubtotals="1" fieldPosition="0">
        <references count="1">
          <reference field="4294967294" count="2" selected="0">
            <x v="7"/>
            <x v="8"/>
          </reference>
        </references>
      </pivotArea>
    </format>
    <format dxfId="6559">
      <pivotArea dataOnly="0" labelOnly="1" outline="0" fieldPosition="0">
        <references count="1">
          <reference field="4294967294" count="2">
            <x v="7"/>
            <x v="8"/>
          </reference>
        </references>
      </pivotArea>
    </format>
    <format dxfId="6558">
      <pivotArea type="all" dataOnly="0" outline="0" fieldPosition="0"/>
    </format>
    <format dxfId="6557">
      <pivotArea outline="0" collapsedLevelsAreSubtotals="1" fieldPosition="0"/>
    </format>
    <format dxfId="6556">
      <pivotArea field="4" type="button" dataOnly="0" labelOnly="1" outline="0" axis="axisRow" fieldPosition="0"/>
    </format>
    <format dxfId="6555">
      <pivotArea dataOnly="0" labelOnly="1" fieldPosition="0">
        <references count="1">
          <reference field="4" count="1">
            <x v="1"/>
          </reference>
        </references>
      </pivotArea>
    </format>
    <format dxfId="6554">
      <pivotArea dataOnly="0" labelOnly="1" grandRow="1" outline="0" fieldPosition="0"/>
    </format>
    <format dxfId="6553">
      <pivotArea dataOnly="0" labelOnly="1" fieldPosition="0">
        <references count="2">
          <reference field="4" count="1" selected="0">
            <x v="1"/>
          </reference>
          <reference field="6" count="3">
            <x v="0"/>
            <x v="3"/>
            <x v="4"/>
          </reference>
        </references>
      </pivotArea>
    </format>
    <format dxfId="6552">
      <pivotArea dataOnly="0" labelOnly="1" fieldPosition="0">
        <references count="3">
          <reference field="4" count="1" selected="0">
            <x v="1"/>
          </reference>
          <reference field="6" count="1" selected="0">
            <x v="0"/>
          </reference>
          <reference field="7" count="1">
            <x v="19"/>
          </reference>
        </references>
      </pivotArea>
    </format>
    <format dxfId="6551">
      <pivotArea dataOnly="0" labelOnly="1" fieldPosition="0">
        <references count="3">
          <reference field="4" count="1" selected="0">
            <x v="1"/>
          </reference>
          <reference field="6" count="1" selected="0">
            <x v="3"/>
          </reference>
          <reference field="7" count="3">
            <x v="2"/>
            <x v="3"/>
            <x v="4"/>
          </reference>
        </references>
      </pivotArea>
    </format>
    <format dxfId="6550">
      <pivotArea dataOnly="0" labelOnly="1" fieldPosition="0">
        <references count="3">
          <reference field="4" count="1" selected="0">
            <x v="1"/>
          </reference>
          <reference field="6" count="1" selected="0">
            <x v="4"/>
          </reference>
          <reference field="7" count="1">
            <x v="8"/>
          </reference>
        </references>
      </pivotArea>
    </format>
    <format dxfId="6549">
      <pivotArea dataOnly="0" labelOnly="1" fieldPosition="0">
        <references count="4">
          <reference field="4" count="1" selected="0">
            <x v="1"/>
          </reference>
          <reference field="6" count="1" selected="0">
            <x v="0"/>
          </reference>
          <reference field="7" count="1" selected="0">
            <x v="19"/>
          </reference>
          <reference field="8" count="1">
            <x v="81"/>
          </reference>
        </references>
      </pivotArea>
    </format>
    <format dxfId="6548">
      <pivotArea dataOnly="0" labelOnly="1" fieldPosition="0">
        <references count="4">
          <reference field="4" count="1" selected="0">
            <x v="1"/>
          </reference>
          <reference field="6" count="1" selected="0">
            <x v="3"/>
          </reference>
          <reference field="7" count="1" selected="0">
            <x v="2"/>
          </reference>
          <reference field="8" count="7">
            <x v="7"/>
            <x v="10"/>
            <x v="11"/>
            <x v="12"/>
            <x v="13"/>
            <x v="14"/>
            <x v="15"/>
          </reference>
        </references>
      </pivotArea>
    </format>
    <format dxfId="6547">
      <pivotArea dataOnly="0" labelOnly="1" fieldPosition="0">
        <references count="4">
          <reference field="4" count="1" selected="0">
            <x v="1"/>
          </reference>
          <reference field="6" count="1" selected="0">
            <x v="3"/>
          </reference>
          <reference field="7" count="1" selected="0">
            <x v="3"/>
          </reference>
          <reference field="8" count="2">
            <x v="18"/>
            <x v="19"/>
          </reference>
        </references>
      </pivotArea>
    </format>
    <format dxfId="6546">
      <pivotArea dataOnly="0" labelOnly="1" fieldPosition="0">
        <references count="4">
          <reference field="4" count="1" selected="0">
            <x v="1"/>
          </reference>
          <reference field="6" count="1" selected="0">
            <x v="3"/>
          </reference>
          <reference field="7" count="1" selected="0">
            <x v="4"/>
          </reference>
          <reference field="8" count="2">
            <x v="20"/>
            <x v="21"/>
          </reference>
        </references>
      </pivotArea>
    </format>
    <format dxfId="6545">
      <pivotArea dataOnly="0" labelOnly="1" fieldPosition="0">
        <references count="4">
          <reference field="4" count="1" selected="0">
            <x v="1"/>
          </reference>
          <reference field="6" count="1" selected="0">
            <x v="4"/>
          </reference>
          <reference field="7" count="1" selected="0">
            <x v="8"/>
          </reference>
          <reference field="8" count="3">
            <x v="33"/>
            <x v="34"/>
            <x v="39"/>
          </reference>
        </references>
      </pivotArea>
    </format>
    <format dxfId="6544">
      <pivotArea dataOnly="0" labelOnly="1" fieldPosition="0">
        <references count="5">
          <reference field="4" count="1" selected="0">
            <x v="1"/>
          </reference>
          <reference field="6" count="1" selected="0">
            <x v="0"/>
          </reference>
          <reference field="7" count="1" selected="0">
            <x v="19"/>
          </reference>
          <reference field="8" count="1" selected="0">
            <x v="81"/>
          </reference>
          <reference field="15" count="1">
            <x v="231"/>
          </reference>
        </references>
      </pivotArea>
    </format>
    <format dxfId="6543">
      <pivotArea dataOnly="0" labelOnly="1" fieldPosition="0">
        <references count="5">
          <reference field="4" count="1" selected="0">
            <x v="1"/>
          </reference>
          <reference field="6" count="1" selected="0">
            <x v="3"/>
          </reference>
          <reference field="7" count="1" selected="0">
            <x v="2"/>
          </reference>
          <reference field="8" count="1" selected="0">
            <x v="7"/>
          </reference>
          <reference field="15" count="5">
            <x v="117"/>
            <x v="124"/>
            <x v="131"/>
            <x v="380"/>
            <x v="400"/>
          </reference>
        </references>
      </pivotArea>
    </format>
    <format dxfId="6542">
      <pivotArea dataOnly="0" labelOnly="1" fieldPosition="0">
        <references count="5">
          <reference field="4" count="1" selected="0">
            <x v="1"/>
          </reference>
          <reference field="6" count="1" selected="0">
            <x v="3"/>
          </reference>
          <reference field="7" count="1" selected="0">
            <x v="2"/>
          </reference>
          <reference field="8" count="1" selected="0">
            <x v="10"/>
          </reference>
          <reference field="15" count="2">
            <x v="17"/>
            <x v="18"/>
          </reference>
        </references>
      </pivotArea>
    </format>
    <format dxfId="6541">
      <pivotArea dataOnly="0" labelOnly="1" fieldPosition="0">
        <references count="5">
          <reference field="4" count="1" selected="0">
            <x v="1"/>
          </reference>
          <reference field="6" count="1" selected="0">
            <x v="3"/>
          </reference>
          <reference field="7" count="1" selected="0">
            <x v="2"/>
          </reference>
          <reference field="8" count="1" selected="0">
            <x v="11"/>
          </reference>
          <reference field="15" count="2">
            <x v="7"/>
            <x v="8"/>
          </reference>
        </references>
      </pivotArea>
    </format>
    <format dxfId="6540">
      <pivotArea dataOnly="0" labelOnly="1" fieldPosition="0">
        <references count="5">
          <reference field="4" count="1" selected="0">
            <x v="1"/>
          </reference>
          <reference field="6" count="1" selected="0">
            <x v="3"/>
          </reference>
          <reference field="7" count="1" selected="0">
            <x v="2"/>
          </reference>
          <reference field="8" count="1" selected="0">
            <x v="12"/>
          </reference>
          <reference field="15" count="1">
            <x v="107"/>
          </reference>
        </references>
      </pivotArea>
    </format>
    <format dxfId="6539">
      <pivotArea dataOnly="0" labelOnly="1" fieldPosition="0">
        <references count="5">
          <reference field="4" count="1" selected="0">
            <x v="1"/>
          </reference>
          <reference field="6" count="1" selected="0">
            <x v="3"/>
          </reference>
          <reference field="7" count="1" selected="0">
            <x v="2"/>
          </reference>
          <reference field="8" count="1" selected="0">
            <x v="13"/>
          </reference>
          <reference field="15" count="1">
            <x v="6"/>
          </reference>
        </references>
      </pivotArea>
    </format>
    <format dxfId="6538">
      <pivotArea dataOnly="0" labelOnly="1" fieldPosition="0">
        <references count="5">
          <reference field="4" count="1" selected="0">
            <x v="1"/>
          </reference>
          <reference field="6" count="1" selected="0">
            <x v="3"/>
          </reference>
          <reference field="7" count="1" selected="0">
            <x v="2"/>
          </reference>
          <reference field="8" count="1" selected="0">
            <x v="14"/>
          </reference>
          <reference field="15" count="2">
            <x v="46"/>
            <x v="47"/>
          </reference>
        </references>
      </pivotArea>
    </format>
    <format dxfId="6537">
      <pivotArea dataOnly="0" labelOnly="1" fieldPosition="0">
        <references count="5">
          <reference field="4" count="1" selected="0">
            <x v="1"/>
          </reference>
          <reference field="6" count="1" selected="0">
            <x v="3"/>
          </reference>
          <reference field="7" count="1" selected="0">
            <x v="2"/>
          </reference>
          <reference field="8" count="1" selected="0">
            <x v="15"/>
          </reference>
          <reference field="15" count="1">
            <x v="372"/>
          </reference>
        </references>
      </pivotArea>
    </format>
    <format dxfId="6536">
      <pivotArea dataOnly="0" labelOnly="1" fieldPosition="0">
        <references count="5">
          <reference field="4" count="1" selected="0">
            <x v="1"/>
          </reference>
          <reference field="6" count="1" selected="0">
            <x v="3"/>
          </reference>
          <reference field="7" count="1" selected="0">
            <x v="3"/>
          </reference>
          <reference field="8" count="1" selected="0">
            <x v="18"/>
          </reference>
          <reference field="15" count="1">
            <x v="232"/>
          </reference>
        </references>
      </pivotArea>
    </format>
    <format dxfId="6535">
      <pivotArea dataOnly="0" labelOnly="1" fieldPosition="0">
        <references count="5">
          <reference field="4" count="1" selected="0">
            <x v="1"/>
          </reference>
          <reference field="6" count="1" selected="0">
            <x v="3"/>
          </reference>
          <reference field="7" count="1" selected="0">
            <x v="3"/>
          </reference>
          <reference field="8" count="1" selected="0">
            <x v="19"/>
          </reference>
          <reference field="15" count="1">
            <x v="9"/>
          </reference>
        </references>
      </pivotArea>
    </format>
    <format dxfId="6534">
      <pivotArea dataOnly="0" labelOnly="1" fieldPosition="0">
        <references count="5">
          <reference field="4" count="1" selected="0">
            <x v="1"/>
          </reference>
          <reference field="6" count="1" selected="0">
            <x v="3"/>
          </reference>
          <reference field="7" count="1" selected="0">
            <x v="4"/>
          </reference>
          <reference field="8" count="1" selected="0">
            <x v="20"/>
          </reference>
          <reference field="15" count="1">
            <x v="34"/>
          </reference>
        </references>
      </pivotArea>
    </format>
    <format dxfId="6533">
      <pivotArea dataOnly="0" labelOnly="1" fieldPosition="0">
        <references count="5">
          <reference field="4" count="1" selected="0">
            <x v="1"/>
          </reference>
          <reference field="6" count="1" selected="0">
            <x v="3"/>
          </reference>
          <reference field="7" count="1" selected="0">
            <x v="4"/>
          </reference>
          <reference field="8" count="1" selected="0">
            <x v="21"/>
          </reference>
          <reference field="15" count="1">
            <x v="98"/>
          </reference>
        </references>
      </pivotArea>
    </format>
    <format dxfId="6532">
      <pivotArea dataOnly="0" labelOnly="1" fieldPosition="0">
        <references count="5">
          <reference field="4" count="1" selected="0">
            <x v="1"/>
          </reference>
          <reference field="6" count="1" selected="0">
            <x v="4"/>
          </reference>
          <reference field="7" count="1" selected="0">
            <x v="8"/>
          </reference>
          <reference field="8" count="1" selected="0">
            <x v="33"/>
          </reference>
          <reference field="15" count="1">
            <x v="237"/>
          </reference>
        </references>
      </pivotArea>
    </format>
    <format dxfId="6531">
      <pivotArea dataOnly="0" labelOnly="1" fieldPosition="0">
        <references count="5">
          <reference field="4" count="1" selected="0">
            <x v="1"/>
          </reference>
          <reference field="6" count="1" selected="0">
            <x v="4"/>
          </reference>
          <reference field="7" count="1" selected="0">
            <x v="8"/>
          </reference>
          <reference field="8" count="1" selected="0">
            <x v="34"/>
          </reference>
          <reference field="15" count="1">
            <x v="373"/>
          </reference>
        </references>
      </pivotArea>
    </format>
    <format dxfId="6530">
      <pivotArea dataOnly="0" labelOnly="1" fieldPosition="0">
        <references count="5">
          <reference field="4" count="1" selected="0">
            <x v="1"/>
          </reference>
          <reference field="6" count="1" selected="0">
            <x v="4"/>
          </reference>
          <reference field="7" count="1" selected="0">
            <x v="8"/>
          </reference>
          <reference field="8" count="1" selected="0">
            <x v="39"/>
          </reference>
          <reference field="15" count="2">
            <x v="233"/>
            <x v="234"/>
          </reference>
        </references>
      </pivotArea>
    </format>
    <format dxfId="6529">
      <pivotArea dataOnly="0" labelOnly="1" outline="0" fieldPosition="0">
        <references count="1">
          <reference field="4294967294" count="9">
            <x v="0"/>
            <x v="1"/>
            <x v="2"/>
            <x v="3"/>
            <x v="4"/>
            <x v="5"/>
            <x v="6"/>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9" cacheId="2" applyNumberFormats="0" applyBorderFormats="0" applyFontFormats="0" applyPatternFormats="0" applyAlignmentFormats="0" applyWidthHeightFormats="1" dataCaption="Valores" grandTotalCaption="TOTAL " updatedVersion="8" minRefreshableVersion="3" useAutoFormatting="1" itemPrintTitles="1" createdVersion="8" indent="0" outline="1" outlineData="1" multipleFieldFilters="0" rowHeaderCaption="UNIDAD EJECUTORA">
  <location ref="A3:J41" firstHeaderRow="0" firstDataRow="1" firstDataCol="1" rowPageCount="1" colPageCount="1"/>
  <pivotFields count="33">
    <pivotField showAll="0"/>
    <pivotField showAll="0"/>
    <pivotField axis="axisPage" showAll="0">
      <items count="22">
        <item x="4"/>
        <item x="3"/>
        <item x="14"/>
        <item x="0"/>
        <item x="13"/>
        <item x="17"/>
        <item x="7"/>
        <item x="9"/>
        <item x="15"/>
        <item x="8"/>
        <item x="1"/>
        <item x="16"/>
        <item x="12"/>
        <item x="20"/>
        <item x="5"/>
        <item x="10"/>
        <item x="6"/>
        <item x="11"/>
        <item x="19"/>
        <item x="2"/>
        <item x="18"/>
        <item t="default"/>
      </items>
    </pivotField>
    <pivotField showAll="0"/>
    <pivotField axis="axisRow" showAll="0">
      <items count="22">
        <item x="4"/>
        <item x="3"/>
        <item x="14"/>
        <item x="0"/>
        <item x="13"/>
        <item x="17"/>
        <item x="7"/>
        <item x="9"/>
        <item x="15"/>
        <item x="8"/>
        <item x="1"/>
        <item x="16"/>
        <item x="12"/>
        <item x="20"/>
        <item x="5"/>
        <item x="10"/>
        <item x="6"/>
        <item x="11"/>
        <item x="19"/>
        <item x="2"/>
        <item x="18"/>
        <item t="default"/>
      </items>
    </pivotField>
    <pivotField numFmtId="1" showAll="0"/>
    <pivotField axis="axisRow" showAll="0">
      <items count="6">
        <item x="1"/>
        <item x="2"/>
        <item x="3"/>
        <item x="0"/>
        <item x="4"/>
        <item t="default"/>
      </items>
    </pivotField>
    <pivotField axis="axisRow" showAll="0">
      <items count="34">
        <item x="19"/>
        <item x="27"/>
        <item x="1"/>
        <item x="2"/>
        <item x="8"/>
        <item x="30"/>
        <item x="0"/>
        <item x="32"/>
        <item x="25"/>
        <item x="29"/>
        <item x="12"/>
        <item x="15"/>
        <item x="13"/>
        <item x="28"/>
        <item x="23"/>
        <item x="31"/>
        <item x="16"/>
        <item x="10"/>
        <item x="18"/>
        <item x="3"/>
        <item x="14"/>
        <item x="20"/>
        <item x="17"/>
        <item x="9"/>
        <item x="6"/>
        <item x="7"/>
        <item x="4"/>
        <item x="5"/>
        <item x="24"/>
        <item x="11"/>
        <item x="21"/>
        <item x="26"/>
        <item x="22"/>
        <item t="default"/>
      </items>
    </pivotField>
    <pivotField axis="axisRow" showAll="0">
      <items count="161">
        <item x="62"/>
        <item x="155"/>
        <item x="112"/>
        <item x="156"/>
        <item x="118"/>
        <item x="154"/>
        <item x="140"/>
        <item x="60"/>
        <item x="153"/>
        <item x="102"/>
        <item x="7"/>
        <item x="2"/>
        <item x="52"/>
        <item x="1"/>
        <item x="22"/>
        <item x="151"/>
        <item x="105"/>
        <item x="114"/>
        <item x="82"/>
        <item x="3"/>
        <item x="15"/>
        <item x="49"/>
        <item x="135"/>
        <item x="134"/>
        <item x="139"/>
        <item x="142"/>
        <item x="138"/>
        <item x="141"/>
        <item x="128"/>
        <item x="0"/>
        <item x="103"/>
        <item x="159"/>
        <item x="150"/>
        <item x="86"/>
        <item x="152"/>
        <item x="137"/>
        <item x="110"/>
        <item x="79"/>
        <item x="80"/>
        <item x="83"/>
        <item x="126"/>
        <item x="131"/>
        <item x="132"/>
        <item x="129"/>
        <item x="28"/>
        <item x="27"/>
        <item x="29"/>
        <item x="26"/>
        <item x="43"/>
        <item x="42"/>
        <item x="32"/>
        <item x="122"/>
        <item x="124"/>
        <item x="123"/>
        <item x="111"/>
        <item x="69"/>
        <item x="136"/>
        <item x="55"/>
        <item x="119"/>
        <item x="46"/>
        <item x="50"/>
        <item x="117"/>
        <item x="45"/>
        <item x="127"/>
        <item x="106"/>
        <item x="53"/>
        <item x="147"/>
        <item x="146"/>
        <item x="38"/>
        <item x="20"/>
        <item x="144"/>
        <item x="145"/>
        <item x="74"/>
        <item x="89"/>
        <item x="57"/>
        <item x="59"/>
        <item x="88"/>
        <item x="108"/>
        <item x="85"/>
        <item x="5"/>
        <item x="4"/>
        <item x="81"/>
        <item x="35"/>
        <item x="36"/>
        <item x="37"/>
        <item x="98"/>
        <item x="67"/>
        <item x="63"/>
        <item x="116"/>
        <item x="125"/>
        <item x="157"/>
        <item x="101"/>
        <item x="66"/>
        <item x="149"/>
        <item x="51"/>
        <item x="90"/>
        <item x="91"/>
        <item x="97"/>
        <item x="21"/>
        <item x="94"/>
        <item x="93"/>
        <item x="95"/>
        <item x="18"/>
        <item x="92"/>
        <item x="96"/>
        <item x="11"/>
        <item x="87"/>
        <item x="61"/>
        <item x="48"/>
        <item x="47"/>
        <item x="58"/>
        <item x="130"/>
        <item x="39"/>
        <item x="33"/>
        <item x="100"/>
        <item x="16"/>
        <item x="30"/>
        <item x="44"/>
        <item x="34"/>
        <item x="31"/>
        <item x="41"/>
        <item x="19"/>
        <item x="17"/>
        <item x="14"/>
        <item x="99"/>
        <item x="12"/>
        <item x="8"/>
        <item x="78"/>
        <item x="13"/>
        <item x="133"/>
        <item x="148"/>
        <item x="6"/>
        <item x="9"/>
        <item x="10"/>
        <item x="77"/>
        <item x="54"/>
        <item x="40"/>
        <item x="56"/>
        <item x="104"/>
        <item x="76"/>
        <item x="25"/>
        <item x="109"/>
        <item x="113"/>
        <item x="115"/>
        <item x="24"/>
        <item x="23"/>
        <item x="70"/>
        <item x="64"/>
        <item x="73"/>
        <item x="71"/>
        <item x="75"/>
        <item x="158"/>
        <item x="65"/>
        <item x="72"/>
        <item x="107"/>
        <item x="84"/>
        <item x="121"/>
        <item x="120"/>
        <item x="143"/>
        <item x="68"/>
        <item t="default"/>
      </items>
    </pivotField>
    <pivotField showAll="0"/>
    <pivotField showAll="0"/>
    <pivotField showAll="0"/>
    <pivotField showAll="0"/>
    <pivotField showAll="0"/>
    <pivotField showAll="0"/>
    <pivotField axis="axisRow" showAll="0">
      <items count="402">
        <item x="1"/>
        <item x="0"/>
        <item x="3"/>
        <item x="2"/>
        <item x="4"/>
        <item x="5"/>
        <item x="6"/>
        <item x="8"/>
        <item x="7"/>
        <item x="9"/>
        <item x="11"/>
        <item x="10"/>
        <item x="12"/>
        <item x="13"/>
        <item x="16"/>
        <item x="15"/>
        <item x="14"/>
        <item x="18"/>
        <item x="17"/>
        <item x="19"/>
        <item x="20"/>
        <item x="21"/>
        <item x="22"/>
        <item x="23"/>
        <item x="25"/>
        <item x="24"/>
        <item x="27"/>
        <item x="26"/>
        <item x="28"/>
        <item x="29"/>
        <item x="30"/>
        <item x="31"/>
        <item x="32"/>
        <item x="33"/>
        <item x="34"/>
        <item x="35"/>
        <item x="36"/>
        <item x="37"/>
        <item x="38"/>
        <item x="39"/>
        <item x="40"/>
        <item x="41"/>
        <item x="42"/>
        <item x="43"/>
        <item x="44"/>
        <item x="45"/>
        <item x="46"/>
        <item x="47"/>
        <item x="48"/>
        <item x="49"/>
        <item x="50"/>
        <item x="51"/>
        <item x="52"/>
        <item x="53"/>
        <item x="54"/>
        <item x="55"/>
        <item x="56"/>
        <item x="58"/>
        <item x="57"/>
        <item x="59"/>
        <item x="60"/>
        <item x="61"/>
        <item x="62"/>
        <item x="63"/>
        <item x="65"/>
        <item x="64"/>
        <item x="66"/>
        <item x="67"/>
        <item x="68"/>
        <item x="69"/>
        <item x="70"/>
        <item x="71"/>
        <item x="72"/>
        <item x="74"/>
        <item x="73"/>
        <item x="75"/>
        <item x="76"/>
        <item x="77"/>
        <item x="78"/>
        <item x="79"/>
        <item x="80"/>
        <item x="81"/>
        <item x="82"/>
        <item x="83"/>
        <item x="84"/>
        <item x="85"/>
        <item x="86"/>
        <item x="87"/>
        <item x="88"/>
        <item x="89"/>
        <item x="90"/>
        <item x="91"/>
        <item x="92"/>
        <item x="93"/>
        <item x="95"/>
        <item x="94"/>
        <item x="96"/>
        <item x="97"/>
        <item x="98"/>
        <item x="99"/>
        <item x="101"/>
        <item x="100"/>
        <item x="103"/>
        <item x="102"/>
        <item x="104"/>
        <item x="105"/>
        <item x="106"/>
        <item x="107"/>
        <item x="108"/>
        <item x="109"/>
        <item x="110"/>
        <item x="111"/>
        <item x="112"/>
        <item x="114"/>
        <item x="113"/>
        <item x="115"/>
        <item x="116"/>
        <item x="117"/>
        <item x="118"/>
        <item x="119"/>
        <item x="122"/>
        <item x="120"/>
        <item x="121"/>
        <item x="123"/>
        <item x="124"/>
        <item x="125"/>
        <item x="126"/>
        <item x="127"/>
        <item x="129"/>
        <item x="128"/>
        <item x="130"/>
        <item x="131"/>
        <item x="132"/>
        <item x="133"/>
        <item x="134"/>
        <item x="135"/>
        <item x="136"/>
        <item x="137"/>
        <item x="138"/>
        <item x="139"/>
        <item x="140"/>
        <item x="141"/>
        <item x="142"/>
        <item x="143"/>
        <item x="144"/>
        <item x="145"/>
        <item x="146"/>
        <item x="147"/>
        <item x="148"/>
        <item x="149"/>
        <item x="151"/>
        <item x="150"/>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3"/>
        <item x="192"/>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4"/>
        <item x="233"/>
        <item x="235"/>
        <item x="236"/>
        <item x="237"/>
        <item x="238"/>
        <item x="239"/>
        <item x="240"/>
        <item x="241"/>
        <item x="242"/>
        <item x="243"/>
        <item x="244"/>
        <item x="246"/>
        <item x="245"/>
        <item x="247"/>
        <item x="248"/>
        <item x="249"/>
        <item x="250"/>
        <item x="251"/>
        <item x="252"/>
        <item x="253"/>
        <item x="254"/>
        <item x="255"/>
        <item x="256"/>
        <item x="257"/>
        <item x="258"/>
        <item x="259"/>
        <item x="260"/>
        <item x="261"/>
        <item x="262"/>
        <item x="263"/>
        <item x="264"/>
        <item x="265"/>
        <item x="266"/>
        <item x="268"/>
        <item x="267"/>
        <item x="269"/>
        <item x="270"/>
        <item x="271"/>
        <item x="272"/>
        <item x="273"/>
        <item x="274"/>
        <item x="275"/>
        <item x="277"/>
        <item x="276"/>
        <item x="278"/>
        <item x="279"/>
        <item x="280"/>
        <item x="281"/>
        <item x="282"/>
        <item x="283"/>
        <item x="285"/>
        <item x="284"/>
        <item x="288"/>
        <item x="286"/>
        <item x="287"/>
        <item x="289"/>
        <item x="290"/>
        <item x="291"/>
        <item x="292"/>
        <item x="293"/>
        <item x="294"/>
        <item x="295"/>
        <item x="297"/>
        <item x="296"/>
        <item x="298"/>
        <item x="299"/>
        <item x="300"/>
        <item x="301"/>
        <item x="302"/>
        <item x="303"/>
        <item x="304"/>
        <item x="305"/>
        <item x="306"/>
        <item x="307"/>
        <item x="308"/>
        <item x="309"/>
        <item x="310"/>
        <item x="311"/>
        <item x="312"/>
        <item x="313"/>
        <item x="314"/>
        <item x="316"/>
        <item x="315"/>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7"/>
        <item x="346"/>
        <item x="348"/>
        <item x="349"/>
        <item x="350"/>
        <item x="351"/>
        <item x="352"/>
        <item x="353"/>
        <item x="354"/>
        <item x="355"/>
        <item x="357"/>
        <item x="356"/>
        <item x="358"/>
        <item x="360"/>
        <item x="359"/>
        <item x="361"/>
        <item x="362"/>
        <item x="363"/>
        <item x="364"/>
        <item x="365"/>
        <item x="366"/>
        <item x="368"/>
        <item x="367"/>
        <item x="369"/>
        <item x="370"/>
        <item x="371"/>
        <item x="372"/>
        <item x="373"/>
        <item x="374"/>
        <item x="376"/>
        <item x="375"/>
        <item x="377"/>
        <item x="378"/>
        <item x="379"/>
        <item x="380"/>
        <item x="381"/>
        <item x="382"/>
        <item x="383"/>
        <item x="384"/>
        <item x="385"/>
        <item x="386"/>
        <item x="387"/>
        <item x="389"/>
        <item x="388"/>
        <item x="390"/>
        <item x="391"/>
        <item x="392"/>
        <item x="393"/>
        <item x="394"/>
        <item x="395"/>
        <item x="396"/>
        <item x="397"/>
        <item x="398"/>
        <item x="399"/>
        <item x="400"/>
        <item t="default"/>
      </items>
    </pivotField>
    <pivotField showAll="0"/>
    <pivotField showAll="0"/>
    <pivotField dataField="1" numFmtId="43" showAll="0"/>
    <pivotField numFmtId="43" showAll="0"/>
    <pivotField dataField="1" numFmtId="43" showAll="0"/>
    <pivotField numFmtId="43" showAll="0"/>
    <pivotField numFmtId="43" showAll="0"/>
    <pivotField dataField="1" numFmtId="43" showAll="0"/>
    <pivotField numFmtId="43" showAll="0"/>
    <pivotField dataField="1" numFmtId="43" showAll="0"/>
    <pivotField numFmtId="43" showAll="0"/>
    <pivotField numFmtId="43" showAll="0"/>
    <pivotField dataField="1" numFmtId="43" showAl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5">
    <field x="4"/>
    <field x="6"/>
    <field x="7"/>
    <field x="8"/>
    <field x="15"/>
  </rowFields>
  <rowItems count="38">
    <i>
      <x v="2"/>
    </i>
    <i r="1">
      <x v="2"/>
    </i>
    <i r="2">
      <x v="29"/>
    </i>
    <i r="3">
      <x v="145"/>
    </i>
    <i r="4">
      <x v="377"/>
    </i>
    <i r="3">
      <x v="146"/>
    </i>
    <i r="4">
      <x v="139"/>
    </i>
    <i r="3">
      <x v="147"/>
    </i>
    <i r="4">
      <x v="127"/>
    </i>
    <i r="3">
      <x v="148"/>
    </i>
    <i r="4">
      <x v="142"/>
    </i>
    <i r="3">
      <x v="149"/>
    </i>
    <i r="4">
      <x v="140"/>
    </i>
    <i r="3">
      <x v="150"/>
    </i>
    <i r="4">
      <x v="144"/>
    </i>
    <i r="2">
      <x v="30"/>
    </i>
    <i r="3">
      <x v="152"/>
    </i>
    <i r="4">
      <x v="128"/>
    </i>
    <i r="4">
      <x v="129"/>
    </i>
    <i r="3">
      <x v="153"/>
    </i>
    <i r="4">
      <x v="141"/>
    </i>
    <i r="1">
      <x v="3"/>
    </i>
    <i r="2">
      <x v="5"/>
    </i>
    <i r="3">
      <x v="24"/>
    </i>
    <i r="4">
      <x v="339"/>
    </i>
    <i r="2">
      <x v="7"/>
    </i>
    <i r="3">
      <x v="31"/>
    </i>
    <i r="4">
      <x v="391"/>
    </i>
    <i r="4">
      <x v="392"/>
    </i>
    <i r="3">
      <x v="32"/>
    </i>
    <i r="4">
      <x v="371"/>
    </i>
    <i r="1">
      <x v="4"/>
    </i>
    <i r="2">
      <x v="8"/>
    </i>
    <i r="3">
      <x v="36"/>
    </i>
    <i r="4">
      <x v="379"/>
    </i>
    <i r="3">
      <x v="39"/>
    </i>
    <i r="4">
      <x v="378"/>
    </i>
    <i t="grand">
      <x/>
    </i>
  </rowItems>
  <colFields count="1">
    <field x="-2"/>
  </colFields>
  <colItems count="9">
    <i>
      <x/>
    </i>
    <i i="1">
      <x v="1"/>
    </i>
    <i i="2">
      <x v="2"/>
    </i>
    <i i="3">
      <x v="3"/>
    </i>
    <i i="4">
      <x v="4"/>
    </i>
    <i i="5">
      <x v="5"/>
    </i>
    <i i="6">
      <x v="6"/>
    </i>
    <i i="7">
      <x v="7"/>
    </i>
    <i i="8">
      <x v="8"/>
    </i>
  </colItems>
  <pageFields count="1">
    <pageField fld="2" item="2" hier="-1"/>
  </pageFields>
  <dataFields count="9">
    <dataField name="PPTO INICIAL" fld="18" baseField="4" baseItem="0"/>
    <dataField name="PPTO VIGENTE" fld="20" baseField="4" baseItem="0"/>
    <dataField name="COMPROMISOS." fld="23" baseField="4" baseItem="0"/>
    <dataField name="GIROS." fld="25" baseField="4" baseItem="0"/>
    <dataField name="PAGOS " fld="28" baseField="4" baseItem="0"/>
    <dataField name=" SALDO APROPIACIÓN CDP" fld="29" baseField="4" baseItem="0" numFmtId="43"/>
    <dataField name="SALDO APROPIACIÓN RP" fld="30" baseField="4" baseItem="0" numFmtId="43"/>
    <dataField name="Suma de % CDP" fld="31" baseField="0" baseItem="0" numFmtId="43"/>
    <dataField name="Suma de % RP" fld="32" baseField="0" baseItem="0" numFmtId="43"/>
  </dataFields>
  <formats count="337">
    <format dxfId="6528">
      <pivotArea dataOnly="0" labelOnly="1" fieldPosition="0">
        <references count="1">
          <reference field="4" count="0"/>
        </references>
      </pivotArea>
    </format>
    <format dxfId="6527">
      <pivotArea dataOnly="0" labelOnly="1" fieldPosition="0">
        <references count="1">
          <reference field="4" count="1">
            <x v="0"/>
          </reference>
        </references>
      </pivotArea>
    </format>
    <format dxfId="6526">
      <pivotArea dataOnly="0" labelOnly="1" fieldPosition="0">
        <references count="1">
          <reference field="6" count="0"/>
        </references>
      </pivotArea>
    </format>
    <format dxfId="6525">
      <pivotArea dataOnly="0" labelOnly="1" fieldPosition="0">
        <references count="1">
          <reference field="7" count="0"/>
        </references>
      </pivotArea>
    </format>
    <format dxfId="6524">
      <pivotArea dataOnly="0" labelOnly="1" fieldPosition="0">
        <references count="1">
          <reference field="7" count="0"/>
        </references>
      </pivotArea>
    </format>
    <format dxfId="6523">
      <pivotArea dataOnly="0" labelOnly="1" fieldPosition="0">
        <references count="1">
          <reference field="8" count="0"/>
        </references>
      </pivotArea>
    </format>
    <format dxfId="6522">
      <pivotArea outline="0" collapsedLevelsAreSubtotals="1" fieldPosition="0"/>
    </format>
    <format dxfId="6521">
      <pivotArea dataOnly="0" labelOnly="1" outline="0" fieldPosition="0">
        <references count="1">
          <reference field="2" count="0"/>
        </references>
      </pivotArea>
    </format>
    <format dxfId="6520">
      <pivotArea dataOnly="0" labelOnly="1" outline="0" fieldPosition="0">
        <references count="1">
          <reference field="4294967294" count="9">
            <x v="0"/>
            <x v="1"/>
            <x v="2"/>
            <x v="3"/>
            <x v="4"/>
            <x v="5"/>
            <x v="6"/>
            <x v="7"/>
            <x v="8"/>
          </reference>
        </references>
      </pivotArea>
    </format>
    <format dxfId="6519">
      <pivotArea field="2" type="button" dataOnly="0" labelOnly="1" outline="0" axis="axisPage" fieldPosition="0"/>
    </format>
    <format dxfId="6518">
      <pivotArea field="4" type="button" dataOnly="0" labelOnly="1" outline="0" axis="axisRow" fieldPosition="0"/>
    </format>
    <format dxfId="6517">
      <pivotArea dataOnly="0" labelOnly="1" fieldPosition="0">
        <references count="1">
          <reference field="4" count="0"/>
        </references>
      </pivotArea>
    </format>
    <format dxfId="6516">
      <pivotArea dataOnly="0" labelOnly="1" grandRow="1" outline="0" fieldPosition="0"/>
    </format>
    <format dxfId="6515">
      <pivotArea dataOnly="0" labelOnly="1" fieldPosition="0">
        <references count="2">
          <reference field="4" count="1" selected="0">
            <x v="0"/>
          </reference>
          <reference field="6" count="2">
            <x v="0"/>
            <x v="1"/>
          </reference>
        </references>
      </pivotArea>
    </format>
    <format dxfId="6514">
      <pivotArea dataOnly="0" labelOnly="1" fieldPosition="0">
        <references count="2">
          <reference field="4" count="1" selected="0">
            <x v="1"/>
          </reference>
          <reference field="6" count="3">
            <x v="0"/>
            <x v="3"/>
            <x v="4"/>
          </reference>
        </references>
      </pivotArea>
    </format>
    <format dxfId="6513">
      <pivotArea dataOnly="0" labelOnly="1" fieldPosition="0">
        <references count="2">
          <reference field="4" count="1" selected="0">
            <x v="2"/>
          </reference>
          <reference field="6" count="3">
            <x v="2"/>
            <x v="3"/>
            <x v="4"/>
          </reference>
        </references>
      </pivotArea>
    </format>
    <format dxfId="6512">
      <pivotArea dataOnly="0" labelOnly="1" fieldPosition="0">
        <references count="2">
          <reference field="4" count="1" selected="0">
            <x v="3"/>
          </reference>
          <reference field="6" count="1">
            <x v="3"/>
          </reference>
        </references>
      </pivotArea>
    </format>
    <format dxfId="6511">
      <pivotArea dataOnly="0" labelOnly="1" fieldPosition="0">
        <references count="2">
          <reference field="4" count="1" selected="0">
            <x v="4"/>
          </reference>
          <reference field="6" count="4">
            <x v="0"/>
            <x v="1"/>
            <x v="2"/>
            <x v="3"/>
          </reference>
        </references>
      </pivotArea>
    </format>
    <format dxfId="6510">
      <pivotArea dataOnly="0" labelOnly="1" fieldPosition="0">
        <references count="2">
          <reference field="4" count="1" selected="0">
            <x v="5"/>
          </reference>
          <reference field="6" count="2">
            <x v="0"/>
            <x v="4"/>
          </reference>
        </references>
      </pivotArea>
    </format>
    <format dxfId="6509">
      <pivotArea dataOnly="0" labelOnly="1" fieldPosition="0">
        <references count="2">
          <reference field="4" count="1" selected="0">
            <x v="6"/>
          </reference>
          <reference field="6" count="1">
            <x v="1"/>
          </reference>
        </references>
      </pivotArea>
    </format>
    <format dxfId="6508">
      <pivotArea dataOnly="0" labelOnly="1" fieldPosition="0">
        <references count="2">
          <reference field="4" count="1" selected="0">
            <x v="7"/>
          </reference>
          <reference field="6" count="4">
            <x v="0"/>
            <x v="2"/>
            <x v="3"/>
            <x v="4"/>
          </reference>
        </references>
      </pivotArea>
    </format>
    <format dxfId="6507">
      <pivotArea dataOnly="0" labelOnly="1" fieldPosition="0">
        <references count="2">
          <reference field="4" count="1" selected="0">
            <x v="8"/>
          </reference>
          <reference field="6" count="4">
            <x v="0"/>
            <x v="1"/>
            <x v="2"/>
            <x v="3"/>
          </reference>
        </references>
      </pivotArea>
    </format>
    <format dxfId="6506">
      <pivotArea dataOnly="0" labelOnly="1" fieldPosition="0">
        <references count="2">
          <reference field="4" count="1" selected="0">
            <x v="9"/>
          </reference>
          <reference field="6" count="1">
            <x v="1"/>
          </reference>
        </references>
      </pivotArea>
    </format>
    <format dxfId="6505">
      <pivotArea dataOnly="0" labelOnly="1" fieldPosition="0">
        <references count="2">
          <reference field="4" count="1" selected="0">
            <x v="10"/>
          </reference>
          <reference field="6" count="1">
            <x v="3"/>
          </reference>
        </references>
      </pivotArea>
    </format>
    <format dxfId="6504">
      <pivotArea dataOnly="0" labelOnly="1" fieldPosition="0">
        <references count="2">
          <reference field="4" count="1" selected="0">
            <x v="11"/>
          </reference>
          <reference field="6" count="1">
            <x v="0"/>
          </reference>
        </references>
      </pivotArea>
    </format>
    <format dxfId="6503">
      <pivotArea dataOnly="0" labelOnly="1" fieldPosition="0">
        <references count="2">
          <reference field="4" count="1" selected="0">
            <x v="12"/>
          </reference>
          <reference field="6" count="1">
            <x v="0"/>
          </reference>
        </references>
      </pivotArea>
    </format>
    <format dxfId="6502">
      <pivotArea dataOnly="0" labelOnly="1" fieldPosition="0">
        <references count="2">
          <reference field="4" count="1" selected="0">
            <x v="13"/>
          </reference>
          <reference field="6" count="1">
            <x v="3"/>
          </reference>
        </references>
      </pivotArea>
    </format>
    <format dxfId="6501">
      <pivotArea dataOnly="0" labelOnly="1" fieldPosition="0">
        <references count="2">
          <reference field="4" count="1" selected="0">
            <x v="14"/>
          </reference>
          <reference field="6" count="1">
            <x v="1"/>
          </reference>
        </references>
      </pivotArea>
    </format>
    <format dxfId="6500">
      <pivotArea dataOnly="0" labelOnly="1" fieldPosition="0">
        <references count="2">
          <reference field="4" count="1" selected="0">
            <x v="15"/>
          </reference>
          <reference field="6" count="1">
            <x v="0"/>
          </reference>
        </references>
      </pivotArea>
    </format>
    <format dxfId="6499">
      <pivotArea dataOnly="0" labelOnly="1" fieldPosition="0">
        <references count="2">
          <reference field="4" count="1" selected="0">
            <x v="16"/>
          </reference>
          <reference field="6" count="3">
            <x v="1"/>
            <x v="3"/>
            <x v="4"/>
          </reference>
        </references>
      </pivotArea>
    </format>
    <format dxfId="6498">
      <pivotArea dataOnly="0" labelOnly="1" fieldPosition="0">
        <references count="2">
          <reference field="4" count="1" selected="0">
            <x v="17"/>
          </reference>
          <reference field="6" count="1">
            <x v="0"/>
          </reference>
        </references>
      </pivotArea>
    </format>
    <format dxfId="6497">
      <pivotArea dataOnly="0" labelOnly="1" fieldPosition="0">
        <references count="2">
          <reference field="4" count="1" selected="0">
            <x v="18"/>
          </reference>
          <reference field="6" count="1">
            <x v="3"/>
          </reference>
        </references>
      </pivotArea>
    </format>
    <format dxfId="6496">
      <pivotArea dataOnly="0" labelOnly="1" fieldPosition="0">
        <references count="2">
          <reference field="4" count="1" selected="0">
            <x v="19"/>
          </reference>
          <reference field="6" count="1">
            <x v="3"/>
          </reference>
        </references>
      </pivotArea>
    </format>
    <format dxfId="6495">
      <pivotArea dataOnly="0" labelOnly="1" fieldPosition="0">
        <references count="2">
          <reference field="4" count="1" selected="0">
            <x v="20"/>
          </reference>
          <reference field="6" count="1">
            <x v="1"/>
          </reference>
        </references>
      </pivotArea>
    </format>
    <format dxfId="6494">
      <pivotArea dataOnly="0" labelOnly="1" fieldPosition="0">
        <references count="3">
          <reference field="4" count="1" selected="0">
            <x v="0"/>
          </reference>
          <reference field="6" count="1" selected="0">
            <x v="0"/>
          </reference>
          <reference field="7" count="2">
            <x v="17"/>
            <x v="19"/>
          </reference>
        </references>
      </pivotArea>
    </format>
    <format dxfId="6493">
      <pivotArea dataOnly="0" labelOnly="1" fieldPosition="0">
        <references count="3">
          <reference field="4" count="1" selected="0">
            <x v="0"/>
          </reference>
          <reference field="6" count="1" selected="0">
            <x v="1"/>
          </reference>
          <reference field="7" count="2">
            <x v="23"/>
            <x v="26"/>
          </reference>
        </references>
      </pivotArea>
    </format>
    <format dxfId="6492">
      <pivotArea dataOnly="0" labelOnly="1" fieldPosition="0">
        <references count="3">
          <reference field="4" count="1" selected="0">
            <x v="1"/>
          </reference>
          <reference field="6" count="1" selected="0">
            <x v="0"/>
          </reference>
          <reference field="7" count="1">
            <x v="19"/>
          </reference>
        </references>
      </pivotArea>
    </format>
    <format dxfId="6491">
      <pivotArea dataOnly="0" labelOnly="1" fieldPosition="0">
        <references count="3">
          <reference field="4" count="1" selected="0">
            <x v="1"/>
          </reference>
          <reference field="6" count="1" selected="0">
            <x v="3"/>
          </reference>
          <reference field="7" count="3">
            <x v="2"/>
            <x v="3"/>
            <x v="4"/>
          </reference>
        </references>
      </pivotArea>
    </format>
    <format dxfId="6490">
      <pivotArea dataOnly="0" labelOnly="1" fieldPosition="0">
        <references count="3">
          <reference field="4" count="1" selected="0">
            <x v="1"/>
          </reference>
          <reference field="6" count="1" selected="0">
            <x v="4"/>
          </reference>
          <reference field="7" count="1">
            <x v="8"/>
          </reference>
        </references>
      </pivotArea>
    </format>
    <format dxfId="6489">
      <pivotArea dataOnly="0" labelOnly="1" fieldPosition="0">
        <references count="3">
          <reference field="4" count="1" selected="0">
            <x v="2"/>
          </reference>
          <reference field="6" count="1" selected="0">
            <x v="2"/>
          </reference>
          <reference field="7" count="2">
            <x v="29"/>
            <x v="30"/>
          </reference>
        </references>
      </pivotArea>
    </format>
    <format dxfId="6488">
      <pivotArea dataOnly="0" labelOnly="1" fieldPosition="0">
        <references count="3">
          <reference field="4" count="1" selected="0">
            <x v="2"/>
          </reference>
          <reference field="6" count="1" selected="0">
            <x v="3"/>
          </reference>
          <reference field="7" count="2">
            <x v="5"/>
            <x v="7"/>
          </reference>
        </references>
      </pivotArea>
    </format>
    <format dxfId="6487">
      <pivotArea dataOnly="0" labelOnly="1" fieldPosition="0">
        <references count="3">
          <reference field="4" count="1" selected="0">
            <x v="2"/>
          </reference>
          <reference field="6" count="1" selected="0">
            <x v="4"/>
          </reference>
          <reference field="7" count="1">
            <x v="8"/>
          </reference>
        </references>
      </pivotArea>
    </format>
    <format dxfId="6486">
      <pivotArea dataOnly="0" labelOnly="1" fieldPosition="0">
        <references count="3">
          <reference field="4" count="1" selected="0">
            <x v="3"/>
          </reference>
          <reference field="6" count="1" selected="0">
            <x v="3"/>
          </reference>
          <reference field="7" count="1">
            <x v="6"/>
          </reference>
        </references>
      </pivotArea>
    </format>
    <format dxfId="6485">
      <pivotArea dataOnly="0" labelOnly="1" fieldPosition="0">
        <references count="3">
          <reference field="4" count="1" selected="0">
            <x v="4"/>
          </reference>
          <reference field="6" count="1" selected="0">
            <x v="0"/>
          </reference>
          <reference field="7" count="1">
            <x v="21"/>
          </reference>
        </references>
      </pivotArea>
    </format>
    <format dxfId="6484">
      <pivotArea dataOnly="0" labelOnly="1" fieldPosition="0">
        <references count="3">
          <reference field="4" count="1" selected="0">
            <x v="4"/>
          </reference>
          <reference field="6" count="1" selected="0">
            <x v="1"/>
          </reference>
          <reference field="7" count="1">
            <x v="24"/>
          </reference>
        </references>
      </pivotArea>
    </format>
    <format dxfId="6483">
      <pivotArea dataOnly="0" labelOnly="1" fieldPosition="0">
        <references count="3">
          <reference field="4" count="1" selected="0">
            <x v="4"/>
          </reference>
          <reference field="6" count="1" selected="0">
            <x v="2"/>
          </reference>
          <reference field="7" count="2">
            <x v="29"/>
            <x v="31"/>
          </reference>
        </references>
      </pivotArea>
    </format>
    <format dxfId="6482">
      <pivotArea dataOnly="0" labelOnly="1" fieldPosition="0">
        <references count="3">
          <reference field="4" count="1" selected="0">
            <x v="4"/>
          </reference>
          <reference field="6" count="1" selected="0">
            <x v="3"/>
          </reference>
          <reference field="7" count="2">
            <x v="0"/>
            <x v="1"/>
          </reference>
        </references>
      </pivotArea>
    </format>
    <format dxfId="6481">
      <pivotArea dataOnly="0" labelOnly="1" fieldPosition="0">
        <references count="3">
          <reference field="4" count="1" selected="0">
            <x v="5"/>
          </reference>
          <reference field="6" count="1" selected="0">
            <x v="0"/>
          </reference>
          <reference field="7" count="2">
            <x v="18"/>
            <x v="22"/>
          </reference>
        </references>
      </pivotArea>
    </format>
    <format dxfId="6480">
      <pivotArea dataOnly="0" labelOnly="1" fieldPosition="0">
        <references count="3">
          <reference field="4" count="1" selected="0">
            <x v="5"/>
          </reference>
          <reference field="6" count="1" selected="0">
            <x v="4"/>
          </reference>
          <reference field="7" count="1">
            <x v="8"/>
          </reference>
        </references>
      </pivotArea>
    </format>
    <format dxfId="6479">
      <pivotArea dataOnly="0" labelOnly="1" fieldPosition="0">
        <references count="3">
          <reference field="4" count="1" selected="0">
            <x v="6"/>
          </reference>
          <reference field="6" count="1" selected="0">
            <x v="1"/>
          </reference>
          <reference field="7" count="1">
            <x v="24"/>
          </reference>
        </references>
      </pivotArea>
    </format>
    <format dxfId="6478">
      <pivotArea dataOnly="0" labelOnly="1" fieldPosition="0">
        <references count="3">
          <reference field="4" count="1" selected="0">
            <x v="7"/>
          </reference>
          <reference field="6" count="1" selected="0">
            <x v="0"/>
          </reference>
          <reference field="7" count="1">
            <x v="16"/>
          </reference>
        </references>
      </pivotArea>
    </format>
    <format dxfId="6477">
      <pivotArea dataOnly="0" labelOnly="1" fieldPosition="0">
        <references count="3">
          <reference field="4" count="1" selected="0">
            <x v="7"/>
          </reference>
          <reference field="6" count="1" selected="0">
            <x v="2"/>
          </reference>
          <reference field="7" count="2">
            <x v="29"/>
            <x v="30"/>
          </reference>
        </references>
      </pivotArea>
    </format>
    <format dxfId="6476">
      <pivotArea dataOnly="0" labelOnly="1" fieldPosition="0">
        <references count="3">
          <reference field="4" count="1" selected="0">
            <x v="7"/>
          </reference>
          <reference field="6" count="1" selected="0">
            <x v="3"/>
          </reference>
          <reference field="7" count="1">
            <x v="6"/>
          </reference>
        </references>
      </pivotArea>
    </format>
    <format dxfId="6475">
      <pivotArea dataOnly="0" labelOnly="1" fieldPosition="0">
        <references count="3">
          <reference field="4" count="1" selected="0">
            <x v="7"/>
          </reference>
          <reference field="6" count="1" selected="0">
            <x v="4"/>
          </reference>
          <reference field="7" count="8">
            <x v="8"/>
            <x v="9"/>
            <x v="10"/>
            <x v="11"/>
            <x v="12"/>
            <x v="13"/>
            <x v="14"/>
            <x v="15"/>
          </reference>
        </references>
      </pivotArea>
    </format>
    <format dxfId="6474">
      <pivotArea dataOnly="0" labelOnly="1" fieldPosition="0">
        <references count="3">
          <reference field="4" count="1" selected="0">
            <x v="8"/>
          </reference>
          <reference field="6" count="1" selected="0">
            <x v="0"/>
          </reference>
          <reference field="7" count="2">
            <x v="18"/>
            <x v="22"/>
          </reference>
        </references>
      </pivotArea>
    </format>
    <format dxfId="6473">
      <pivotArea dataOnly="0" labelOnly="1" fieldPosition="0">
        <references count="3">
          <reference field="4" count="1" selected="0">
            <x v="8"/>
          </reference>
          <reference field="6" count="1" selected="0">
            <x v="1"/>
          </reference>
          <reference field="7" count="1">
            <x v="28"/>
          </reference>
        </references>
      </pivotArea>
    </format>
    <format dxfId="6472">
      <pivotArea dataOnly="0" labelOnly="1" fieldPosition="0">
        <references count="3">
          <reference field="4" count="1" selected="0">
            <x v="8"/>
          </reference>
          <reference field="6" count="1" selected="0">
            <x v="2"/>
          </reference>
          <reference field="7" count="1">
            <x v="32"/>
          </reference>
        </references>
      </pivotArea>
    </format>
    <format dxfId="6471">
      <pivotArea dataOnly="0" labelOnly="1" fieldPosition="0">
        <references count="3">
          <reference field="4" count="1" selected="0">
            <x v="8"/>
          </reference>
          <reference field="6" count="1" selected="0">
            <x v="3"/>
          </reference>
          <reference field="7" count="1">
            <x v="6"/>
          </reference>
        </references>
      </pivotArea>
    </format>
    <format dxfId="6470">
      <pivotArea dataOnly="0" labelOnly="1" fieldPosition="0">
        <references count="3">
          <reference field="4" count="1" selected="0">
            <x v="9"/>
          </reference>
          <reference field="6" count="1" selected="0">
            <x v="1"/>
          </reference>
          <reference field="7" count="1">
            <x v="25"/>
          </reference>
        </references>
      </pivotArea>
    </format>
    <format dxfId="6469">
      <pivotArea dataOnly="0" labelOnly="1" fieldPosition="0">
        <references count="3">
          <reference field="4" count="1" selected="0">
            <x v="10"/>
          </reference>
          <reference field="6" count="1" selected="0">
            <x v="3"/>
          </reference>
          <reference field="7" count="1">
            <x v="6"/>
          </reference>
        </references>
      </pivotArea>
    </format>
    <format dxfId="6468">
      <pivotArea dataOnly="0" labelOnly="1" fieldPosition="0">
        <references count="3">
          <reference field="4" count="1" selected="0">
            <x v="11"/>
          </reference>
          <reference field="6" count="1" selected="0">
            <x v="0"/>
          </reference>
          <reference field="7" count="1">
            <x v="17"/>
          </reference>
        </references>
      </pivotArea>
    </format>
    <format dxfId="6467">
      <pivotArea dataOnly="0" labelOnly="1" fieldPosition="0">
        <references count="3">
          <reference field="4" count="1" selected="0">
            <x v="12"/>
          </reference>
          <reference field="6" count="1" selected="0">
            <x v="0"/>
          </reference>
          <reference field="7" count="1">
            <x v="18"/>
          </reference>
        </references>
      </pivotArea>
    </format>
    <format dxfId="6466">
      <pivotArea dataOnly="0" labelOnly="1" fieldPosition="0">
        <references count="3">
          <reference field="4" count="1" selected="0">
            <x v="13"/>
          </reference>
          <reference field="6" count="1" selected="0">
            <x v="3"/>
          </reference>
          <reference field="7" count="2">
            <x v="1"/>
            <x v="5"/>
          </reference>
        </references>
      </pivotArea>
    </format>
    <format dxfId="6465">
      <pivotArea dataOnly="0" labelOnly="1" fieldPosition="0">
        <references count="3">
          <reference field="4" count="1" selected="0">
            <x v="14"/>
          </reference>
          <reference field="6" count="1" selected="0">
            <x v="1"/>
          </reference>
          <reference field="7" count="1">
            <x v="26"/>
          </reference>
        </references>
      </pivotArea>
    </format>
    <format dxfId="6464">
      <pivotArea dataOnly="0" labelOnly="1" fieldPosition="0">
        <references count="3">
          <reference field="4" count="1" selected="0">
            <x v="15"/>
          </reference>
          <reference field="6" count="1" selected="0">
            <x v="0"/>
          </reference>
          <reference field="7" count="1">
            <x v="20"/>
          </reference>
        </references>
      </pivotArea>
    </format>
    <format dxfId="6463">
      <pivotArea dataOnly="0" labelOnly="1" fieldPosition="0">
        <references count="3">
          <reference field="4" count="1" selected="0">
            <x v="16"/>
          </reference>
          <reference field="6" count="1" selected="0">
            <x v="1"/>
          </reference>
          <reference field="7" count="1">
            <x v="27"/>
          </reference>
        </references>
      </pivotArea>
    </format>
    <format dxfId="6462">
      <pivotArea dataOnly="0" labelOnly="1" fieldPosition="0">
        <references count="3">
          <reference field="4" count="1" selected="0">
            <x v="16"/>
          </reference>
          <reference field="6" count="1" selected="0">
            <x v="3"/>
          </reference>
          <reference field="7" count="1">
            <x v="1"/>
          </reference>
        </references>
      </pivotArea>
    </format>
    <format dxfId="6461">
      <pivotArea dataOnly="0" labelOnly="1" fieldPosition="0">
        <references count="3">
          <reference field="4" count="1" selected="0">
            <x v="16"/>
          </reference>
          <reference field="6" count="1" selected="0">
            <x v="4"/>
          </reference>
          <reference field="7" count="2">
            <x v="8"/>
            <x v="11"/>
          </reference>
        </references>
      </pivotArea>
    </format>
    <format dxfId="6460">
      <pivotArea dataOnly="0" labelOnly="1" fieldPosition="0">
        <references count="3">
          <reference field="4" count="1" selected="0">
            <x v="17"/>
          </reference>
          <reference field="6" count="1" selected="0">
            <x v="0"/>
          </reference>
          <reference field="7" count="2">
            <x v="16"/>
            <x v="22"/>
          </reference>
        </references>
      </pivotArea>
    </format>
    <format dxfId="6459">
      <pivotArea dataOnly="0" labelOnly="1" fieldPosition="0">
        <references count="3">
          <reference field="4" count="1" selected="0">
            <x v="18"/>
          </reference>
          <reference field="6" count="1" selected="0">
            <x v="3"/>
          </reference>
          <reference field="7" count="1">
            <x v="2"/>
          </reference>
        </references>
      </pivotArea>
    </format>
    <format dxfId="6458">
      <pivotArea dataOnly="0" labelOnly="1" fieldPosition="0">
        <references count="3">
          <reference field="4" count="1" selected="0">
            <x v="19"/>
          </reference>
          <reference field="6" count="1" selected="0">
            <x v="3"/>
          </reference>
          <reference field="7" count="1">
            <x v="6"/>
          </reference>
        </references>
      </pivotArea>
    </format>
    <format dxfId="6457">
      <pivotArea dataOnly="0" labelOnly="1" fieldPosition="0">
        <references count="3">
          <reference field="4" count="1" selected="0">
            <x v="20"/>
          </reference>
          <reference field="6" count="1" selected="0">
            <x v="1"/>
          </reference>
          <reference field="7" count="1">
            <x v="24"/>
          </reference>
        </references>
      </pivotArea>
    </format>
    <format dxfId="6456">
      <pivotArea dataOnly="0" labelOnly="1" fieldPosition="0">
        <references count="4">
          <reference field="4" count="1" selected="0">
            <x v="0"/>
          </reference>
          <reference field="6" count="1" selected="0">
            <x v="0"/>
          </reference>
          <reference field="7" count="1" selected="0">
            <x v="17"/>
          </reference>
          <reference field="8" count="5">
            <x v="65"/>
            <x v="66"/>
            <x v="67"/>
            <x v="68"/>
            <x v="69"/>
          </reference>
        </references>
      </pivotArea>
    </format>
    <format dxfId="6455">
      <pivotArea dataOnly="0" labelOnly="1" fieldPosition="0">
        <references count="4">
          <reference field="4" count="1" selected="0">
            <x v="0"/>
          </reference>
          <reference field="6" count="1" selected="0">
            <x v="0"/>
          </reference>
          <reference field="7" count="1" selected="0">
            <x v="19"/>
          </reference>
          <reference field="8" count="3">
            <x v="78"/>
            <x v="79"/>
            <x v="80"/>
          </reference>
        </references>
      </pivotArea>
    </format>
    <format dxfId="6454">
      <pivotArea dataOnly="0" labelOnly="1" fieldPosition="0">
        <references count="4">
          <reference field="4" count="1" selected="0">
            <x v="0"/>
          </reference>
          <reference field="6" count="1" selected="0">
            <x v="1"/>
          </reference>
          <reference field="7" count="1" selected="0">
            <x v="23"/>
          </reference>
          <reference field="8" count="10">
            <x v="95"/>
            <x v="96"/>
            <x v="97"/>
            <x v="98"/>
            <x v="99"/>
            <x v="100"/>
            <x v="101"/>
            <x v="102"/>
            <x v="103"/>
            <x v="104"/>
          </reference>
        </references>
      </pivotArea>
    </format>
    <format dxfId="6453">
      <pivotArea dataOnly="0" labelOnly="1" fieldPosition="0">
        <references count="4">
          <reference field="4" count="1" selected="0">
            <x v="0"/>
          </reference>
          <reference field="6" count="1" selected="0">
            <x v="1"/>
          </reference>
          <reference field="7" count="1" selected="0">
            <x v="26"/>
          </reference>
          <reference field="8" count="1">
            <x v="131"/>
          </reference>
        </references>
      </pivotArea>
    </format>
    <format dxfId="6452">
      <pivotArea dataOnly="0" labelOnly="1" fieldPosition="0">
        <references count="4">
          <reference field="4" count="1" selected="0">
            <x v="1"/>
          </reference>
          <reference field="6" count="1" selected="0">
            <x v="0"/>
          </reference>
          <reference field="7" count="1" selected="0">
            <x v="19"/>
          </reference>
          <reference field="8" count="1">
            <x v="81"/>
          </reference>
        </references>
      </pivotArea>
    </format>
    <format dxfId="6451">
      <pivotArea dataOnly="0" labelOnly="1" fieldPosition="0">
        <references count="4">
          <reference field="4" count="1" selected="0">
            <x v="1"/>
          </reference>
          <reference field="6" count="1" selected="0">
            <x v="3"/>
          </reference>
          <reference field="7" count="1" selected="0">
            <x v="2"/>
          </reference>
          <reference field="8" count="7">
            <x v="7"/>
            <x v="10"/>
            <x v="11"/>
            <x v="12"/>
            <x v="13"/>
            <x v="14"/>
            <x v="15"/>
          </reference>
        </references>
      </pivotArea>
    </format>
    <format dxfId="6450">
      <pivotArea dataOnly="0" labelOnly="1" fieldPosition="0">
        <references count="4">
          <reference field="4" count="1" selected="0">
            <x v="1"/>
          </reference>
          <reference field="6" count="1" selected="0">
            <x v="3"/>
          </reference>
          <reference field="7" count="1" selected="0">
            <x v="3"/>
          </reference>
          <reference field="8" count="2">
            <x v="18"/>
            <x v="19"/>
          </reference>
        </references>
      </pivotArea>
    </format>
    <format dxfId="6449">
      <pivotArea dataOnly="0" labelOnly="1" fieldPosition="0">
        <references count="4">
          <reference field="4" count="1" selected="0">
            <x v="1"/>
          </reference>
          <reference field="6" count="1" selected="0">
            <x v="3"/>
          </reference>
          <reference field="7" count="1" selected="0">
            <x v="4"/>
          </reference>
          <reference field="8" count="2">
            <x v="20"/>
            <x v="21"/>
          </reference>
        </references>
      </pivotArea>
    </format>
    <format dxfId="6448">
      <pivotArea dataOnly="0" labelOnly="1" fieldPosition="0">
        <references count="4">
          <reference field="4" count="1" selected="0">
            <x v="1"/>
          </reference>
          <reference field="6" count="1" selected="0">
            <x v="4"/>
          </reference>
          <reference field="7" count="1" selected="0">
            <x v="8"/>
          </reference>
          <reference field="8" count="3">
            <x v="33"/>
            <x v="34"/>
            <x v="39"/>
          </reference>
        </references>
      </pivotArea>
    </format>
    <format dxfId="6447">
      <pivotArea dataOnly="0" labelOnly="1" fieldPosition="0">
        <references count="4">
          <reference field="4" count="1" selected="0">
            <x v="2"/>
          </reference>
          <reference field="6" count="1" selected="0">
            <x v="2"/>
          </reference>
          <reference field="7" count="1" selected="0">
            <x v="29"/>
          </reference>
          <reference field="8" count="6">
            <x v="145"/>
            <x v="146"/>
            <x v="147"/>
            <x v="148"/>
            <x v="149"/>
            <x v="150"/>
          </reference>
        </references>
      </pivotArea>
    </format>
    <format dxfId="6446">
      <pivotArea dataOnly="0" labelOnly="1" fieldPosition="0">
        <references count="4">
          <reference field="4" count="1" selected="0">
            <x v="2"/>
          </reference>
          <reference field="6" count="1" selected="0">
            <x v="2"/>
          </reference>
          <reference field="7" count="1" selected="0">
            <x v="30"/>
          </reference>
          <reference field="8" count="2">
            <x v="152"/>
            <x v="153"/>
          </reference>
        </references>
      </pivotArea>
    </format>
    <format dxfId="6445">
      <pivotArea dataOnly="0" labelOnly="1" fieldPosition="0">
        <references count="4">
          <reference field="4" count="1" selected="0">
            <x v="2"/>
          </reference>
          <reference field="6" count="1" selected="0">
            <x v="3"/>
          </reference>
          <reference field="7" count="1" selected="0">
            <x v="5"/>
          </reference>
          <reference field="8" count="1">
            <x v="24"/>
          </reference>
        </references>
      </pivotArea>
    </format>
    <format dxfId="6444">
      <pivotArea dataOnly="0" labelOnly="1" fieldPosition="0">
        <references count="4">
          <reference field="4" count="1" selected="0">
            <x v="2"/>
          </reference>
          <reference field="6" count="1" selected="0">
            <x v="3"/>
          </reference>
          <reference field="7" count="1" selected="0">
            <x v="7"/>
          </reference>
          <reference field="8" count="2">
            <x v="31"/>
            <x v="32"/>
          </reference>
        </references>
      </pivotArea>
    </format>
    <format dxfId="6443">
      <pivotArea dataOnly="0" labelOnly="1" fieldPosition="0">
        <references count="4">
          <reference field="4" count="1" selected="0">
            <x v="2"/>
          </reference>
          <reference field="6" count="1" selected="0">
            <x v="4"/>
          </reference>
          <reference field="7" count="1" selected="0">
            <x v="8"/>
          </reference>
          <reference field="8" count="2">
            <x v="36"/>
            <x v="39"/>
          </reference>
        </references>
      </pivotArea>
    </format>
    <format dxfId="6442">
      <pivotArea dataOnly="0" labelOnly="1" fieldPosition="0">
        <references count="4">
          <reference field="4" count="1" selected="0">
            <x v="3"/>
          </reference>
          <reference field="6" count="1" selected="0">
            <x v="3"/>
          </reference>
          <reference field="7" count="1" selected="0">
            <x v="6"/>
          </reference>
          <reference field="8" count="1">
            <x v="29"/>
          </reference>
        </references>
      </pivotArea>
    </format>
    <format dxfId="6441">
      <pivotArea dataOnly="0" labelOnly="1" fieldPosition="0">
        <references count="4">
          <reference field="4" count="1" selected="0">
            <x v="4"/>
          </reference>
          <reference field="6" count="1" selected="0">
            <x v="0"/>
          </reference>
          <reference field="7" count="1" selected="0">
            <x v="21"/>
          </reference>
          <reference field="8" count="5">
            <x v="87"/>
            <x v="88"/>
            <x v="89"/>
            <x v="90"/>
            <x v="91"/>
          </reference>
        </references>
      </pivotArea>
    </format>
    <format dxfId="6440">
      <pivotArea dataOnly="0" labelOnly="1" fieldPosition="0">
        <references count="4">
          <reference field="4" count="1" selected="0">
            <x v="4"/>
          </reference>
          <reference field="6" count="1" selected="0">
            <x v="1"/>
          </reference>
          <reference field="7" count="1" selected="0">
            <x v="24"/>
          </reference>
          <reference field="8" count="1">
            <x v="114"/>
          </reference>
        </references>
      </pivotArea>
    </format>
    <format dxfId="6439">
      <pivotArea dataOnly="0" labelOnly="1" fieldPosition="0">
        <references count="4">
          <reference field="4" count="1" selected="0">
            <x v="4"/>
          </reference>
          <reference field="6" count="1" selected="0">
            <x v="2"/>
          </reference>
          <reference field="7" count="1" selected="0">
            <x v="29"/>
          </reference>
          <reference field="8" count="3">
            <x v="142"/>
            <x v="143"/>
            <x v="151"/>
          </reference>
        </references>
      </pivotArea>
    </format>
    <format dxfId="6438">
      <pivotArea dataOnly="0" labelOnly="1" fieldPosition="0">
        <references count="4">
          <reference field="4" count="1" selected="0">
            <x v="4"/>
          </reference>
          <reference field="6" count="1" selected="0">
            <x v="2"/>
          </reference>
          <reference field="7" count="1" selected="0">
            <x v="31"/>
          </reference>
          <reference field="8" count="3">
            <x v="155"/>
            <x v="156"/>
            <x v="157"/>
          </reference>
        </references>
      </pivotArea>
    </format>
    <format dxfId="6437">
      <pivotArea dataOnly="0" labelOnly="1" fieldPosition="0">
        <references count="4">
          <reference field="4" count="1" selected="0">
            <x v="4"/>
          </reference>
          <reference field="6" count="1" selected="0">
            <x v="3"/>
          </reference>
          <reference field="7" count="1" selected="0">
            <x v="0"/>
          </reference>
          <reference field="8" count="2">
            <x v="0"/>
            <x v="1"/>
          </reference>
        </references>
      </pivotArea>
    </format>
    <format dxfId="6436">
      <pivotArea dataOnly="0" labelOnly="1" fieldPosition="0">
        <references count="4">
          <reference field="4" count="1" selected="0">
            <x v="4"/>
          </reference>
          <reference field="6" count="1" selected="0">
            <x v="3"/>
          </reference>
          <reference field="7" count="1" selected="0">
            <x v="1"/>
          </reference>
          <reference field="8" count="4">
            <x v="2"/>
            <x v="3"/>
            <x v="4"/>
            <x v="5"/>
          </reference>
        </references>
      </pivotArea>
    </format>
    <format dxfId="6435">
      <pivotArea dataOnly="0" labelOnly="1" fieldPosition="0">
        <references count="4">
          <reference field="4" count="1" selected="0">
            <x v="5"/>
          </reference>
          <reference field="6" count="1" selected="0">
            <x v="0"/>
          </reference>
          <reference field="7" count="1" selected="0">
            <x v="18"/>
          </reference>
          <reference field="8" count="3">
            <x v="73"/>
            <x v="74"/>
            <x v="77"/>
          </reference>
        </references>
      </pivotArea>
    </format>
    <format dxfId="6434">
      <pivotArea dataOnly="0" labelOnly="1" fieldPosition="0">
        <references count="4">
          <reference field="4" count="1" selected="0">
            <x v="5"/>
          </reference>
          <reference field="6" count="1" selected="0">
            <x v="0"/>
          </reference>
          <reference field="7" count="1" selected="0">
            <x v="22"/>
          </reference>
          <reference field="8" count="1">
            <x v="94"/>
          </reference>
        </references>
      </pivotArea>
    </format>
    <format dxfId="6433">
      <pivotArea dataOnly="0" labelOnly="1" fieldPosition="0">
        <references count="4">
          <reference field="4" count="1" selected="0">
            <x v="5"/>
          </reference>
          <reference field="6" count="1" selected="0">
            <x v="4"/>
          </reference>
          <reference field="7" count="1" selected="0">
            <x v="8"/>
          </reference>
          <reference field="8" count="1">
            <x v="37"/>
          </reference>
        </references>
      </pivotArea>
    </format>
    <format dxfId="6432">
      <pivotArea dataOnly="0" labelOnly="1" fieldPosition="0">
        <references count="4">
          <reference field="4" count="1" selected="0">
            <x v="6"/>
          </reference>
          <reference field="6" count="1" selected="0">
            <x v="1"/>
          </reference>
          <reference field="7" count="1" selected="0">
            <x v="24"/>
          </reference>
          <reference field="8" count="8">
            <x v="105"/>
            <x v="107"/>
            <x v="108"/>
            <x v="109"/>
            <x v="110"/>
            <x v="111"/>
            <x v="112"/>
            <x v="113"/>
          </reference>
        </references>
      </pivotArea>
    </format>
    <format dxfId="6431">
      <pivotArea dataOnly="0" labelOnly="1" fieldPosition="0">
        <references count="4">
          <reference field="4" count="1" selected="0">
            <x v="7"/>
          </reference>
          <reference field="6" count="1" selected="0">
            <x v="0"/>
          </reference>
          <reference field="7" count="1" selected="0">
            <x v="16"/>
          </reference>
          <reference field="8" count="1">
            <x v="64"/>
          </reference>
        </references>
      </pivotArea>
    </format>
    <format dxfId="6430">
      <pivotArea dataOnly="0" labelOnly="1" fieldPosition="0">
        <references count="4">
          <reference field="4" count="1" selected="0">
            <x v="7"/>
          </reference>
          <reference field="6" count="1" selected="0">
            <x v="2"/>
          </reference>
          <reference field="7" count="1" selected="0">
            <x v="29"/>
          </reference>
          <reference field="8" count="4">
            <x v="140"/>
            <x v="141"/>
            <x v="144"/>
            <x v="145"/>
          </reference>
        </references>
      </pivotArea>
    </format>
    <format dxfId="6429">
      <pivotArea dataOnly="0" labelOnly="1" fieldPosition="0">
        <references count="4">
          <reference field="4" count="1" selected="0">
            <x v="7"/>
          </reference>
          <reference field="6" count="1" selected="0">
            <x v="2"/>
          </reference>
          <reference field="7" count="1" selected="0">
            <x v="30"/>
          </reference>
          <reference field="8" count="1">
            <x v="154"/>
          </reference>
        </references>
      </pivotArea>
    </format>
    <format dxfId="6428">
      <pivotArea dataOnly="0" labelOnly="1" fieldPosition="0">
        <references count="4">
          <reference field="4" count="1" selected="0">
            <x v="7"/>
          </reference>
          <reference field="6" count="1" selected="0">
            <x v="3"/>
          </reference>
          <reference field="7" count="1" selected="0">
            <x v="6"/>
          </reference>
          <reference field="8" count="1">
            <x v="28"/>
          </reference>
        </references>
      </pivotArea>
    </format>
    <format dxfId="6427">
      <pivotArea dataOnly="0" labelOnly="1" fieldPosition="0">
        <references count="4">
          <reference field="4" count="1" selected="0">
            <x v="7"/>
          </reference>
          <reference field="6" count="1" selected="0">
            <x v="4"/>
          </reference>
          <reference field="7" count="1" selected="0">
            <x v="8"/>
          </reference>
          <reference field="8" count="2">
            <x v="35"/>
            <x v="36"/>
          </reference>
        </references>
      </pivotArea>
    </format>
    <format dxfId="6426">
      <pivotArea dataOnly="0" labelOnly="1" fieldPosition="0">
        <references count="4">
          <reference field="4" count="1" selected="0">
            <x v="7"/>
          </reference>
          <reference field="6" count="1" selected="0">
            <x v="4"/>
          </reference>
          <reference field="7" count="1" selected="0">
            <x v="9"/>
          </reference>
          <reference field="8" count="4">
            <x v="40"/>
            <x v="41"/>
            <x v="42"/>
            <x v="43"/>
          </reference>
        </references>
      </pivotArea>
    </format>
    <format dxfId="6425">
      <pivotArea dataOnly="0" labelOnly="1" fieldPosition="0">
        <references count="4">
          <reference field="4" count="1" selected="0">
            <x v="7"/>
          </reference>
          <reference field="6" count="1" selected="0">
            <x v="4"/>
          </reference>
          <reference field="7" count="1" selected="0">
            <x v="10"/>
          </reference>
          <reference field="8" count="4">
            <x v="44"/>
            <x v="45"/>
            <x v="46"/>
            <x v="47"/>
          </reference>
        </references>
      </pivotArea>
    </format>
    <format dxfId="6424">
      <pivotArea dataOnly="0" labelOnly="1" fieldPosition="0">
        <references count="4">
          <reference field="4" count="1" selected="0">
            <x v="7"/>
          </reference>
          <reference field="6" count="1" selected="0">
            <x v="4"/>
          </reference>
          <reference field="7" count="1" selected="0">
            <x v="11"/>
          </reference>
          <reference field="8" count="2">
            <x v="48"/>
            <x v="49"/>
          </reference>
        </references>
      </pivotArea>
    </format>
    <format dxfId="6423">
      <pivotArea dataOnly="0" labelOnly="1" fieldPosition="0">
        <references count="4">
          <reference field="4" count="1" selected="0">
            <x v="7"/>
          </reference>
          <reference field="6" count="1" selected="0">
            <x v="4"/>
          </reference>
          <reference field="7" count="1" selected="0">
            <x v="12"/>
          </reference>
          <reference field="8" count="1">
            <x v="50"/>
          </reference>
        </references>
      </pivotArea>
    </format>
    <format dxfId="6422">
      <pivotArea dataOnly="0" labelOnly="1" fieldPosition="0">
        <references count="4">
          <reference field="4" count="1" selected="0">
            <x v="7"/>
          </reference>
          <reference field="6" count="1" selected="0">
            <x v="4"/>
          </reference>
          <reference field="7" count="1" selected="0">
            <x v="13"/>
          </reference>
          <reference field="8" count="3">
            <x v="51"/>
            <x v="52"/>
            <x v="53"/>
          </reference>
        </references>
      </pivotArea>
    </format>
    <format dxfId="6421">
      <pivotArea dataOnly="0" labelOnly="1" fieldPosition="0">
        <references count="4">
          <reference field="4" count="1" selected="0">
            <x v="7"/>
          </reference>
          <reference field="6" count="1" selected="0">
            <x v="4"/>
          </reference>
          <reference field="7" count="1" selected="0">
            <x v="14"/>
          </reference>
          <reference field="8" count="2">
            <x v="54"/>
            <x v="55"/>
          </reference>
        </references>
      </pivotArea>
    </format>
    <format dxfId="6420">
      <pivotArea dataOnly="0" labelOnly="1" fieldPosition="0">
        <references count="4">
          <reference field="4" count="1" selected="0">
            <x v="7"/>
          </reference>
          <reference field="6" count="1" selected="0">
            <x v="4"/>
          </reference>
          <reference field="7" count="1" selected="0">
            <x v="15"/>
          </reference>
          <reference field="8" count="1">
            <x v="56"/>
          </reference>
        </references>
      </pivotArea>
    </format>
    <format dxfId="6419">
      <pivotArea dataOnly="0" labelOnly="1" fieldPosition="0">
        <references count="4">
          <reference field="4" count="1" selected="0">
            <x v="8"/>
          </reference>
          <reference field="6" count="1" selected="0">
            <x v="0"/>
          </reference>
          <reference field="7" count="1" selected="0">
            <x v="18"/>
          </reference>
          <reference field="8" count="1">
            <x v="77"/>
          </reference>
        </references>
      </pivotArea>
    </format>
    <format dxfId="6418">
      <pivotArea dataOnly="0" labelOnly="1" fieldPosition="0">
        <references count="4">
          <reference field="4" count="1" selected="0">
            <x v="8"/>
          </reference>
          <reference field="6" count="1" selected="0">
            <x v="0"/>
          </reference>
          <reference field="7" count="1" selected="0">
            <x v="22"/>
          </reference>
          <reference field="8" count="3">
            <x v="92"/>
            <x v="93"/>
            <x v="94"/>
          </reference>
        </references>
      </pivotArea>
    </format>
    <format dxfId="6417">
      <pivotArea dataOnly="0" labelOnly="1" fieldPosition="0">
        <references count="4">
          <reference field="4" count="1" selected="0">
            <x v="8"/>
          </reference>
          <reference field="6" count="1" selected="0">
            <x v="1"/>
          </reference>
          <reference field="7" count="1" selected="0">
            <x v="28"/>
          </reference>
          <reference field="8" count="2">
            <x v="138"/>
            <x v="139"/>
          </reference>
        </references>
      </pivotArea>
    </format>
    <format dxfId="6416">
      <pivotArea dataOnly="0" labelOnly="1" fieldPosition="0">
        <references count="4">
          <reference field="4" count="1" selected="0">
            <x v="8"/>
          </reference>
          <reference field="6" count="1" selected="0">
            <x v="2"/>
          </reference>
          <reference field="7" count="1" selected="0">
            <x v="32"/>
          </reference>
          <reference field="8" count="2">
            <x v="158"/>
            <x v="159"/>
          </reference>
        </references>
      </pivotArea>
    </format>
    <format dxfId="6415">
      <pivotArea dataOnly="0" labelOnly="1" fieldPosition="0">
        <references count="4">
          <reference field="4" count="1" selected="0">
            <x v="8"/>
          </reference>
          <reference field="6" count="1" selected="0">
            <x v="3"/>
          </reference>
          <reference field="7" count="1" selected="0">
            <x v="6"/>
          </reference>
          <reference field="8" count="2">
            <x v="29"/>
            <x v="30"/>
          </reference>
        </references>
      </pivotArea>
    </format>
    <format dxfId="6414">
      <pivotArea dataOnly="0" labelOnly="1" fieldPosition="0">
        <references count="4">
          <reference field="4" count="1" selected="0">
            <x v="9"/>
          </reference>
          <reference field="6" count="1" selected="0">
            <x v="1"/>
          </reference>
          <reference field="7" count="1" selected="0">
            <x v="25"/>
          </reference>
          <reference field="8" count="10">
            <x v="115"/>
            <x v="116"/>
            <x v="117"/>
            <x v="118"/>
            <x v="119"/>
            <x v="120"/>
            <x v="121"/>
            <x v="122"/>
            <x v="123"/>
            <x v="124"/>
          </reference>
        </references>
      </pivotArea>
    </format>
    <format dxfId="6413">
      <pivotArea dataOnly="0" labelOnly="1" fieldPosition="0">
        <references count="4">
          <reference field="4" count="1" selected="0">
            <x v="10"/>
          </reference>
          <reference field="6" count="1" selected="0">
            <x v="3"/>
          </reference>
          <reference field="7" count="1" selected="0">
            <x v="6"/>
          </reference>
          <reference field="8" count="1">
            <x v="29"/>
          </reference>
        </references>
      </pivotArea>
    </format>
    <format dxfId="6412">
      <pivotArea dataOnly="0" labelOnly="1" fieldPosition="0">
        <references count="4">
          <reference field="4" count="1" selected="0">
            <x v="11"/>
          </reference>
          <reference field="6" count="1" selected="0">
            <x v="0"/>
          </reference>
          <reference field="7" count="1" selected="0">
            <x v="17"/>
          </reference>
          <reference field="8" count="3">
            <x v="70"/>
            <x v="71"/>
            <x v="72"/>
          </reference>
        </references>
      </pivotArea>
    </format>
    <format dxfId="6411">
      <pivotArea dataOnly="0" labelOnly="1" fieldPosition="0">
        <references count="4">
          <reference field="4" count="1" selected="0">
            <x v="12"/>
          </reference>
          <reference field="6" count="1" selected="0">
            <x v="0"/>
          </reference>
          <reference field="7" count="1" selected="0">
            <x v="18"/>
          </reference>
          <reference field="8" count="3">
            <x v="74"/>
            <x v="75"/>
            <x v="76"/>
          </reference>
        </references>
      </pivotArea>
    </format>
    <format dxfId="6410">
      <pivotArea dataOnly="0" labelOnly="1" fieldPosition="0">
        <references count="4">
          <reference field="4" count="1" selected="0">
            <x v="13"/>
          </reference>
          <reference field="6" count="1" selected="0">
            <x v="3"/>
          </reference>
          <reference field="7" count="1" selected="0">
            <x v="1"/>
          </reference>
          <reference field="8" count="1">
            <x v="6"/>
          </reference>
        </references>
      </pivotArea>
    </format>
    <format dxfId="6409">
      <pivotArea dataOnly="0" labelOnly="1" fieldPosition="0">
        <references count="4">
          <reference field="4" count="1" selected="0">
            <x v="13"/>
          </reference>
          <reference field="6" count="1" selected="0">
            <x v="3"/>
          </reference>
          <reference field="7" count="1" selected="0">
            <x v="5"/>
          </reference>
          <reference field="8" count="6">
            <x v="22"/>
            <x v="23"/>
            <x v="24"/>
            <x v="25"/>
            <x v="26"/>
            <x v="27"/>
          </reference>
        </references>
      </pivotArea>
    </format>
    <format dxfId="6408">
      <pivotArea dataOnly="0" labelOnly="1" fieldPosition="0">
        <references count="4">
          <reference field="4" count="1" selected="0">
            <x v="14"/>
          </reference>
          <reference field="6" count="1" selected="0">
            <x v="1"/>
          </reference>
          <reference field="7" count="1" selected="0">
            <x v="26"/>
          </reference>
          <reference field="8" count="7">
            <x v="125"/>
            <x v="126"/>
            <x v="127"/>
            <x v="128"/>
            <x v="129"/>
            <x v="130"/>
            <x v="131"/>
          </reference>
        </references>
      </pivotArea>
    </format>
    <format dxfId="6407">
      <pivotArea dataOnly="0" labelOnly="1" fieldPosition="0">
        <references count="4">
          <reference field="4" count="1" selected="0">
            <x v="15"/>
          </reference>
          <reference field="6" count="1" selected="0">
            <x v="0"/>
          </reference>
          <reference field="7" count="1" selected="0">
            <x v="20"/>
          </reference>
          <reference field="8" count="5">
            <x v="82"/>
            <x v="83"/>
            <x v="84"/>
            <x v="85"/>
            <x v="86"/>
          </reference>
        </references>
      </pivotArea>
    </format>
    <format dxfId="6406">
      <pivotArea dataOnly="0" labelOnly="1" fieldPosition="0">
        <references count="4">
          <reference field="4" count="1" selected="0">
            <x v="16"/>
          </reference>
          <reference field="6" count="1" selected="0">
            <x v="1"/>
          </reference>
          <reference field="7" count="1" selected="0">
            <x v="27"/>
          </reference>
          <reference field="8" count="6">
            <x v="132"/>
            <x v="133"/>
            <x v="134"/>
            <x v="135"/>
            <x v="136"/>
            <x v="137"/>
          </reference>
        </references>
      </pivotArea>
    </format>
    <format dxfId="6405">
      <pivotArea dataOnly="0" labelOnly="1" fieldPosition="0">
        <references count="4">
          <reference field="4" count="1" selected="0">
            <x v="16"/>
          </reference>
          <reference field="6" count="1" selected="0">
            <x v="3"/>
          </reference>
          <reference field="7" count="1" selected="0">
            <x v="1"/>
          </reference>
          <reference field="8" count="1">
            <x v="6"/>
          </reference>
        </references>
      </pivotArea>
    </format>
    <format dxfId="6404">
      <pivotArea dataOnly="0" labelOnly="1" fieldPosition="0">
        <references count="4">
          <reference field="4" count="1" selected="0">
            <x v="16"/>
          </reference>
          <reference field="6" count="1" selected="0">
            <x v="4"/>
          </reference>
          <reference field="7" count="1" selected="0">
            <x v="8"/>
          </reference>
          <reference field="8" count="1">
            <x v="38"/>
          </reference>
        </references>
      </pivotArea>
    </format>
    <format dxfId="6403">
      <pivotArea dataOnly="0" labelOnly="1" fieldPosition="0">
        <references count="4">
          <reference field="4" count="1" selected="0">
            <x v="16"/>
          </reference>
          <reference field="6" count="1" selected="0">
            <x v="4"/>
          </reference>
          <reference field="7" count="1" selected="0">
            <x v="11"/>
          </reference>
          <reference field="8" count="1">
            <x v="48"/>
          </reference>
        </references>
      </pivotArea>
    </format>
    <format dxfId="6402">
      <pivotArea dataOnly="0" labelOnly="1" fieldPosition="0">
        <references count="4">
          <reference field="4" count="1" selected="0">
            <x v="17"/>
          </reference>
          <reference field="6" count="1" selected="0">
            <x v="0"/>
          </reference>
          <reference field="7" count="1" selected="0">
            <x v="16"/>
          </reference>
          <reference field="8" count="7">
            <x v="57"/>
            <x v="58"/>
            <x v="59"/>
            <x v="60"/>
            <x v="61"/>
            <x v="62"/>
            <x v="63"/>
          </reference>
        </references>
      </pivotArea>
    </format>
    <format dxfId="6401">
      <pivotArea dataOnly="0" labelOnly="1" fieldPosition="0">
        <references count="4">
          <reference field="4" count="1" selected="0">
            <x v="17"/>
          </reference>
          <reference field="6" count="1" selected="0">
            <x v="0"/>
          </reference>
          <reference field="7" count="1" selected="0">
            <x v="22"/>
          </reference>
          <reference field="8" count="1">
            <x v="94"/>
          </reference>
        </references>
      </pivotArea>
    </format>
    <format dxfId="6400">
      <pivotArea dataOnly="0" labelOnly="1" fieldPosition="0">
        <references count="4">
          <reference field="4" count="1" selected="0">
            <x v="18"/>
          </reference>
          <reference field="6" count="1" selected="0">
            <x v="3"/>
          </reference>
          <reference field="7" count="1" selected="0">
            <x v="2"/>
          </reference>
          <reference field="8" count="4">
            <x v="8"/>
            <x v="9"/>
            <x v="16"/>
            <x v="17"/>
          </reference>
        </references>
      </pivotArea>
    </format>
    <format dxfId="6399">
      <pivotArea dataOnly="0" labelOnly="1" fieldPosition="0">
        <references count="4">
          <reference field="4" count="1" selected="0">
            <x v="19"/>
          </reference>
          <reference field="6" count="1" selected="0">
            <x v="3"/>
          </reference>
          <reference field="7" count="1" selected="0">
            <x v="6"/>
          </reference>
          <reference field="8" count="1">
            <x v="29"/>
          </reference>
        </references>
      </pivotArea>
    </format>
    <format dxfId="6398">
      <pivotArea dataOnly="0" labelOnly="1" fieldPosition="0">
        <references count="4">
          <reference field="4" count="1" selected="0">
            <x v="20"/>
          </reference>
          <reference field="6" count="1" selected="0">
            <x v="1"/>
          </reference>
          <reference field="7" count="1" selected="0">
            <x v="24"/>
          </reference>
          <reference field="8" count="1">
            <x v="106"/>
          </reference>
        </references>
      </pivotArea>
    </format>
    <format dxfId="6397">
      <pivotArea dataOnly="0" labelOnly="1" fieldPosition="0">
        <references count="5">
          <reference field="4" count="1" selected="0">
            <x v="0"/>
          </reference>
          <reference field="6" count="1" selected="0">
            <x v="0"/>
          </reference>
          <reference field="7" count="1" selected="0">
            <x v="17"/>
          </reference>
          <reference field="8" count="1" selected="0">
            <x v="65"/>
          </reference>
          <reference field="15" count="1">
            <x v="108"/>
          </reference>
        </references>
      </pivotArea>
    </format>
    <format dxfId="6396">
      <pivotArea dataOnly="0" labelOnly="1" fieldPosition="0">
        <references count="5">
          <reference field="4" count="1" selected="0">
            <x v="0"/>
          </reference>
          <reference field="6" count="1" selected="0">
            <x v="0"/>
          </reference>
          <reference field="7" count="1" selected="0">
            <x v="17"/>
          </reference>
          <reference field="8" count="1" selected="0">
            <x v="66"/>
          </reference>
          <reference field="15" count="2">
            <x v="365"/>
            <x v="366"/>
          </reference>
        </references>
      </pivotArea>
    </format>
    <format dxfId="6395">
      <pivotArea dataOnly="0" labelOnly="1" fieldPosition="0">
        <references count="5">
          <reference field="4" count="1" selected="0">
            <x v="0"/>
          </reference>
          <reference field="6" count="1" selected="0">
            <x v="0"/>
          </reference>
          <reference field="7" count="1" selected="0">
            <x v="17"/>
          </reference>
          <reference field="8" count="1" selected="0">
            <x v="67"/>
          </reference>
          <reference field="15" count="2">
            <x v="364"/>
            <x v="370"/>
          </reference>
        </references>
      </pivotArea>
    </format>
    <format dxfId="6394">
      <pivotArea dataOnly="0" labelOnly="1" fieldPosition="0">
        <references count="5">
          <reference field="4" count="1" selected="0">
            <x v="0"/>
          </reference>
          <reference field="6" count="1" selected="0">
            <x v="0"/>
          </reference>
          <reference field="7" count="1" selected="0">
            <x v="17"/>
          </reference>
          <reference field="8" count="1" selected="0">
            <x v="68"/>
          </reference>
          <reference field="15" count="1">
            <x v="79"/>
          </reference>
        </references>
      </pivotArea>
    </format>
    <format dxfId="6393">
      <pivotArea dataOnly="0" labelOnly="1" fieldPosition="0">
        <references count="5">
          <reference field="4" count="1" selected="0">
            <x v="0"/>
          </reference>
          <reference field="6" count="1" selected="0">
            <x v="0"/>
          </reference>
          <reference field="7" count="1" selected="0">
            <x v="17"/>
          </reference>
          <reference field="8" count="1" selected="0">
            <x v="69"/>
          </reference>
          <reference field="15" count="1">
            <x v="42"/>
          </reference>
        </references>
      </pivotArea>
    </format>
    <format dxfId="6392">
      <pivotArea dataOnly="0" labelOnly="1" fieldPosition="0">
        <references count="5">
          <reference field="4" count="1" selected="0">
            <x v="0"/>
          </reference>
          <reference field="6" count="1" selected="0">
            <x v="0"/>
          </reference>
          <reference field="7" count="1" selected="0">
            <x v="19"/>
          </reference>
          <reference field="8" count="1" selected="0">
            <x v="78"/>
          </reference>
          <reference field="15" count="1">
            <x v="236"/>
          </reference>
        </references>
      </pivotArea>
    </format>
    <format dxfId="6391">
      <pivotArea dataOnly="0" labelOnly="1" fieldPosition="0">
        <references count="5">
          <reference field="4" count="1" selected="0">
            <x v="0"/>
          </reference>
          <reference field="6" count="1" selected="0">
            <x v="0"/>
          </reference>
          <reference field="7" count="1" selected="0">
            <x v="19"/>
          </reference>
          <reference field="8" count="1" selected="0">
            <x v="79"/>
          </reference>
          <reference field="15" count="1">
            <x v="12"/>
          </reference>
        </references>
      </pivotArea>
    </format>
    <format dxfId="6390">
      <pivotArea dataOnly="0" labelOnly="1" fieldPosition="0">
        <references count="5">
          <reference field="4" count="1" selected="0">
            <x v="0"/>
          </reference>
          <reference field="6" count="1" selected="0">
            <x v="0"/>
          </reference>
          <reference field="7" count="1" selected="0">
            <x v="19"/>
          </reference>
          <reference field="8" count="1" selected="0">
            <x v="80"/>
          </reference>
          <reference field="15" count="2">
            <x v="10"/>
            <x v="11"/>
          </reference>
        </references>
      </pivotArea>
    </format>
    <format dxfId="6389">
      <pivotArea dataOnly="0" labelOnly="1" fieldPosition="0">
        <references count="5">
          <reference field="4" count="1" selected="0">
            <x v="0"/>
          </reference>
          <reference field="6" count="1" selected="0">
            <x v="1"/>
          </reference>
          <reference field="7" count="1" selected="0">
            <x v="23"/>
          </reference>
          <reference field="8" count="1" selected="0">
            <x v="95"/>
          </reference>
          <reference field="15" count="1">
            <x v="250"/>
          </reference>
        </references>
      </pivotArea>
    </format>
    <format dxfId="6388">
      <pivotArea dataOnly="0" labelOnly="1" fieldPosition="0">
        <references count="5">
          <reference field="4" count="1" selected="0">
            <x v="0"/>
          </reference>
          <reference field="6" count="1" selected="0">
            <x v="1"/>
          </reference>
          <reference field="7" count="1" selected="0">
            <x v="23"/>
          </reference>
          <reference field="8" count="1" selected="0">
            <x v="96"/>
          </reference>
          <reference field="15" count="2">
            <x v="251"/>
            <x v="358"/>
          </reference>
        </references>
      </pivotArea>
    </format>
    <format dxfId="6387">
      <pivotArea dataOnly="0" labelOnly="1" fieldPosition="0">
        <references count="5">
          <reference field="4" count="1" selected="0">
            <x v="0"/>
          </reference>
          <reference field="6" count="1" selected="0">
            <x v="1"/>
          </reference>
          <reference field="7" count="1" selected="0">
            <x v="23"/>
          </reference>
          <reference field="8" count="1" selected="0">
            <x v="97"/>
          </reference>
          <reference field="15" count="1">
            <x v="257"/>
          </reference>
        </references>
      </pivotArea>
    </format>
    <format dxfId="6386">
      <pivotArea dataOnly="0" labelOnly="1" fieldPosition="0">
        <references count="5">
          <reference field="4" count="1" selected="0">
            <x v="0"/>
          </reference>
          <reference field="6" count="1" selected="0">
            <x v="1"/>
          </reference>
          <reference field="7" count="1" selected="0">
            <x v="23"/>
          </reference>
          <reference field="8" count="1" selected="0">
            <x v="98"/>
          </reference>
          <reference field="15" count="1">
            <x v="43"/>
          </reference>
        </references>
      </pivotArea>
    </format>
    <format dxfId="6385">
      <pivotArea dataOnly="0" labelOnly="1" fieldPosition="0">
        <references count="5">
          <reference field="4" count="1" selected="0">
            <x v="0"/>
          </reference>
          <reference field="6" count="1" selected="0">
            <x v="1"/>
          </reference>
          <reference field="7" count="1" selected="0">
            <x v="23"/>
          </reference>
          <reference field="8" count="1" selected="0">
            <x v="99"/>
          </reference>
          <reference field="15" count="1">
            <x v="254"/>
          </reference>
        </references>
      </pivotArea>
    </format>
    <format dxfId="6384">
      <pivotArea dataOnly="0" labelOnly="1" fieldPosition="0">
        <references count="5">
          <reference field="4" count="1" selected="0">
            <x v="0"/>
          </reference>
          <reference field="6" count="1" selected="0">
            <x v="1"/>
          </reference>
          <reference field="7" count="1" selected="0">
            <x v="23"/>
          </reference>
          <reference field="8" count="1" selected="0">
            <x v="100"/>
          </reference>
          <reference field="15" count="1">
            <x v="253"/>
          </reference>
        </references>
      </pivotArea>
    </format>
    <format dxfId="6383">
      <pivotArea dataOnly="0" labelOnly="1" fieldPosition="0">
        <references count="5">
          <reference field="4" count="1" selected="0">
            <x v="0"/>
          </reference>
          <reference field="6" count="1" selected="0">
            <x v="1"/>
          </reference>
          <reference field="7" count="1" selected="0">
            <x v="23"/>
          </reference>
          <reference field="8" count="1" selected="0">
            <x v="101"/>
          </reference>
          <reference field="15" count="1">
            <x v="255"/>
          </reference>
        </references>
      </pivotArea>
    </format>
    <format dxfId="6382">
      <pivotArea dataOnly="0" labelOnly="1" fieldPosition="0">
        <references count="5">
          <reference field="4" count="1" selected="0">
            <x v="0"/>
          </reference>
          <reference field="6" count="1" selected="0">
            <x v="1"/>
          </reference>
          <reference field="7" count="1" selected="0">
            <x v="23"/>
          </reference>
          <reference field="8" count="1" selected="0">
            <x v="102"/>
          </reference>
          <reference field="15" count="1">
            <x v="40"/>
          </reference>
        </references>
      </pivotArea>
    </format>
    <format dxfId="6381">
      <pivotArea dataOnly="0" labelOnly="1" fieldPosition="0">
        <references count="5">
          <reference field="4" count="1" selected="0">
            <x v="0"/>
          </reference>
          <reference field="6" count="1" selected="0">
            <x v="1"/>
          </reference>
          <reference field="7" count="1" selected="0">
            <x v="23"/>
          </reference>
          <reference field="8" count="1" selected="0">
            <x v="103"/>
          </reference>
          <reference field="15" count="1">
            <x v="252"/>
          </reference>
        </references>
      </pivotArea>
    </format>
    <format dxfId="6380">
      <pivotArea dataOnly="0" labelOnly="1" fieldPosition="0">
        <references count="5">
          <reference field="4" count="1" selected="0">
            <x v="0"/>
          </reference>
          <reference field="6" count="1" selected="0">
            <x v="1"/>
          </reference>
          <reference field="7" count="1" selected="0">
            <x v="23"/>
          </reference>
          <reference field="8" count="1" selected="0">
            <x v="104"/>
          </reference>
          <reference field="15" count="1">
            <x v="256"/>
          </reference>
        </references>
      </pivotArea>
    </format>
    <format dxfId="6379">
      <pivotArea dataOnly="0" labelOnly="1" fieldPosition="0">
        <references count="5">
          <reference field="4" count="1" selected="0">
            <x v="0"/>
          </reference>
          <reference field="6" count="1" selected="0">
            <x v="1"/>
          </reference>
          <reference field="7" count="1" selected="0">
            <x v="26"/>
          </reference>
          <reference field="8" count="1" selected="0">
            <x v="131"/>
          </reference>
          <reference field="15" count="1">
            <x v="13"/>
          </reference>
        </references>
      </pivotArea>
    </format>
    <format dxfId="6378">
      <pivotArea dataOnly="0" labelOnly="1" fieldPosition="0">
        <references count="5">
          <reference field="4" count="1" selected="0">
            <x v="1"/>
          </reference>
          <reference field="6" count="1" selected="0">
            <x v="0"/>
          </reference>
          <reference field="7" count="1" selected="0">
            <x v="19"/>
          </reference>
          <reference field="8" count="1" selected="0">
            <x v="81"/>
          </reference>
          <reference field="15" count="1">
            <x v="231"/>
          </reference>
        </references>
      </pivotArea>
    </format>
    <format dxfId="6377">
      <pivotArea dataOnly="0" labelOnly="1" fieldPosition="0">
        <references count="5">
          <reference field="4" count="1" selected="0">
            <x v="1"/>
          </reference>
          <reference field="6" count="1" selected="0">
            <x v="3"/>
          </reference>
          <reference field="7" count="1" selected="0">
            <x v="2"/>
          </reference>
          <reference field="8" count="1" selected="0">
            <x v="7"/>
          </reference>
          <reference field="15" count="5">
            <x v="117"/>
            <x v="124"/>
            <x v="131"/>
            <x v="380"/>
            <x v="400"/>
          </reference>
        </references>
      </pivotArea>
    </format>
    <format dxfId="6376">
      <pivotArea dataOnly="0" labelOnly="1" fieldPosition="0">
        <references count="5">
          <reference field="4" count="1" selected="0">
            <x v="1"/>
          </reference>
          <reference field="6" count="1" selected="0">
            <x v="3"/>
          </reference>
          <reference field="7" count="1" selected="0">
            <x v="2"/>
          </reference>
          <reference field="8" count="1" selected="0">
            <x v="10"/>
          </reference>
          <reference field="15" count="2">
            <x v="17"/>
            <x v="18"/>
          </reference>
        </references>
      </pivotArea>
    </format>
    <format dxfId="6375">
      <pivotArea dataOnly="0" labelOnly="1" fieldPosition="0">
        <references count="5">
          <reference field="4" count="1" selected="0">
            <x v="1"/>
          </reference>
          <reference field="6" count="1" selected="0">
            <x v="3"/>
          </reference>
          <reference field="7" count="1" selected="0">
            <x v="2"/>
          </reference>
          <reference field="8" count="1" selected="0">
            <x v="11"/>
          </reference>
          <reference field="15" count="2">
            <x v="7"/>
            <x v="8"/>
          </reference>
        </references>
      </pivotArea>
    </format>
    <format dxfId="6374">
      <pivotArea dataOnly="0" labelOnly="1" fieldPosition="0">
        <references count="5">
          <reference field="4" count="1" selected="0">
            <x v="1"/>
          </reference>
          <reference field="6" count="1" selected="0">
            <x v="3"/>
          </reference>
          <reference field="7" count="1" selected="0">
            <x v="2"/>
          </reference>
          <reference field="8" count="1" selected="0">
            <x v="12"/>
          </reference>
          <reference field="15" count="1">
            <x v="107"/>
          </reference>
        </references>
      </pivotArea>
    </format>
    <format dxfId="6373">
      <pivotArea dataOnly="0" labelOnly="1" fieldPosition="0">
        <references count="5">
          <reference field="4" count="1" selected="0">
            <x v="1"/>
          </reference>
          <reference field="6" count="1" selected="0">
            <x v="3"/>
          </reference>
          <reference field="7" count="1" selected="0">
            <x v="2"/>
          </reference>
          <reference field="8" count="1" selected="0">
            <x v="13"/>
          </reference>
          <reference field="15" count="1">
            <x v="6"/>
          </reference>
        </references>
      </pivotArea>
    </format>
    <format dxfId="6372">
      <pivotArea dataOnly="0" labelOnly="1" fieldPosition="0">
        <references count="5">
          <reference field="4" count="1" selected="0">
            <x v="1"/>
          </reference>
          <reference field="6" count="1" selected="0">
            <x v="3"/>
          </reference>
          <reference field="7" count="1" selected="0">
            <x v="2"/>
          </reference>
          <reference field="8" count="1" selected="0">
            <x v="14"/>
          </reference>
          <reference field="15" count="2">
            <x v="46"/>
            <x v="47"/>
          </reference>
        </references>
      </pivotArea>
    </format>
    <format dxfId="6371">
      <pivotArea dataOnly="0" labelOnly="1" fieldPosition="0">
        <references count="5">
          <reference field="4" count="1" selected="0">
            <x v="1"/>
          </reference>
          <reference field="6" count="1" selected="0">
            <x v="3"/>
          </reference>
          <reference field="7" count="1" selected="0">
            <x v="2"/>
          </reference>
          <reference field="8" count="1" selected="0">
            <x v="15"/>
          </reference>
          <reference field="15" count="1">
            <x v="372"/>
          </reference>
        </references>
      </pivotArea>
    </format>
    <format dxfId="6370">
      <pivotArea dataOnly="0" labelOnly="1" fieldPosition="0">
        <references count="5">
          <reference field="4" count="1" selected="0">
            <x v="1"/>
          </reference>
          <reference field="6" count="1" selected="0">
            <x v="3"/>
          </reference>
          <reference field="7" count="1" selected="0">
            <x v="3"/>
          </reference>
          <reference field="8" count="1" selected="0">
            <x v="18"/>
          </reference>
          <reference field="15" count="1">
            <x v="232"/>
          </reference>
        </references>
      </pivotArea>
    </format>
    <format dxfId="6369">
      <pivotArea dataOnly="0" labelOnly="1" fieldPosition="0">
        <references count="5">
          <reference field="4" count="1" selected="0">
            <x v="1"/>
          </reference>
          <reference field="6" count="1" selected="0">
            <x v="3"/>
          </reference>
          <reference field="7" count="1" selected="0">
            <x v="3"/>
          </reference>
          <reference field="8" count="1" selected="0">
            <x v="19"/>
          </reference>
          <reference field="15" count="1">
            <x v="9"/>
          </reference>
        </references>
      </pivotArea>
    </format>
    <format dxfId="6368">
      <pivotArea dataOnly="0" labelOnly="1" fieldPosition="0">
        <references count="5">
          <reference field="4" count="1" selected="0">
            <x v="1"/>
          </reference>
          <reference field="6" count="1" selected="0">
            <x v="3"/>
          </reference>
          <reference field="7" count="1" selected="0">
            <x v="4"/>
          </reference>
          <reference field="8" count="1" selected="0">
            <x v="20"/>
          </reference>
          <reference field="15" count="1">
            <x v="34"/>
          </reference>
        </references>
      </pivotArea>
    </format>
    <format dxfId="6367">
      <pivotArea dataOnly="0" labelOnly="1" fieldPosition="0">
        <references count="5">
          <reference field="4" count="1" selected="0">
            <x v="1"/>
          </reference>
          <reference field="6" count="1" selected="0">
            <x v="3"/>
          </reference>
          <reference field="7" count="1" selected="0">
            <x v="4"/>
          </reference>
          <reference field="8" count="1" selected="0">
            <x v="21"/>
          </reference>
          <reference field="15" count="1">
            <x v="98"/>
          </reference>
        </references>
      </pivotArea>
    </format>
    <format dxfId="6366">
      <pivotArea dataOnly="0" labelOnly="1" fieldPosition="0">
        <references count="5">
          <reference field="4" count="1" selected="0">
            <x v="1"/>
          </reference>
          <reference field="6" count="1" selected="0">
            <x v="4"/>
          </reference>
          <reference field="7" count="1" selected="0">
            <x v="8"/>
          </reference>
          <reference field="8" count="1" selected="0">
            <x v="33"/>
          </reference>
          <reference field="15" count="1">
            <x v="237"/>
          </reference>
        </references>
      </pivotArea>
    </format>
    <format dxfId="6365">
      <pivotArea dataOnly="0" labelOnly="1" fieldPosition="0">
        <references count="5">
          <reference field="4" count="1" selected="0">
            <x v="1"/>
          </reference>
          <reference field="6" count="1" selected="0">
            <x v="4"/>
          </reference>
          <reference field="7" count="1" selected="0">
            <x v="8"/>
          </reference>
          <reference field="8" count="1" selected="0">
            <x v="34"/>
          </reference>
          <reference field="15" count="1">
            <x v="373"/>
          </reference>
        </references>
      </pivotArea>
    </format>
    <format dxfId="6364">
      <pivotArea dataOnly="0" labelOnly="1" fieldPosition="0">
        <references count="5">
          <reference field="4" count="1" selected="0">
            <x v="1"/>
          </reference>
          <reference field="6" count="1" selected="0">
            <x v="4"/>
          </reference>
          <reference field="7" count="1" selected="0">
            <x v="8"/>
          </reference>
          <reference field="8" count="1" selected="0">
            <x v="39"/>
          </reference>
          <reference field="15" count="2">
            <x v="233"/>
            <x v="234"/>
          </reference>
        </references>
      </pivotArea>
    </format>
    <format dxfId="6363">
      <pivotArea dataOnly="0" labelOnly="1" fieldPosition="0">
        <references count="5">
          <reference field="4" count="1" selected="0">
            <x v="2"/>
          </reference>
          <reference field="6" count="1" selected="0">
            <x v="2"/>
          </reference>
          <reference field="7" count="1" selected="0">
            <x v="29"/>
          </reference>
          <reference field="8" count="1" selected="0">
            <x v="145"/>
          </reference>
          <reference field="15" count="1">
            <x v="377"/>
          </reference>
        </references>
      </pivotArea>
    </format>
    <format dxfId="6362">
      <pivotArea dataOnly="0" labelOnly="1" fieldPosition="0">
        <references count="5">
          <reference field="4" count="1" selected="0">
            <x v="2"/>
          </reference>
          <reference field="6" count="1" selected="0">
            <x v="2"/>
          </reference>
          <reference field="7" count="1" selected="0">
            <x v="29"/>
          </reference>
          <reference field="8" count="1" selected="0">
            <x v="146"/>
          </reference>
          <reference field="15" count="1">
            <x v="139"/>
          </reference>
        </references>
      </pivotArea>
    </format>
    <format dxfId="6361">
      <pivotArea dataOnly="0" labelOnly="1" fieldPosition="0">
        <references count="5">
          <reference field="4" count="1" selected="0">
            <x v="2"/>
          </reference>
          <reference field="6" count="1" selected="0">
            <x v="2"/>
          </reference>
          <reference field="7" count="1" selected="0">
            <x v="29"/>
          </reference>
          <reference field="8" count="1" selected="0">
            <x v="147"/>
          </reference>
          <reference field="15" count="1">
            <x v="127"/>
          </reference>
        </references>
      </pivotArea>
    </format>
    <format dxfId="6360">
      <pivotArea dataOnly="0" labelOnly="1" fieldPosition="0">
        <references count="5">
          <reference field="4" count="1" selected="0">
            <x v="2"/>
          </reference>
          <reference field="6" count="1" selected="0">
            <x v="2"/>
          </reference>
          <reference field="7" count="1" selected="0">
            <x v="29"/>
          </reference>
          <reference field="8" count="1" selected="0">
            <x v="148"/>
          </reference>
          <reference field="15" count="1">
            <x v="142"/>
          </reference>
        </references>
      </pivotArea>
    </format>
    <format dxfId="6359">
      <pivotArea dataOnly="0" labelOnly="1" fieldPosition="0">
        <references count="5">
          <reference field="4" count="1" selected="0">
            <x v="2"/>
          </reference>
          <reference field="6" count="1" selected="0">
            <x v="2"/>
          </reference>
          <reference field="7" count="1" selected="0">
            <x v="29"/>
          </reference>
          <reference field="8" count="1" selected="0">
            <x v="149"/>
          </reference>
          <reference field="15" count="1">
            <x v="140"/>
          </reference>
        </references>
      </pivotArea>
    </format>
    <format dxfId="6358">
      <pivotArea dataOnly="0" labelOnly="1" fieldPosition="0">
        <references count="5">
          <reference field="4" count="1" selected="0">
            <x v="2"/>
          </reference>
          <reference field="6" count="1" selected="0">
            <x v="2"/>
          </reference>
          <reference field="7" count="1" selected="0">
            <x v="29"/>
          </reference>
          <reference field="8" count="1" selected="0">
            <x v="150"/>
          </reference>
          <reference field="15" count="1">
            <x v="144"/>
          </reference>
        </references>
      </pivotArea>
    </format>
    <format dxfId="6357">
      <pivotArea dataOnly="0" labelOnly="1" fieldPosition="0">
        <references count="5">
          <reference field="4" count="1" selected="0">
            <x v="2"/>
          </reference>
          <reference field="6" count="1" selected="0">
            <x v="2"/>
          </reference>
          <reference field="7" count="1" selected="0">
            <x v="30"/>
          </reference>
          <reference field="8" count="1" selected="0">
            <x v="152"/>
          </reference>
          <reference field="15" count="2">
            <x v="128"/>
            <x v="129"/>
          </reference>
        </references>
      </pivotArea>
    </format>
    <format dxfId="6356">
      <pivotArea dataOnly="0" labelOnly="1" fieldPosition="0">
        <references count="5">
          <reference field="4" count="1" selected="0">
            <x v="2"/>
          </reference>
          <reference field="6" count="1" selected="0">
            <x v="2"/>
          </reference>
          <reference field="7" count="1" selected="0">
            <x v="30"/>
          </reference>
          <reference field="8" count="1" selected="0">
            <x v="153"/>
          </reference>
          <reference field="15" count="1">
            <x v="141"/>
          </reference>
        </references>
      </pivotArea>
    </format>
    <format dxfId="6355">
      <pivotArea dataOnly="0" labelOnly="1" fieldPosition="0">
        <references count="5">
          <reference field="4" count="1" selected="0">
            <x v="2"/>
          </reference>
          <reference field="6" count="1" selected="0">
            <x v="3"/>
          </reference>
          <reference field="7" count="1" selected="0">
            <x v="5"/>
          </reference>
          <reference field="8" count="1" selected="0">
            <x v="24"/>
          </reference>
          <reference field="15" count="1">
            <x v="339"/>
          </reference>
        </references>
      </pivotArea>
    </format>
    <format dxfId="6354">
      <pivotArea dataOnly="0" labelOnly="1" fieldPosition="0">
        <references count="5">
          <reference field="4" count="1" selected="0">
            <x v="2"/>
          </reference>
          <reference field="6" count="1" selected="0">
            <x v="3"/>
          </reference>
          <reference field="7" count="1" selected="0">
            <x v="7"/>
          </reference>
          <reference field="8" count="1" selected="0">
            <x v="31"/>
          </reference>
          <reference field="15" count="2">
            <x v="391"/>
            <x v="392"/>
          </reference>
        </references>
      </pivotArea>
    </format>
    <format dxfId="6353">
      <pivotArea dataOnly="0" labelOnly="1" fieldPosition="0">
        <references count="5">
          <reference field="4" count="1" selected="0">
            <x v="2"/>
          </reference>
          <reference field="6" count="1" selected="0">
            <x v="3"/>
          </reference>
          <reference field="7" count="1" selected="0">
            <x v="7"/>
          </reference>
          <reference field="8" count="1" selected="0">
            <x v="32"/>
          </reference>
          <reference field="15" count="1">
            <x v="371"/>
          </reference>
        </references>
      </pivotArea>
    </format>
    <format dxfId="6352">
      <pivotArea dataOnly="0" labelOnly="1" fieldPosition="0">
        <references count="5">
          <reference field="4" count="1" selected="0">
            <x v="2"/>
          </reference>
          <reference field="6" count="1" selected="0">
            <x v="4"/>
          </reference>
          <reference field="7" count="1" selected="0">
            <x v="8"/>
          </reference>
          <reference field="8" count="1" selected="0">
            <x v="36"/>
          </reference>
          <reference field="15" count="1">
            <x v="379"/>
          </reference>
        </references>
      </pivotArea>
    </format>
    <format dxfId="6351">
      <pivotArea dataOnly="0" labelOnly="1" fieldPosition="0">
        <references count="5">
          <reference field="4" count="1" selected="0">
            <x v="2"/>
          </reference>
          <reference field="6" count="1" selected="0">
            <x v="4"/>
          </reference>
          <reference field="7" count="1" selected="0">
            <x v="8"/>
          </reference>
          <reference field="8" count="1" selected="0">
            <x v="39"/>
          </reference>
          <reference field="15" count="1">
            <x v="378"/>
          </reference>
        </references>
      </pivotArea>
    </format>
    <format dxfId="6350">
      <pivotArea dataOnly="0" labelOnly="1" fieldPosition="0">
        <references count="5">
          <reference field="4" count="1" selected="0">
            <x v="3"/>
          </reference>
          <reference field="6" count="1" selected="0">
            <x v="3"/>
          </reference>
          <reference field="7" count="1" selected="0">
            <x v="6"/>
          </reference>
          <reference field="8" count="1" selected="0">
            <x v="29"/>
          </reference>
          <reference field="15" count="41">
            <x v="0"/>
            <x v="1"/>
            <x v="167"/>
            <x v="175"/>
            <x v="176"/>
            <x v="177"/>
            <x v="178"/>
            <x v="179"/>
            <x v="180"/>
            <x v="181"/>
            <x v="182"/>
            <x v="201"/>
            <x v="202"/>
            <x v="205"/>
            <x v="206"/>
            <x v="207"/>
            <x v="208"/>
            <x v="209"/>
            <x v="210"/>
            <x v="211"/>
            <x v="212"/>
            <x v="213"/>
            <x v="214"/>
            <x v="215"/>
            <x v="216"/>
            <x v="217"/>
            <x v="218"/>
            <x v="219"/>
            <x v="220"/>
            <x v="221"/>
            <x v="224"/>
            <x v="225"/>
            <x v="226"/>
            <x v="227"/>
            <x v="228"/>
            <x v="393"/>
            <x v="394"/>
            <x v="396"/>
            <x v="397"/>
            <x v="398"/>
            <x v="399"/>
          </reference>
        </references>
      </pivotArea>
    </format>
    <format dxfId="6349">
      <pivotArea dataOnly="0" labelOnly="1" fieldPosition="0">
        <references count="5">
          <reference field="4" count="1" selected="0">
            <x v="4"/>
          </reference>
          <reference field="6" count="1" selected="0">
            <x v="0"/>
          </reference>
          <reference field="7" count="1" selected="0">
            <x v="21"/>
          </reference>
          <reference field="8" count="1" selected="0">
            <x v="87"/>
          </reference>
          <reference field="15" count="8">
            <x v="126"/>
            <x v="293"/>
            <x v="305"/>
            <x v="306"/>
            <x v="317"/>
            <x v="388"/>
            <x v="389"/>
            <x v="390"/>
          </reference>
        </references>
      </pivotArea>
    </format>
    <format dxfId="6348">
      <pivotArea dataOnly="0" labelOnly="1" fieldPosition="0">
        <references count="5">
          <reference field="4" count="1" selected="0">
            <x v="4"/>
          </reference>
          <reference field="6" count="1" selected="0">
            <x v="0"/>
          </reference>
          <reference field="7" count="1" selected="0">
            <x v="21"/>
          </reference>
          <reference field="8" count="1" selected="0">
            <x v="88"/>
          </reference>
          <reference field="15" count="3">
            <x v="291"/>
            <x v="292"/>
            <x v="301"/>
          </reference>
        </references>
      </pivotArea>
    </format>
    <format dxfId="6347">
      <pivotArea dataOnly="0" labelOnly="1" fieldPosition="0">
        <references count="5">
          <reference field="4" count="1" selected="0">
            <x v="4"/>
          </reference>
          <reference field="6" count="1" selected="0">
            <x v="0"/>
          </reference>
          <reference field="7" count="1" selected="0">
            <x v="21"/>
          </reference>
          <reference field="8" count="1" selected="0">
            <x v="89"/>
          </reference>
          <reference field="15" count="1">
            <x v="310"/>
          </reference>
        </references>
      </pivotArea>
    </format>
    <format dxfId="6346">
      <pivotArea dataOnly="0" labelOnly="1" fieldPosition="0">
        <references count="5">
          <reference field="4" count="1" selected="0">
            <x v="4"/>
          </reference>
          <reference field="6" count="1" selected="0">
            <x v="0"/>
          </reference>
          <reference field="7" count="1" selected="0">
            <x v="21"/>
          </reference>
          <reference field="8" count="1" selected="0">
            <x v="90"/>
          </reference>
          <reference field="15" count="1">
            <x v="385"/>
          </reference>
        </references>
      </pivotArea>
    </format>
    <format dxfId="6345">
      <pivotArea dataOnly="0" labelOnly="1" fieldPosition="0">
        <references count="5">
          <reference field="4" count="1" selected="0">
            <x v="4"/>
          </reference>
          <reference field="6" count="1" selected="0">
            <x v="0"/>
          </reference>
          <reference field="7" count="1" selected="0">
            <x v="21"/>
          </reference>
          <reference field="8" count="1" selected="0">
            <x v="91"/>
          </reference>
          <reference field="15" count="2">
            <x v="264"/>
            <x v="265"/>
          </reference>
        </references>
      </pivotArea>
    </format>
    <format dxfId="6344">
      <pivotArea dataOnly="0" labelOnly="1" fieldPosition="0">
        <references count="5">
          <reference field="4" count="1" selected="0">
            <x v="4"/>
          </reference>
          <reference field="6" count="1" selected="0">
            <x v="1"/>
          </reference>
          <reference field="7" count="1" selected="0">
            <x v="24"/>
          </reference>
          <reference field="8" count="1" selected="0">
            <x v="114"/>
          </reference>
          <reference field="15" count="1">
            <x v="263"/>
          </reference>
        </references>
      </pivotArea>
    </format>
    <format dxfId="6343">
      <pivotArea dataOnly="0" labelOnly="1" fieldPosition="0">
        <references count="5">
          <reference field="4" count="1" selected="0">
            <x v="4"/>
          </reference>
          <reference field="6" count="1" selected="0">
            <x v="2"/>
          </reference>
          <reference field="7" count="1" selected="0">
            <x v="29"/>
          </reference>
          <reference field="8" count="1" selected="0">
            <x v="142"/>
          </reference>
          <reference field="15" count="1">
            <x v="283"/>
          </reference>
        </references>
      </pivotArea>
    </format>
    <format dxfId="6342">
      <pivotArea dataOnly="0" labelOnly="1" fieldPosition="0">
        <references count="5">
          <reference field="4" count="1" selected="0">
            <x v="4"/>
          </reference>
          <reference field="6" count="1" selected="0">
            <x v="2"/>
          </reference>
          <reference field="7" count="1" selected="0">
            <x v="29"/>
          </reference>
          <reference field="8" count="1" selected="0">
            <x v="143"/>
          </reference>
          <reference field="15" count="2">
            <x v="289"/>
            <x v="314"/>
          </reference>
        </references>
      </pivotArea>
    </format>
    <format dxfId="6341">
      <pivotArea dataOnly="0" labelOnly="1" fieldPosition="0">
        <references count="5">
          <reference field="4" count="1" selected="0">
            <x v="4"/>
          </reference>
          <reference field="6" count="1" selected="0">
            <x v="2"/>
          </reference>
          <reference field="7" count="1" selected="0">
            <x v="29"/>
          </reference>
          <reference field="8" count="1" selected="0">
            <x v="151"/>
          </reference>
          <reference field="15" count="1">
            <x v="387"/>
          </reference>
        </references>
      </pivotArea>
    </format>
    <format dxfId="6340">
      <pivotArea dataOnly="0" labelOnly="1" fieldPosition="0">
        <references count="5">
          <reference field="4" count="1" selected="0">
            <x v="4"/>
          </reference>
          <reference field="6" count="1" selected="0">
            <x v="2"/>
          </reference>
          <reference field="7" count="1" selected="0">
            <x v="31"/>
          </reference>
          <reference field="8" count="1" selected="0">
            <x v="155"/>
          </reference>
          <reference field="15" count="4">
            <x v="235"/>
            <x v="303"/>
            <x v="374"/>
            <x v="386"/>
          </reference>
        </references>
      </pivotArea>
    </format>
    <format dxfId="6339">
      <pivotArea dataOnly="0" labelOnly="1" fieldPosition="0">
        <references count="5">
          <reference field="4" count="1" selected="0">
            <x v="4"/>
          </reference>
          <reference field="6" count="1" selected="0">
            <x v="2"/>
          </reference>
          <reference field="7" count="1" selected="0">
            <x v="31"/>
          </reference>
          <reference field="8" count="1" selected="0">
            <x v="156"/>
          </reference>
          <reference field="15" count="1">
            <x v="304"/>
          </reference>
        </references>
      </pivotArea>
    </format>
    <format dxfId="6338">
      <pivotArea dataOnly="0" labelOnly="1" fieldPosition="0">
        <references count="5">
          <reference field="4" count="1" selected="0">
            <x v="4"/>
          </reference>
          <reference field="6" count="1" selected="0">
            <x v="2"/>
          </reference>
          <reference field="7" count="1" selected="0">
            <x v="31"/>
          </reference>
          <reference field="8" count="1" selected="0">
            <x v="157"/>
          </reference>
          <reference field="15" count="1">
            <x v="302"/>
          </reference>
        </references>
      </pivotArea>
    </format>
    <format dxfId="6337">
      <pivotArea dataOnly="0" labelOnly="1" fieldPosition="0">
        <references count="5">
          <reference field="4" count="1" selected="0">
            <x v="4"/>
          </reference>
          <reference field="6" count="1" selected="0">
            <x v="3"/>
          </reference>
          <reference field="7" count="1" selected="0">
            <x v="0"/>
          </reference>
          <reference field="8" count="1" selected="0">
            <x v="0"/>
          </reference>
          <reference field="15" count="2">
            <x v="125"/>
            <x v="269"/>
          </reference>
        </references>
      </pivotArea>
    </format>
    <format dxfId="6336">
      <pivotArea dataOnly="0" labelOnly="1" fieldPosition="0">
        <references count="5">
          <reference field="4" count="1" selected="0">
            <x v="4"/>
          </reference>
          <reference field="6" count="1" selected="0">
            <x v="3"/>
          </reference>
          <reference field="7" count="1" selected="0">
            <x v="0"/>
          </reference>
          <reference field="8" count="1" selected="0">
            <x v="1"/>
          </reference>
          <reference field="15" count="1">
            <x v="382"/>
          </reference>
        </references>
      </pivotArea>
    </format>
    <format dxfId="6335">
      <pivotArea dataOnly="0" labelOnly="1" fieldPosition="0">
        <references count="5">
          <reference field="4" count="1" selected="0">
            <x v="4"/>
          </reference>
          <reference field="6" count="1" selected="0">
            <x v="3"/>
          </reference>
          <reference field="7" count="1" selected="0">
            <x v="1"/>
          </reference>
          <reference field="8" count="1" selected="0">
            <x v="2"/>
          </reference>
          <reference field="15" count="1">
            <x v="282"/>
          </reference>
        </references>
      </pivotArea>
    </format>
    <format dxfId="6334">
      <pivotArea dataOnly="0" labelOnly="1" fieldPosition="0">
        <references count="5">
          <reference field="4" count="1" selected="0">
            <x v="4"/>
          </reference>
          <reference field="6" count="1" selected="0">
            <x v="3"/>
          </reference>
          <reference field="7" count="1" selected="0">
            <x v="1"/>
          </reference>
          <reference field="8" count="1" selected="0">
            <x v="3"/>
          </reference>
          <reference field="15" count="1">
            <x v="384"/>
          </reference>
        </references>
      </pivotArea>
    </format>
    <format dxfId="6333">
      <pivotArea dataOnly="0" labelOnly="1" fieldPosition="0">
        <references count="5">
          <reference field="4" count="1" selected="0">
            <x v="4"/>
          </reference>
          <reference field="6" count="1" selected="0">
            <x v="3"/>
          </reference>
          <reference field="7" count="1" selected="0">
            <x v="1"/>
          </reference>
          <reference field="8" count="1" selected="0">
            <x v="4"/>
          </reference>
          <reference field="15" count="1">
            <x v="298"/>
          </reference>
        </references>
      </pivotArea>
    </format>
    <format dxfId="6332">
      <pivotArea dataOnly="0" labelOnly="1" fieldPosition="0">
        <references count="5">
          <reference field="4" count="1" selected="0">
            <x v="4"/>
          </reference>
          <reference field="6" count="1" selected="0">
            <x v="3"/>
          </reference>
          <reference field="7" count="1" selected="0">
            <x v="1"/>
          </reference>
          <reference field="8" count="1" selected="0">
            <x v="5"/>
          </reference>
          <reference field="15" count="2">
            <x v="381"/>
            <x v="383"/>
          </reference>
        </references>
      </pivotArea>
    </format>
    <format dxfId="6331">
      <pivotArea dataOnly="0" labelOnly="1" fieldPosition="0">
        <references count="5">
          <reference field="4" count="1" selected="0">
            <x v="5"/>
          </reference>
          <reference field="6" count="1" selected="0">
            <x v="0"/>
          </reference>
          <reference field="7" count="1" selected="0">
            <x v="18"/>
          </reference>
          <reference field="8" count="1" selected="0">
            <x v="73"/>
          </reference>
          <reference field="15" count="3">
            <x v="245"/>
            <x v="246"/>
            <x v="313"/>
          </reference>
        </references>
      </pivotArea>
    </format>
    <format dxfId="6330">
      <pivotArea dataOnly="0" labelOnly="1" fieldPosition="0">
        <references count="5">
          <reference field="4" count="1" selected="0">
            <x v="5"/>
          </reference>
          <reference field="6" count="1" selected="0">
            <x v="0"/>
          </reference>
          <reference field="7" count="1" selected="0">
            <x v="18"/>
          </reference>
          <reference field="8" count="1" selected="0">
            <x v="74"/>
          </reference>
          <reference field="15" count="1">
            <x v="230"/>
          </reference>
        </references>
      </pivotArea>
    </format>
    <format dxfId="6329">
      <pivotArea dataOnly="0" labelOnly="1" fieldPosition="0">
        <references count="5">
          <reference field="4" count="1" selected="0">
            <x v="5"/>
          </reference>
          <reference field="6" count="1" selected="0">
            <x v="0"/>
          </reference>
          <reference field="7" count="1" selected="0">
            <x v="18"/>
          </reference>
          <reference field="8" count="1" selected="0">
            <x v="77"/>
          </reference>
          <reference field="15" count="2">
            <x v="276"/>
            <x v="277"/>
          </reference>
        </references>
      </pivotArea>
    </format>
    <format dxfId="6328">
      <pivotArea dataOnly="0" labelOnly="1" fieldPosition="0">
        <references count="5">
          <reference field="4" count="1" selected="0">
            <x v="5"/>
          </reference>
          <reference field="6" count="1" selected="0">
            <x v="0"/>
          </reference>
          <reference field="7" count="1" selected="0">
            <x v="22"/>
          </reference>
          <reference field="8" count="1" selected="0">
            <x v="94"/>
          </reference>
          <reference field="15" count="1">
            <x v="164"/>
          </reference>
        </references>
      </pivotArea>
    </format>
    <format dxfId="6327">
      <pivotArea dataOnly="0" labelOnly="1" fieldPosition="0">
        <references count="5">
          <reference field="4" count="1" selected="0">
            <x v="5"/>
          </reference>
          <reference field="6" count="1" selected="0">
            <x v="4"/>
          </reference>
          <reference field="7" count="1" selected="0">
            <x v="8"/>
          </reference>
          <reference field="8" count="1" selected="0">
            <x v="37"/>
          </reference>
          <reference field="15" count="1">
            <x v="222"/>
          </reference>
        </references>
      </pivotArea>
    </format>
    <format dxfId="6326">
      <pivotArea dataOnly="0" labelOnly="1" fieldPosition="0">
        <references count="5">
          <reference field="4" count="1" selected="0">
            <x v="6"/>
          </reference>
          <reference field="6" count="1" selected="0">
            <x v="1"/>
          </reference>
          <reference field="7" count="1" selected="0">
            <x v="24"/>
          </reference>
          <reference field="8" count="1" selected="0">
            <x v="105"/>
          </reference>
          <reference field="15" count="13">
            <x v="24"/>
            <x v="25"/>
            <x v="31"/>
            <x v="37"/>
            <x v="44"/>
            <x v="45"/>
            <x v="48"/>
            <x v="49"/>
            <x v="50"/>
            <x v="56"/>
            <x v="66"/>
            <x v="100"/>
            <x v="101"/>
          </reference>
        </references>
      </pivotArea>
    </format>
    <format dxfId="6325">
      <pivotArea dataOnly="0" labelOnly="1" fieldPosition="0">
        <references count="5">
          <reference field="4" count="1" selected="0">
            <x v="6"/>
          </reference>
          <reference field="6" count="1" selected="0">
            <x v="1"/>
          </reference>
          <reference field="7" count="1" selected="0">
            <x v="24"/>
          </reference>
          <reference field="8" count="1" selected="0">
            <x v="107"/>
          </reference>
          <reference field="15" count="3">
            <x v="118"/>
            <x v="123"/>
            <x v="165"/>
          </reference>
        </references>
      </pivotArea>
    </format>
    <format dxfId="6324">
      <pivotArea dataOnly="0" labelOnly="1" fieldPosition="0">
        <references count="5">
          <reference field="4" count="1" selected="0">
            <x v="6"/>
          </reference>
          <reference field="6" count="1" selected="0">
            <x v="1"/>
          </reference>
          <reference field="7" count="1" selected="0">
            <x v="24"/>
          </reference>
          <reference field="8" count="1" selected="0">
            <x v="108"/>
          </reference>
          <reference field="15" count="2">
            <x v="97"/>
            <x v="119"/>
          </reference>
        </references>
      </pivotArea>
    </format>
    <format dxfId="6323">
      <pivotArea dataOnly="0" labelOnly="1" fieldPosition="0">
        <references count="5">
          <reference field="4" count="1" selected="0">
            <x v="6"/>
          </reference>
          <reference field="6" count="1" selected="0">
            <x v="1"/>
          </reference>
          <reference field="7" count="1" selected="0">
            <x v="24"/>
          </reference>
          <reference field="8" count="1" selected="0">
            <x v="109"/>
          </reference>
          <reference field="15" count="2">
            <x v="96"/>
            <x v="327"/>
          </reference>
        </references>
      </pivotArea>
    </format>
    <format dxfId="6322">
      <pivotArea dataOnly="0" labelOnly="1" fieldPosition="0">
        <references count="5">
          <reference field="4" count="1" selected="0">
            <x v="6"/>
          </reference>
          <reference field="6" count="1" selected="0">
            <x v="1"/>
          </reference>
          <reference field="7" count="1" selected="0">
            <x v="24"/>
          </reference>
          <reference field="8" count="1" selected="0">
            <x v="110"/>
          </reference>
          <reference field="15" count="2">
            <x v="115"/>
            <x v="324"/>
          </reference>
        </references>
      </pivotArea>
    </format>
    <format dxfId="6321">
      <pivotArea dataOnly="0" labelOnly="1" fieldPosition="0">
        <references count="5">
          <reference field="4" count="1" selected="0">
            <x v="6"/>
          </reference>
          <reference field="6" count="1" selected="0">
            <x v="1"/>
          </reference>
          <reference field="7" count="1" selected="0">
            <x v="24"/>
          </reference>
          <reference field="8" count="1" selected="0">
            <x v="111"/>
          </reference>
          <reference field="15" count="1">
            <x v="326"/>
          </reference>
        </references>
      </pivotArea>
    </format>
    <format dxfId="6320">
      <pivotArea dataOnly="0" labelOnly="1" fieldPosition="0">
        <references count="5">
          <reference field="4" count="1" selected="0">
            <x v="6"/>
          </reference>
          <reference field="6" count="1" selected="0">
            <x v="1"/>
          </reference>
          <reference field="7" count="1" selected="0">
            <x v="24"/>
          </reference>
          <reference field="8" count="1" selected="0">
            <x v="112"/>
          </reference>
          <reference field="15" count="5">
            <x v="80"/>
            <x v="120"/>
            <x v="121"/>
            <x v="122"/>
            <x v="135"/>
          </reference>
        </references>
      </pivotArea>
    </format>
    <format dxfId="6319">
      <pivotArea dataOnly="0" labelOnly="1" fieldPosition="0">
        <references count="5">
          <reference field="4" count="1" selected="0">
            <x v="6"/>
          </reference>
          <reference field="6" count="1" selected="0">
            <x v="1"/>
          </reference>
          <reference field="7" count="1" selected="0">
            <x v="24"/>
          </reference>
          <reference field="8" count="1" selected="0">
            <x v="113"/>
          </reference>
          <reference field="15" count="3">
            <x v="67"/>
            <x v="84"/>
            <x v="166"/>
          </reference>
        </references>
      </pivotArea>
    </format>
    <format dxfId="6318">
      <pivotArea dataOnly="0" labelOnly="1" fieldPosition="0">
        <references count="5">
          <reference field="4" count="1" selected="0">
            <x v="7"/>
          </reference>
          <reference field="6" count="1" selected="0">
            <x v="0"/>
          </reference>
          <reference field="7" count="1" selected="0">
            <x v="16"/>
          </reference>
          <reference field="8" count="1" selected="0">
            <x v="64"/>
          </reference>
          <reference field="15" count="3">
            <x v="274"/>
            <x v="278"/>
            <x v="325"/>
          </reference>
        </references>
      </pivotArea>
    </format>
    <format dxfId="6317">
      <pivotArea dataOnly="0" labelOnly="1" fieldPosition="0">
        <references count="5">
          <reference field="4" count="1" selected="0">
            <x v="7"/>
          </reference>
          <reference field="6" count="1" selected="0">
            <x v="2"/>
          </reference>
          <reference field="7" count="1" selected="0">
            <x v="29"/>
          </reference>
          <reference field="8" count="1" selected="0">
            <x v="140"/>
          </reference>
          <reference field="15" count="1">
            <x v="53"/>
          </reference>
        </references>
      </pivotArea>
    </format>
    <format dxfId="6316">
      <pivotArea dataOnly="0" labelOnly="1" fieldPosition="0">
        <references count="5">
          <reference field="4" count="1" selected="0">
            <x v="7"/>
          </reference>
          <reference field="6" count="1" selected="0">
            <x v="2"/>
          </reference>
          <reference field="7" count="1" selected="0">
            <x v="29"/>
          </reference>
          <reference field="8" count="1" selected="0">
            <x v="141"/>
          </reference>
          <reference field="15" count="1">
            <x v="279"/>
          </reference>
        </references>
      </pivotArea>
    </format>
    <format dxfId="6315">
      <pivotArea dataOnly="0" labelOnly="1" fieldPosition="0">
        <references count="5">
          <reference field="4" count="1" selected="0">
            <x v="7"/>
          </reference>
          <reference field="6" count="1" selected="0">
            <x v="2"/>
          </reference>
          <reference field="7" count="1" selected="0">
            <x v="29"/>
          </reference>
          <reference field="8" count="1" selected="0">
            <x v="144"/>
          </reference>
          <reference field="15" count="1">
            <x v="52"/>
          </reference>
        </references>
      </pivotArea>
    </format>
    <format dxfId="6314">
      <pivotArea dataOnly="0" labelOnly="1" fieldPosition="0">
        <references count="5">
          <reference field="4" count="1" selected="0">
            <x v="7"/>
          </reference>
          <reference field="6" count="1" selected="0">
            <x v="2"/>
          </reference>
          <reference field="7" count="1" selected="0">
            <x v="29"/>
          </reference>
          <reference field="8" count="1" selected="0">
            <x v="145"/>
          </reference>
          <reference field="15" count="1">
            <x v="51"/>
          </reference>
        </references>
      </pivotArea>
    </format>
    <format dxfId="6313">
      <pivotArea dataOnly="0" labelOnly="1" fieldPosition="0">
        <references count="5">
          <reference field="4" count="1" selected="0">
            <x v="7"/>
          </reference>
          <reference field="6" count="1" selected="0">
            <x v="2"/>
          </reference>
          <reference field="7" count="1" selected="0">
            <x v="30"/>
          </reference>
          <reference field="8" count="1" selected="0">
            <x v="154"/>
          </reference>
          <reference field="15" count="1">
            <x v="275"/>
          </reference>
        </references>
      </pivotArea>
    </format>
    <format dxfId="6312">
      <pivotArea dataOnly="0" labelOnly="1" fieldPosition="0">
        <references count="5">
          <reference field="4" count="1" selected="0">
            <x v="7"/>
          </reference>
          <reference field="6" count="1" selected="0">
            <x v="3"/>
          </reference>
          <reference field="7" count="1" selected="0">
            <x v="6"/>
          </reference>
          <reference field="8" count="1" selected="0">
            <x v="28"/>
          </reference>
          <reference field="15" count="3">
            <x v="318"/>
            <x v="319"/>
            <x v="320"/>
          </reference>
        </references>
      </pivotArea>
    </format>
    <format dxfId="6311">
      <pivotArea dataOnly="0" labelOnly="1" fieldPosition="0">
        <references count="5">
          <reference field="4" count="1" selected="0">
            <x v="7"/>
          </reference>
          <reference field="6" count="1" selected="0">
            <x v="4"/>
          </reference>
          <reference field="7" count="1" selected="0">
            <x v="8"/>
          </reference>
          <reference field="8" count="1" selected="0">
            <x v="35"/>
          </reference>
          <reference field="15" count="1">
            <x v="337"/>
          </reference>
        </references>
      </pivotArea>
    </format>
    <format dxfId="6310">
      <pivotArea dataOnly="0" labelOnly="1" fieldPosition="0">
        <references count="5">
          <reference field="4" count="1" selected="0">
            <x v="7"/>
          </reference>
          <reference field="6" count="1" selected="0">
            <x v="4"/>
          </reference>
          <reference field="7" count="1" selected="0">
            <x v="8"/>
          </reference>
          <reference field="8" count="1" selected="0">
            <x v="36"/>
          </reference>
          <reference field="15" count="1">
            <x v="280"/>
          </reference>
        </references>
      </pivotArea>
    </format>
    <format dxfId="6309">
      <pivotArea dataOnly="0" labelOnly="1" fieldPosition="0">
        <references count="5">
          <reference field="4" count="1" selected="0">
            <x v="7"/>
          </reference>
          <reference field="6" count="1" selected="0">
            <x v="4"/>
          </reference>
          <reference field="7" count="1" selected="0">
            <x v="9"/>
          </reference>
          <reference field="8" count="1" selected="0">
            <x v="40"/>
          </reference>
          <reference field="15" count="3">
            <x v="311"/>
            <x v="312"/>
            <x v="334"/>
          </reference>
        </references>
      </pivotArea>
    </format>
    <format dxfId="6308">
      <pivotArea dataOnly="0" labelOnly="1" fieldPosition="0">
        <references count="5">
          <reference field="4" count="1" selected="0">
            <x v="7"/>
          </reference>
          <reference field="6" count="1" selected="0">
            <x v="4"/>
          </reference>
          <reference field="7" count="1" selected="0">
            <x v="9"/>
          </reference>
          <reference field="8" count="1" selected="0">
            <x v="41"/>
          </reference>
          <reference field="15" count="1">
            <x v="328"/>
          </reference>
        </references>
      </pivotArea>
    </format>
    <format dxfId="6307">
      <pivotArea dataOnly="0" labelOnly="1" fieldPosition="0">
        <references count="5">
          <reference field="4" count="1" selected="0">
            <x v="7"/>
          </reference>
          <reference field="6" count="1" selected="0">
            <x v="4"/>
          </reference>
          <reference field="7" count="1" selected="0">
            <x v="9"/>
          </reference>
          <reference field="8" count="1" selected="0">
            <x v="42"/>
          </reference>
          <reference field="15" count="1">
            <x v="329"/>
          </reference>
        </references>
      </pivotArea>
    </format>
    <format dxfId="6306">
      <pivotArea dataOnly="0" labelOnly="1" fieldPosition="0">
        <references count="5">
          <reference field="4" count="1" selected="0">
            <x v="7"/>
          </reference>
          <reference field="6" count="1" selected="0">
            <x v="4"/>
          </reference>
          <reference field="7" count="1" selected="0">
            <x v="9"/>
          </reference>
          <reference field="8" count="1" selected="0">
            <x v="43"/>
          </reference>
          <reference field="15" count="1">
            <x v="321"/>
          </reference>
        </references>
      </pivotArea>
    </format>
    <format dxfId="6305">
      <pivotArea dataOnly="0" labelOnly="1" fieldPosition="0">
        <references count="5">
          <reference field="4" count="1" selected="0">
            <x v="7"/>
          </reference>
          <reference field="6" count="1" selected="0">
            <x v="4"/>
          </reference>
          <reference field="7" count="1" selected="0">
            <x v="10"/>
          </reference>
          <reference field="8" count="1" selected="0">
            <x v="44"/>
          </reference>
          <reference field="15" count="2">
            <x v="57"/>
            <x v="58"/>
          </reference>
        </references>
      </pivotArea>
    </format>
    <format dxfId="6304">
      <pivotArea dataOnly="0" labelOnly="1" fieldPosition="0">
        <references count="5">
          <reference field="4" count="1" selected="0">
            <x v="7"/>
          </reference>
          <reference field="6" count="1" selected="0">
            <x v="4"/>
          </reference>
          <reference field="7" count="1" selected="0">
            <x v="10"/>
          </reference>
          <reference field="8" count="1" selected="0">
            <x v="45"/>
          </reference>
          <reference field="15" count="1">
            <x v="55"/>
          </reference>
        </references>
      </pivotArea>
    </format>
    <format dxfId="6303">
      <pivotArea dataOnly="0" labelOnly="1" fieldPosition="0">
        <references count="5">
          <reference field="4" count="1" selected="0">
            <x v="7"/>
          </reference>
          <reference field="6" count="1" selected="0">
            <x v="4"/>
          </reference>
          <reference field="7" count="1" selected="0">
            <x v="10"/>
          </reference>
          <reference field="8" count="1" selected="0">
            <x v="46"/>
          </reference>
          <reference field="15" count="1">
            <x v="59"/>
          </reference>
        </references>
      </pivotArea>
    </format>
    <format dxfId="6302">
      <pivotArea dataOnly="0" labelOnly="1" fieldPosition="0">
        <references count="5">
          <reference field="4" count="1" selected="0">
            <x v="7"/>
          </reference>
          <reference field="6" count="1" selected="0">
            <x v="4"/>
          </reference>
          <reference field="7" count="1" selected="0">
            <x v="10"/>
          </reference>
          <reference field="8" count="1" selected="0">
            <x v="47"/>
          </reference>
          <reference field="15" count="1">
            <x v="54"/>
          </reference>
        </references>
      </pivotArea>
    </format>
    <format dxfId="6301">
      <pivotArea dataOnly="0" labelOnly="1" fieldPosition="0">
        <references count="5">
          <reference field="4" count="1" selected="0">
            <x v="7"/>
          </reference>
          <reference field="6" count="1" selected="0">
            <x v="4"/>
          </reference>
          <reference field="7" count="1" selected="0">
            <x v="11"/>
          </reference>
          <reference field="8" count="1" selected="0">
            <x v="48"/>
          </reference>
          <reference field="15" count="1">
            <x v="88"/>
          </reference>
        </references>
      </pivotArea>
    </format>
    <format dxfId="6300">
      <pivotArea dataOnly="0" labelOnly="1" fieldPosition="0">
        <references count="5">
          <reference field="4" count="1" selected="0">
            <x v="7"/>
          </reference>
          <reference field="6" count="1" selected="0">
            <x v="4"/>
          </reference>
          <reference field="7" count="1" selected="0">
            <x v="11"/>
          </reference>
          <reference field="8" count="1" selected="0">
            <x v="49"/>
          </reference>
          <reference field="15" count="1">
            <x v="86"/>
          </reference>
        </references>
      </pivotArea>
    </format>
    <format dxfId="6299">
      <pivotArea dataOnly="0" labelOnly="1" fieldPosition="0">
        <references count="5">
          <reference field="4" count="1" selected="0">
            <x v="7"/>
          </reference>
          <reference field="6" count="1" selected="0">
            <x v="4"/>
          </reference>
          <reference field="7" count="1" selected="0">
            <x v="12"/>
          </reference>
          <reference field="8" count="1" selected="0">
            <x v="50"/>
          </reference>
          <reference field="15" count="3">
            <x v="64"/>
            <x v="65"/>
            <x v="136"/>
          </reference>
        </references>
      </pivotArea>
    </format>
    <format dxfId="6298">
      <pivotArea dataOnly="0" labelOnly="1" fieldPosition="0">
        <references count="5">
          <reference field="4" count="1" selected="0">
            <x v="7"/>
          </reference>
          <reference field="6" count="1" selected="0">
            <x v="4"/>
          </reference>
          <reference field="7" count="1" selected="0">
            <x v="13"/>
          </reference>
          <reference field="8" count="1" selected="0">
            <x v="51"/>
          </reference>
          <reference field="15" count="1">
            <x v="307"/>
          </reference>
        </references>
      </pivotArea>
    </format>
    <format dxfId="6297">
      <pivotArea dataOnly="0" labelOnly="1" fieldPosition="0">
        <references count="5">
          <reference field="4" count="1" selected="0">
            <x v="7"/>
          </reference>
          <reference field="6" count="1" selected="0">
            <x v="4"/>
          </reference>
          <reference field="7" count="1" selected="0">
            <x v="13"/>
          </reference>
          <reference field="8" count="1" selected="0">
            <x v="52"/>
          </reference>
          <reference field="15" count="1">
            <x v="309"/>
          </reference>
        </references>
      </pivotArea>
    </format>
    <format dxfId="6296">
      <pivotArea dataOnly="0" labelOnly="1" fieldPosition="0">
        <references count="5">
          <reference field="4" count="1" selected="0">
            <x v="7"/>
          </reference>
          <reference field="6" count="1" selected="0">
            <x v="4"/>
          </reference>
          <reference field="7" count="1" selected="0">
            <x v="13"/>
          </reference>
          <reference field="8" count="1" selected="0">
            <x v="53"/>
          </reference>
          <reference field="15" count="1">
            <x v="308"/>
          </reference>
        </references>
      </pivotArea>
    </format>
    <format dxfId="6295">
      <pivotArea dataOnly="0" labelOnly="1" fieldPosition="0">
        <references count="5">
          <reference field="4" count="1" selected="0">
            <x v="7"/>
          </reference>
          <reference field="6" count="1" selected="0">
            <x v="4"/>
          </reference>
          <reference field="7" count="1" selected="0">
            <x v="14"/>
          </reference>
          <reference field="8" count="1" selected="0">
            <x v="54"/>
          </reference>
          <reference field="15" count="1">
            <x v="281"/>
          </reference>
        </references>
      </pivotArea>
    </format>
    <format dxfId="6294">
      <pivotArea dataOnly="0" labelOnly="1" fieldPosition="0">
        <references count="5">
          <reference field="4" count="1" selected="0">
            <x v="7"/>
          </reference>
          <reference field="6" count="1" selected="0">
            <x v="4"/>
          </reference>
          <reference field="7" count="1" selected="0">
            <x v="14"/>
          </reference>
          <reference field="8" count="1" selected="0">
            <x v="55"/>
          </reference>
          <reference field="15" count="1">
            <x v="138"/>
          </reference>
        </references>
      </pivotArea>
    </format>
    <format dxfId="6293">
      <pivotArea dataOnly="0" labelOnly="1" fieldPosition="0">
        <references count="5">
          <reference field="4" count="1" selected="0">
            <x v="7"/>
          </reference>
          <reference field="6" count="1" selected="0">
            <x v="4"/>
          </reference>
          <reference field="7" count="1" selected="0">
            <x v="15"/>
          </reference>
          <reference field="8" count="1" selected="0">
            <x v="56"/>
          </reference>
          <reference field="15" count="2">
            <x v="335"/>
            <x v="336"/>
          </reference>
        </references>
      </pivotArea>
    </format>
    <format dxfId="6292">
      <pivotArea dataOnly="0" labelOnly="1" fieldPosition="0">
        <references count="5">
          <reference field="4" count="1" selected="0">
            <x v="8"/>
          </reference>
          <reference field="6" count="1" selected="0">
            <x v="0"/>
          </reference>
          <reference field="7" count="1" selected="0">
            <x v="18"/>
          </reference>
          <reference field="8" count="1" selected="0">
            <x v="77"/>
          </reference>
          <reference field="15" count="1">
            <x v="290"/>
          </reference>
        </references>
      </pivotArea>
    </format>
    <format dxfId="6291">
      <pivotArea dataOnly="0" labelOnly="1" fieldPosition="0">
        <references count="5">
          <reference field="4" count="1" selected="0">
            <x v="8"/>
          </reference>
          <reference field="6" count="1" selected="0">
            <x v="0"/>
          </reference>
          <reference field="7" count="1" selected="0">
            <x v="22"/>
          </reference>
          <reference field="8" count="1" selected="0">
            <x v="92"/>
          </reference>
          <reference field="15" count="4">
            <x v="130"/>
            <x v="359"/>
            <x v="360"/>
            <x v="361"/>
          </reference>
        </references>
      </pivotArea>
    </format>
    <format dxfId="6290">
      <pivotArea dataOnly="0" labelOnly="1" fieldPosition="0">
        <references count="5">
          <reference field="4" count="1" selected="0">
            <x v="8"/>
          </reference>
          <reference field="6" count="1" selected="0">
            <x v="0"/>
          </reference>
          <reference field="7" count="1" selected="0">
            <x v="22"/>
          </reference>
          <reference field="8" count="1" selected="0">
            <x v="93"/>
          </reference>
          <reference field="15" count="1">
            <x v="369"/>
          </reference>
        </references>
      </pivotArea>
    </format>
    <format dxfId="6289">
      <pivotArea dataOnly="0" labelOnly="1" fieldPosition="0">
        <references count="5">
          <reference field="4" count="1" selected="0">
            <x v="8"/>
          </reference>
          <reference field="6" count="1" selected="0">
            <x v="0"/>
          </reference>
          <reference field="7" count="1" selected="0">
            <x v="22"/>
          </reference>
          <reference field="8" count="1" selected="0">
            <x v="94"/>
          </reference>
          <reference field="15" count="1">
            <x v="273"/>
          </reference>
        </references>
      </pivotArea>
    </format>
    <format dxfId="6288">
      <pivotArea dataOnly="0" labelOnly="1" fieldPosition="0">
        <references count="5">
          <reference field="4" count="1" selected="0">
            <x v="8"/>
          </reference>
          <reference field="6" count="1" selected="0">
            <x v="1"/>
          </reference>
          <reference field="7" count="1" selected="0">
            <x v="28"/>
          </reference>
          <reference field="8" count="1" selected="0">
            <x v="138"/>
          </reference>
          <reference field="15" count="3">
            <x v="270"/>
            <x v="343"/>
            <x v="355"/>
          </reference>
        </references>
      </pivotArea>
    </format>
    <format dxfId="6287">
      <pivotArea dataOnly="0" labelOnly="1" fieldPosition="0">
        <references count="5">
          <reference field="4" count="1" selected="0">
            <x v="8"/>
          </reference>
          <reference field="6" count="1" selected="0">
            <x v="1"/>
          </reference>
          <reference field="7" count="1" selected="0">
            <x v="28"/>
          </reference>
          <reference field="8" count="1" selected="0">
            <x v="139"/>
          </reference>
          <reference field="15" count="1">
            <x v="147"/>
          </reference>
        </references>
      </pivotArea>
    </format>
    <format dxfId="6286">
      <pivotArea dataOnly="0" labelOnly="1" fieldPosition="0">
        <references count="5">
          <reference field="4" count="1" selected="0">
            <x v="8"/>
          </reference>
          <reference field="6" count="1" selected="0">
            <x v="2"/>
          </reference>
          <reference field="7" count="1" selected="0">
            <x v="32"/>
          </reference>
          <reference field="8" count="1" selected="0">
            <x v="158"/>
          </reference>
          <reference field="15" count="1">
            <x v="344"/>
          </reference>
        </references>
      </pivotArea>
    </format>
    <format dxfId="6285">
      <pivotArea dataOnly="0" labelOnly="1" fieldPosition="0">
        <references count="5">
          <reference field="4" count="1" selected="0">
            <x v="8"/>
          </reference>
          <reference field="6" count="1" selected="0">
            <x v="2"/>
          </reference>
          <reference field="7" count="1" selected="0">
            <x v="32"/>
          </reference>
          <reference field="8" count="1" selected="0">
            <x v="159"/>
          </reference>
          <reference field="15" count="1">
            <x v="137"/>
          </reference>
        </references>
      </pivotArea>
    </format>
    <format dxfId="6284">
      <pivotArea dataOnly="0" labelOnly="1" fieldPosition="0">
        <references count="5">
          <reference field="4" count="1" selected="0">
            <x v="8"/>
          </reference>
          <reference field="6" count="1" selected="0">
            <x v="3"/>
          </reference>
          <reference field="7" count="1" selected="0">
            <x v="6"/>
          </reference>
          <reference field="8" count="1" selected="0">
            <x v="29"/>
          </reference>
          <reference field="15" count="4">
            <x v="145"/>
            <x v="146"/>
            <x v="356"/>
            <x v="357"/>
          </reference>
        </references>
      </pivotArea>
    </format>
    <format dxfId="6283">
      <pivotArea dataOnly="0" labelOnly="1" fieldPosition="0">
        <references count="5">
          <reference field="4" count="1" selected="0">
            <x v="8"/>
          </reference>
          <reference field="6" count="1" selected="0">
            <x v="3"/>
          </reference>
          <reference field="7" count="1" selected="0">
            <x v="6"/>
          </reference>
          <reference field="8" count="1" selected="0">
            <x v="30"/>
          </reference>
          <reference field="15" count="2">
            <x v="267"/>
            <x v="268"/>
          </reference>
        </references>
      </pivotArea>
    </format>
    <format dxfId="6282">
      <pivotArea dataOnly="0" labelOnly="1" fieldPosition="0">
        <references count="5">
          <reference field="4" count="1" selected="0">
            <x v="9"/>
          </reference>
          <reference field="6" count="1" selected="0">
            <x v="1"/>
          </reference>
          <reference field="7" count="1" selected="0">
            <x v="25"/>
          </reference>
          <reference field="8" count="1" selected="0">
            <x v="115"/>
          </reference>
          <reference field="15" count="13">
            <x v="35"/>
            <x v="36"/>
            <x v="63"/>
            <x v="72"/>
            <x v="77"/>
            <x v="238"/>
            <x v="241"/>
            <x v="242"/>
            <x v="243"/>
            <x v="247"/>
            <x v="248"/>
            <x v="260"/>
            <x v="262"/>
          </reference>
        </references>
      </pivotArea>
    </format>
    <format dxfId="6281">
      <pivotArea dataOnly="0" labelOnly="1" fieldPosition="0">
        <references count="5">
          <reference field="4" count="1" selected="0">
            <x v="9"/>
          </reference>
          <reference field="6" count="1" selected="0">
            <x v="1"/>
          </reference>
          <reference field="7" count="1" selected="0">
            <x v="25"/>
          </reference>
          <reference field="8" count="1" selected="0">
            <x v="116"/>
          </reference>
          <reference field="15" count="1">
            <x v="61"/>
          </reference>
        </references>
      </pivotArea>
    </format>
    <format dxfId="6280">
      <pivotArea dataOnly="0" labelOnly="1" fieldPosition="0">
        <references count="5">
          <reference field="4" count="1" selected="0">
            <x v="9"/>
          </reference>
          <reference field="6" count="1" selected="0">
            <x v="1"/>
          </reference>
          <reference field="7" count="1" selected="0">
            <x v="25"/>
          </reference>
          <reference field="8" count="1" selected="0">
            <x v="117"/>
          </reference>
          <reference field="15" count="2">
            <x v="92"/>
            <x v="249"/>
          </reference>
        </references>
      </pivotArea>
    </format>
    <format dxfId="6279">
      <pivotArea dataOnly="0" labelOnly="1" fieldPosition="0">
        <references count="5">
          <reference field="4" count="1" selected="0">
            <x v="9"/>
          </reference>
          <reference field="6" count="1" selected="0">
            <x v="1"/>
          </reference>
          <reference field="7" count="1" selected="0">
            <x v="25"/>
          </reference>
          <reference field="8" count="1" selected="0">
            <x v="118"/>
          </reference>
          <reference field="15" count="3">
            <x v="71"/>
            <x v="87"/>
            <x v="91"/>
          </reference>
        </references>
      </pivotArea>
    </format>
    <format dxfId="6278">
      <pivotArea dataOnly="0" labelOnly="1" fieldPosition="0">
        <references count="5">
          <reference field="4" count="1" selected="0">
            <x v="9"/>
          </reference>
          <reference field="6" count="1" selected="0">
            <x v="1"/>
          </reference>
          <reference field="7" count="1" selected="0">
            <x v="25"/>
          </reference>
          <reference field="8" count="1" selected="0">
            <x v="119"/>
          </reference>
          <reference field="15" count="4">
            <x v="62"/>
            <x v="68"/>
            <x v="69"/>
            <x v="70"/>
          </reference>
        </references>
      </pivotArea>
    </format>
    <format dxfId="6277">
      <pivotArea dataOnly="0" labelOnly="1" fieldPosition="0">
        <references count="5">
          <reference field="4" count="1" selected="0">
            <x v="9"/>
          </reference>
          <reference field="6" count="1" selected="0">
            <x v="1"/>
          </reference>
          <reference field="7" count="1" selected="0">
            <x v="25"/>
          </reference>
          <reference field="8" count="1" selected="0">
            <x v="120"/>
          </reference>
          <reference field="15" count="1">
            <x v="85"/>
          </reference>
        </references>
      </pivotArea>
    </format>
    <format dxfId="6276">
      <pivotArea dataOnly="0" labelOnly="1" fieldPosition="0">
        <references count="5">
          <reference field="4" count="1" selected="0">
            <x v="9"/>
          </reference>
          <reference field="6" count="1" selected="0">
            <x v="1"/>
          </reference>
          <reference field="7" count="1" selected="0">
            <x v="25"/>
          </reference>
          <reference field="8" count="1" selected="0">
            <x v="121"/>
          </reference>
          <reference field="15" count="2">
            <x v="41"/>
            <x v="78"/>
          </reference>
        </references>
      </pivotArea>
    </format>
    <format dxfId="6275">
      <pivotArea dataOnly="0" labelOnly="1" fieldPosition="0">
        <references count="5">
          <reference field="4" count="1" selected="0">
            <x v="9"/>
          </reference>
          <reference field="6" count="1" selected="0">
            <x v="1"/>
          </reference>
          <reference field="7" count="1" selected="0">
            <x v="25"/>
          </reference>
          <reference field="8" count="1" selected="0">
            <x v="122"/>
          </reference>
          <reference field="15" count="2">
            <x v="38"/>
            <x v="39"/>
          </reference>
        </references>
      </pivotArea>
    </format>
    <format dxfId="6274">
      <pivotArea dataOnly="0" labelOnly="1" fieldPosition="0">
        <references count="5">
          <reference field="4" count="1" selected="0">
            <x v="9"/>
          </reference>
          <reference field="6" count="1" selected="0">
            <x v="1"/>
          </reference>
          <reference field="7" count="1" selected="0">
            <x v="25"/>
          </reference>
          <reference field="8" count="1" selected="0">
            <x v="123"/>
          </reference>
          <reference field="15" count="7">
            <x v="32"/>
            <x v="33"/>
            <x v="60"/>
            <x v="82"/>
            <x v="83"/>
            <x v="89"/>
            <x v="90"/>
          </reference>
        </references>
      </pivotArea>
    </format>
    <format dxfId="6273">
      <pivotArea dataOnly="0" labelOnly="1" fieldPosition="0">
        <references count="5">
          <reference field="4" count="1" selected="0">
            <x v="9"/>
          </reference>
          <reference field="6" count="1" selected="0">
            <x v="1"/>
          </reference>
          <reference field="7" count="1" selected="0">
            <x v="25"/>
          </reference>
          <reference field="8" count="1" selected="0">
            <x v="124"/>
          </reference>
          <reference field="15" count="1">
            <x v="261"/>
          </reference>
        </references>
      </pivotArea>
    </format>
    <format dxfId="6272">
      <pivotArea dataOnly="0" labelOnly="1" fieldPosition="0">
        <references count="5">
          <reference field="4" count="1" selected="0">
            <x v="10"/>
          </reference>
          <reference field="6" count="1" selected="0">
            <x v="3"/>
          </reference>
          <reference field="7" count="1" selected="0">
            <x v="6"/>
          </reference>
          <reference field="8" count="1" selected="0">
            <x v="29"/>
          </reference>
          <reference field="15" count="21">
            <x v="2"/>
            <x v="3"/>
            <x v="5"/>
            <x v="152"/>
            <x v="153"/>
            <x v="154"/>
            <x v="155"/>
            <x v="156"/>
            <x v="157"/>
            <x v="158"/>
            <x v="159"/>
            <x v="160"/>
            <x v="161"/>
            <x v="162"/>
            <x v="163"/>
            <x v="189"/>
            <x v="190"/>
            <x v="191"/>
            <x v="192"/>
            <x v="193"/>
            <x v="395"/>
          </reference>
        </references>
      </pivotArea>
    </format>
    <format dxfId="6271">
      <pivotArea dataOnly="0" labelOnly="1" fieldPosition="0">
        <references count="5">
          <reference field="4" count="1" selected="0">
            <x v="11"/>
          </reference>
          <reference field="6" count="1" selected="0">
            <x v="0"/>
          </reference>
          <reference field="7" count="1" selected="0">
            <x v="17"/>
          </reference>
          <reference field="8" count="1" selected="0">
            <x v="70"/>
          </reference>
          <reference field="15" count="4">
            <x v="345"/>
            <x v="346"/>
            <x v="347"/>
            <x v="351"/>
          </reference>
        </references>
      </pivotArea>
    </format>
    <format dxfId="6270">
      <pivotArea dataOnly="0" labelOnly="1" fieldPosition="0">
        <references count="5">
          <reference field="4" count="1" selected="0">
            <x v="11"/>
          </reference>
          <reference field="6" count="1" selected="0">
            <x v="0"/>
          </reference>
          <reference field="7" count="1" selected="0">
            <x v="17"/>
          </reference>
          <reference field="8" count="1" selected="0">
            <x v="71"/>
          </reference>
          <reference field="15" count="3">
            <x v="348"/>
            <x v="352"/>
            <x v="353"/>
          </reference>
        </references>
      </pivotArea>
    </format>
    <format dxfId="6269">
      <pivotArea dataOnly="0" labelOnly="1" fieldPosition="0">
        <references count="5">
          <reference field="4" count="1" selected="0">
            <x v="11"/>
          </reference>
          <reference field="6" count="1" selected="0">
            <x v="0"/>
          </reference>
          <reference field="7" count="1" selected="0">
            <x v="17"/>
          </reference>
          <reference field="8" count="1" selected="0">
            <x v="72"/>
          </reference>
          <reference field="15" count="3">
            <x v="143"/>
            <x v="349"/>
            <x v="350"/>
          </reference>
        </references>
      </pivotArea>
    </format>
    <format dxfId="6268">
      <pivotArea dataOnly="0" labelOnly="1" fieldPosition="0">
        <references count="5">
          <reference field="4" count="1" selected="0">
            <x v="12"/>
          </reference>
          <reference field="6" count="1" selected="0">
            <x v="0"/>
          </reference>
          <reference field="7" count="1" selected="0">
            <x v="18"/>
          </reference>
          <reference field="8" count="1" selected="0">
            <x v="74"/>
          </reference>
          <reference field="15" count="2">
            <x v="113"/>
            <x v="114"/>
          </reference>
        </references>
      </pivotArea>
    </format>
    <format dxfId="6267">
      <pivotArea dataOnly="0" labelOnly="1" fieldPosition="0">
        <references count="5">
          <reference field="4" count="1" selected="0">
            <x v="12"/>
          </reference>
          <reference field="6" count="1" selected="0">
            <x v="0"/>
          </reference>
          <reference field="7" count="1" selected="0">
            <x v="18"/>
          </reference>
          <reference field="8" count="1" selected="0">
            <x v="75"/>
          </reference>
          <reference field="15" count="1">
            <x v="116"/>
          </reference>
        </references>
      </pivotArea>
    </format>
    <format dxfId="6266">
      <pivotArea dataOnly="0" labelOnly="1" fieldPosition="0">
        <references count="5">
          <reference field="4" count="1" selected="0">
            <x v="12"/>
          </reference>
          <reference field="6" count="1" selected="0">
            <x v="0"/>
          </reference>
          <reference field="7" count="1" selected="0">
            <x v="18"/>
          </reference>
          <reference field="8" count="1" selected="0">
            <x v="76"/>
          </reference>
          <reference field="15" count="1">
            <x v="244"/>
          </reference>
        </references>
      </pivotArea>
    </format>
    <format dxfId="6265">
      <pivotArea dataOnly="0" labelOnly="1" fieldPosition="0">
        <references count="5">
          <reference field="4" count="1" selected="0">
            <x v="13"/>
          </reference>
          <reference field="6" count="1" selected="0">
            <x v="3"/>
          </reference>
          <reference field="7" count="1" selected="0">
            <x v="1"/>
          </reference>
          <reference field="8" count="1" selected="0">
            <x v="6"/>
          </reference>
          <reference field="15" count="1">
            <x v="340"/>
          </reference>
        </references>
      </pivotArea>
    </format>
    <format dxfId="6264">
      <pivotArea dataOnly="0" labelOnly="1" fieldPosition="0">
        <references count="5">
          <reference field="4" count="1" selected="0">
            <x v="13"/>
          </reference>
          <reference field="6" count="1" selected="0">
            <x v="3"/>
          </reference>
          <reference field="7" count="1" selected="0">
            <x v="5"/>
          </reference>
          <reference field="8" count="1" selected="0">
            <x v="22"/>
          </reference>
          <reference field="15" count="1">
            <x v="333"/>
          </reference>
        </references>
      </pivotArea>
    </format>
    <format dxfId="6263">
      <pivotArea dataOnly="0" labelOnly="1" fieldPosition="0">
        <references count="5">
          <reference field="4" count="1" selected="0">
            <x v="13"/>
          </reference>
          <reference field="6" count="1" selected="0">
            <x v="3"/>
          </reference>
          <reference field="7" count="1" selected="0">
            <x v="5"/>
          </reference>
          <reference field="8" count="1" selected="0">
            <x v="23"/>
          </reference>
          <reference field="15" count="1">
            <x v="332"/>
          </reference>
        </references>
      </pivotArea>
    </format>
    <format dxfId="6262">
      <pivotArea dataOnly="0" labelOnly="1" fieldPosition="0">
        <references count="5">
          <reference field="4" count="1" selected="0">
            <x v="13"/>
          </reference>
          <reference field="6" count="1" selected="0">
            <x v="3"/>
          </reference>
          <reference field="7" count="1" selected="0">
            <x v="5"/>
          </reference>
          <reference field="8" count="1" selected="0">
            <x v="24"/>
          </reference>
          <reference field="15" count="1">
            <x v="339"/>
          </reference>
        </references>
      </pivotArea>
    </format>
    <format dxfId="6261">
      <pivotArea dataOnly="0" labelOnly="1" fieldPosition="0">
        <references count="5">
          <reference field="4" count="1" selected="0">
            <x v="13"/>
          </reference>
          <reference field="6" count="1" selected="0">
            <x v="3"/>
          </reference>
          <reference field="7" count="1" selected="0">
            <x v="5"/>
          </reference>
          <reference field="8" count="1" selected="0">
            <x v="25"/>
          </reference>
          <reference field="15" count="1">
            <x v="342"/>
          </reference>
        </references>
      </pivotArea>
    </format>
    <format dxfId="6260">
      <pivotArea dataOnly="0" labelOnly="1" fieldPosition="0">
        <references count="5">
          <reference field="4" count="1" selected="0">
            <x v="13"/>
          </reference>
          <reference field="6" count="1" selected="0">
            <x v="3"/>
          </reference>
          <reference field="7" count="1" selected="0">
            <x v="5"/>
          </reference>
          <reference field="8" count="1" selected="0">
            <x v="26"/>
          </reference>
          <reference field="15" count="1">
            <x v="338"/>
          </reference>
        </references>
      </pivotArea>
    </format>
    <format dxfId="6259">
      <pivotArea dataOnly="0" labelOnly="1" fieldPosition="0">
        <references count="5">
          <reference field="4" count="1" selected="0">
            <x v="13"/>
          </reference>
          <reference field="6" count="1" selected="0">
            <x v="3"/>
          </reference>
          <reference field="7" count="1" selected="0">
            <x v="5"/>
          </reference>
          <reference field="8" count="1" selected="0">
            <x v="27"/>
          </reference>
          <reference field="15" count="1">
            <x v="341"/>
          </reference>
        </references>
      </pivotArea>
    </format>
    <format dxfId="6258">
      <pivotArea dataOnly="0" labelOnly="1" fieldPosition="0">
        <references count="5">
          <reference field="4" count="1" selected="0">
            <x v="14"/>
          </reference>
          <reference field="6" count="1" selected="0">
            <x v="1"/>
          </reference>
          <reference field="7" count="1" selected="0">
            <x v="26"/>
          </reference>
          <reference field="8" count="1" selected="0">
            <x v="125"/>
          </reference>
          <reference field="15" count="4">
            <x v="26"/>
            <x v="27"/>
            <x v="28"/>
            <x v="99"/>
          </reference>
        </references>
      </pivotArea>
    </format>
    <format dxfId="6257">
      <pivotArea dataOnly="0" labelOnly="1" fieldPosition="0">
        <references count="5">
          <reference field="4" count="1" selected="0">
            <x v="14"/>
          </reference>
          <reference field="6" count="1" selected="0">
            <x v="1"/>
          </reference>
          <reference field="7" count="1" selected="0">
            <x v="26"/>
          </reference>
          <reference field="8" count="1" selected="0">
            <x v="126"/>
          </reference>
          <reference field="15" count="1">
            <x v="19"/>
          </reference>
        </references>
      </pivotArea>
    </format>
    <format dxfId="6256">
      <pivotArea dataOnly="0" labelOnly="1" fieldPosition="0">
        <references count="5">
          <reference field="4" count="1" selected="0">
            <x v="14"/>
          </reference>
          <reference field="6" count="1" selected="0">
            <x v="1"/>
          </reference>
          <reference field="7" count="1" selected="0">
            <x v="26"/>
          </reference>
          <reference field="8" count="1" selected="0">
            <x v="127"/>
          </reference>
          <reference field="15" count="2">
            <x v="150"/>
            <x v="151"/>
          </reference>
        </references>
      </pivotArea>
    </format>
    <format dxfId="6255">
      <pivotArea dataOnly="0" labelOnly="1" fieldPosition="0">
        <references count="5">
          <reference field="4" count="1" selected="0">
            <x v="14"/>
          </reference>
          <reference field="6" count="1" selected="0">
            <x v="1"/>
          </reference>
          <reference field="7" count="1" selected="0">
            <x v="26"/>
          </reference>
          <reference field="8" count="1" selected="0">
            <x v="128"/>
          </reference>
          <reference field="15" count="2">
            <x v="29"/>
            <x v="30"/>
          </reference>
        </references>
      </pivotArea>
    </format>
    <format dxfId="6254">
      <pivotArea dataOnly="0" labelOnly="1" fieldPosition="0">
        <references count="5">
          <reference field="4" count="1" selected="0">
            <x v="14"/>
          </reference>
          <reference field="6" count="1" selected="0">
            <x v="1"/>
          </reference>
          <reference field="7" count="1" selected="0">
            <x v="26"/>
          </reference>
          <reference field="8" count="1" selected="0">
            <x v="129"/>
          </reference>
          <reference field="15" count="2">
            <x v="330"/>
            <x v="331"/>
          </reference>
        </references>
      </pivotArea>
    </format>
    <format dxfId="6253">
      <pivotArea dataOnly="0" labelOnly="1" fieldPosition="0">
        <references count="5">
          <reference field="4" count="1" selected="0">
            <x v="14"/>
          </reference>
          <reference field="6" count="1" selected="0">
            <x v="1"/>
          </reference>
          <reference field="7" count="1" selected="0">
            <x v="26"/>
          </reference>
          <reference field="8" count="1" selected="0">
            <x v="130"/>
          </reference>
          <reference field="15" count="2">
            <x v="367"/>
            <x v="368"/>
          </reference>
        </references>
      </pivotArea>
    </format>
    <format dxfId="6252">
      <pivotArea dataOnly="0" labelOnly="1" fieldPosition="0">
        <references count="5">
          <reference field="4" count="1" selected="0">
            <x v="14"/>
          </reference>
          <reference field="6" count="1" selected="0">
            <x v="1"/>
          </reference>
          <reference field="7" count="1" selected="0">
            <x v="26"/>
          </reference>
          <reference field="8" count="1" selected="0">
            <x v="131"/>
          </reference>
          <reference field="15" count="3">
            <x v="14"/>
            <x v="15"/>
            <x v="16"/>
          </reference>
        </references>
      </pivotArea>
    </format>
    <format dxfId="6251">
      <pivotArea dataOnly="0" labelOnly="1" fieldPosition="0">
        <references count="5">
          <reference field="4" count="1" selected="0">
            <x v="15"/>
          </reference>
          <reference field="6" count="1" selected="0">
            <x v="0"/>
          </reference>
          <reference field="7" count="1" selected="0">
            <x v="20"/>
          </reference>
          <reference field="8" count="1" selected="0">
            <x v="82"/>
          </reference>
          <reference field="15" count="2">
            <x v="73"/>
            <x v="74"/>
          </reference>
        </references>
      </pivotArea>
    </format>
    <format dxfId="6250">
      <pivotArea dataOnly="0" labelOnly="1" fieldPosition="0">
        <references count="5">
          <reference field="4" count="1" selected="0">
            <x v="15"/>
          </reference>
          <reference field="6" count="1" selected="0">
            <x v="0"/>
          </reference>
          <reference field="7" count="1" selected="0">
            <x v="20"/>
          </reference>
          <reference field="8" count="1" selected="0">
            <x v="83"/>
          </reference>
          <reference field="15" count="1">
            <x v="75"/>
          </reference>
        </references>
      </pivotArea>
    </format>
    <format dxfId="6249">
      <pivotArea dataOnly="0" labelOnly="1" fieldPosition="0">
        <references count="5">
          <reference field="4" count="1" selected="0">
            <x v="15"/>
          </reference>
          <reference field="6" count="1" selected="0">
            <x v="0"/>
          </reference>
          <reference field="7" count="1" selected="0">
            <x v="20"/>
          </reference>
          <reference field="8" count="1" selected="0">
            <x v="84"/>
          </reference>
          <reference field="15" count="1">
            <x v="76"/>
          </reference>
        </references>
      </pivotArea>
    </format>
    <format dxfId="6248">
      <pivotArea dataOnly="0" labelOnly="1" fieldPosition="0">
        <references count="5">
          <reference field="4" count="1" selected="0">
            <x v="15"/>
          </reference>
          <reference field="6" count="1" selected="0">
            <x v="0"/>
          </reference>
          <reference field="7" count="1" selected="0">
            <x v="20"/>
          </reference>
          <reference field="8" count="1" selected="0">
            <x v="85"/>
          </reference>
          <reference field="15" count="1">
            <x v="259"/>
          </reference>
        </references>
      </pivotArea>
    </format>
    <format dxfId="6247">
      <pivotArea dataOnly="0" labelOnly="1" fieldPosition="0">
        <references count="5">
          <reference field="4" count="1" selected="0">
            <x v="15"/>
          </reference>
          <reference field="6" count="1" selected="0">
            <x v="0"/>
          </reference>
          <reference field="7" count="1" selected="0">
            <x v="20"/>
          </reference>
          <reference field="8" count="1" selected="0">
            <x v="86"/>
          </reference>
          <reference field="15" count="3">
            <x v="132"/>
            <x v="133"/>
            <x v="134"/>
          </reference>
        </references>
      </pivotArea>
    </format>
    <format dxfId="6246">
      <pivotArea dataOnly="0" labelOnly="1" fieldPosition="0">
        <references count="5">
          <reference field="4" count="1" selected="0">
            <x v="16"/>
          </reference>
          <reference field="6" count="1" selected="0">
            <x v="1"/>
          </reference>
          <reference field="7" count="1" selected="0">
            <x v="27"/>
          </reference>
          <reference field="8" count="1" selected="0">
            <x v="132"/>
          </reference>
          <reference field="15" count="1">
            <x v="20"/>
          </reference>
        </references>
      </pivotArea>
    </format>
    <format dxfId="6245">
      <pivotArea dataOnly="0" labelOnly="1" fieldPosition="0">
        <references count="5">
          <reference field="4" count="1" selected="0">
            <x v="16"/>
          </reference>
          <reference field="6" count="1" selected="0">
            <x v="1"/>
          </reference>
          <reference field="7" count="1" selected="0">
            <x v="27"/>
          </reference>
          <reference field="8" count="1" selected="0">
            <x v="133"/>
          </reference>
          <reference field="15" count="3">
            <x v="21"/>
            <x v="22"/>
            <x v="23"/>
          </reference>
        </references>
      </pivotArea>
    </format>
    <format dxfId="6244">
      <pivotArea dataOnly="0" labelOnly="1" fieldPosition="0">
        <references count="5">
          <reference field="4" count="1" selected="0">
            <x v="16"/>
          </reference>
          <reference field="6" count="1" selected="0">
            <x v="1"/>
          </reference>
          <reference field="7" count="1" selected="0">
            <x v="27"/>
          </reference>
          <reference field="8" count="1" selected="0">
            <x v="134"/>
          </reference>
          <reference field="15" count="2">
            <x v="149"/>
            <x v="354"/>
          </reference>
        </references>
      </pivotArea>
    </format>
    <format dxfId="6243">
      <pivotArea dataOnly="0" labelOnly="1" fieldPosition="0">
        <references count="5">
          <reference field="4" count="1" selected="0">
            <x v="16"/>
          </reference>
          <reference field="6" count="1" selected="0">
            <x v="1"/>
          </reference>
          <reference field="7" count="1" selected="0">
            <x v="27"/>
          </reference>
          <reference field="8" count="1" selected="0">
            <x v="135"/>
          </reference>
          <reference field="15" count="2">
            <x v="109"/>
            <x v="363"/>
          </reference>
        </references>
      </pivotArea>
    </format>
    <format dxfId="6242">
      <pivotArea dataOnly="0" labelOnly="1" fieldPosition="0">
        <references count="5">
          <reference field="4" count="1" selected="0">
            <x v="16"/>
          </reference>
          <reference field="6" count="1" selected="0">
            <x v="1"/>
          </reference>
          <reference field="7" count="1" selected="0">
            <x v="27"/>
          </reference>
          <reference field="8" count="1" selected="0">
            <x v="136"/>
          </reference>
          <reference field="15" count="2">
            <x v="81"/>
            <x v="148"/>
          </reference>
        </references>
      </pivotArea>
    </format>
    <format dxfId="6241">
      <pivotArea dataOnly="0" labelOnly="1" fieldPosition="0">
        <references count="5">
          <reference field="4" count="1" selected="0">
            <x v="16"/>
          </reference>
          <reference field="6" count="1" selected="0">
            <x v="1"/>
          </reference>
          <reference field="7" count="1" selected="0">
            <x v="27"/>
          </reference>
          <reference field="8" count="1" selected="0">
            <x v="137"/>
          </reference>
          <reference field="15" count="2">
            <x v="111"/>
            <x v="112"/>
          </reference>
        </references>
      </pivotArea>
    </format>
    <format dxfId="6240">
      <pivotArea dataOnly="0" labelOnly="1" fieldPosition="0">
        <references count="5">
          <reference field="4" count="1" selected="0">
            <x v="16"/>
          </reference>
          <reference field="6" count="1" selected="0">
            <x v="3"/>
          </reference>
          <reference field="7" count="1" selected="0">
            <x v="1"/>
          </reference>
          <reference field="8" count="1" selected="0">
            <x v="6"/>
          </reference>
          <reference field="15" count="1">
            <x v="362"/>
          </reference>
        </references>
      </pivotArea>
    </format>
    <format dxfId="6239">
      <pivotArea dataOnly="0" labelOnly="1" fieldPosition="0">
        <references count="5">
          <reference field="4" count="1" selected="0">
            <x v="16"/>
          </reference>
          <reference field="6" count="1" selected="0">
            <x v="4"/>
          </reference>
          <reference field="7" count="1" selected="0">
            <x v="8"/>
          </reference>
          <reference field="8" count="1" selected="0">
            <x v="38"/>
          </reference>
          <reference field="15" count="1">
            <x v="229"/>
          </reference>
        </references>
      </pivotArea>
    </format>
    <format dxfId="6238">
      <pivotArea dataOnly="0" labelOnly="1" fieldPosition="0">
        <references count="5">
          <reference field="4" count="1" selected="0">
            <x v="16"/>
          </reference>
          <reference field="6" count="1" selected="0">
            <x v="4"/>
          </reference>
          <reference field="7" count="1" selected="0">
            <x v="11"/>
          </reference>
          <reference field="8" count="1" selected="0">
            <x v="48"/>
          </reference>
          <reference field="15" count="1">
            <x v="200"/>
          </reference>
        </references>
      </pivotArea>
    </format>
    <format dxfId="6237">
      <pivotArea dataOnly="0" labelOnly="1" fieldPosition="0">
        <references count="5">
          <reference field="4" count="1" selected="0">
            <x v="17"/>
          </reference>
          <reference field="6" count="1" selected="0">
            <x v="0"/>
          </reference>
          <reference field="7" count="1" selected="0">
            <x v="16"/>
          </reference>
          <reference field="8" count="1" selected="0">
            <x v="57"/>
          </reference>
          <reference field="15" count="5">
            <x v="110"/>
            <x v="284"/>
            <x v="285"/>
            <x v="294"/>
            <x v="295"/>
          </reference>
        </references>
      </pivotArea>
    </format>
    <format dxfId="6236">
      <pivotArea dataOnly="0" labelOnly="1" fieldPosition="0">
        <references count="5">
          <reference field="4" count="1" selected="0">
            <x v="17"/>
          </reference>
          <reference field="6" count="1" selected="0">
            <x v="0"/>
          </reference>
          <reference field="7" count="1" selected="0">
            <x v="16"/>
          </reference>
          <reference field="8" count="1" selected="0">
            <x v="58"/>
          </reference>
          <reference field="15" count="2">
            <x v="299"/>
            <x v="300"/>
          </reference>
        </references>
      </pivotArea>
    </format>
    <format dxfId="6235">
      <pivotArea dataOnly="0" labelOnly="1" fieldPosition="0">
        <references count="5">
          <reference field="4" count="1" selected="0">
            <x v="17"/>
          </reference>
          <reference field="6" count="1" selected="0">
            <x v="0"/>
          </reference>
          <reference field="7" count="1" selected="0">
            <x v="16"/>
          </reference>
          <reference field="8" count="1" selected="0">
            <x v="59"/>
          </reference>
          <reference field="15" count="2">
            <x v="94"/>
            <x v="95"/>
          </reference>
        </references>
      </pivotArea>
    </format>
    <format dxfId="6234">
      <pivotArea dataOnly="0" labelOnly="1" fieldPosition="0">
        <references count="5">
          <reference field="4" count="1" selected="0">
            <x v="17"/>
          </reference>
          <reference field="6" count="1" selected="0">
            <x v="0"/>
          </reference>
          <reference field="7" count="1" selected="0">
            <x v="16"/>
          </reference>
          <reference field="8" count="1" selected="0">
            <x v="60"/>
          </reference>
          <reference field="15" count="5">
            <x v="102"/>
            <x v="103"/>
            <x v="104"/>
            <x v="322"/>
            <x v="323"/>
          </reference>
        </references>
      </pivotArea>
    </format>
    <format dxfId="6233">
      <pivotArea dataOnly="0" labelOnly="1" fieldPosition="0">
        <references count="5">
          <reference field="4" count="1" selected="0">
            <x v="17"/>
          </reference>
          <reference field="6" count="1" selected="0">
            <x v="0"/>
          </reference>
          <reference field="7" count="1" selected="0">
            <x v="16"/>
          </reference>
          <reference field="8" count="1" selected="0">
            <x v="61"/>
          </reference>
          <reference field="15" count="2">
            <x v="296"/>
            <x v="297"/>
          </reference>
        </references>
      </pivotArea>
    </format>
    <format dxfId="6232">
      <pivotArea dataOnly="0" labelOnly="1" fieldPosition="0">
        <references count="5">
          <reference field="4" count="1" selected="0">
            <x v="17"/>
          </reference>
          <reference field="6" count="1" selected="0">
            <x v="0"/>
          </reference>
          <reference field="7" count="1" selected="0">
            <x v="16"/>
          </reference>
          <reference field="8" count="1" selected="0">
            <x v="62"/>
          </reference>
          <reference field="15" count="1">
            <x v="93"/>
          </reference>
        </references>
      </pivotArea>
    </format>
    <format dxfId="6231">
      <pivotArea dataOnly="0" labelOnly="1" fieldPosition="0">
        <references count="5">
          <reference field="4" count="1" selected="0">
            <x v="17"/>
          </reference>
          <reference field="6" count="1" selected="0">
            <x v="0"/>
          </reference>
          <reference field="7" count="1" selected="0">
            <x v="16"/>
          </reference>
          <reference field="8" count="1" selected="0">
            <x v="63"/>
          </reference>
          <reference field="15" count="2">
            <x v="315"/>
            <x v="316"/>
          </reference>
        </references>
      </pivotArea>
    </format>
    <format dxfId="6230">
      <pivotArea dataOnly="0" labelOnly="1" fieldPosition="0">
        <references count="5">
          <reference field="4" count="1" selected="0">
            <x v="17"/>
          </reference>
          <reference field="6" count="1" selected="0">
            <x v="0"/>
          </reference>
          <reference field="7" count="1" selected="0">
            <x v="22"/>
          </reference>
          <reference field="8" count="1" selected="0">
            <x v="94"/>
          </reference>
          <reference field="15" count="2">
            <x v="105"/>
            <x v="106"/>
          </reference>
        </references>
      </pivotArea>
    </format>
    <format dxfId="6229">
      <pivotArea dataOnly="0" labelOnly="1" fieldPosition="0">
        <references count="5">
          <reference field="4" count="1" selected="0">
            <x v="18"/>
          </reference>
          <reference field="6" count="1" selected="0">
            <x v="3"/>
          </reference>
          <reference field="7" count="1" selected="0">
            <x v="2"/>
          </reference>
          <reference field="8" count="1" selected="0">
            <x v="8"/>
          </reference>
          <reference field="15" count="2">
            <x v="375"/>
            <x v="376"/>
          </reference>
        </references>
      </pivotArea>
    </format>
    <format dxfId="6228">
      <pivotArea dataOnly="0" labelOnly="1" fieldPosition="0">
        <references count="5">
          <reference field="4" count="1" selected="0">
            <x v="18"/>
          </reference>
          <reference field="6" count="1" selected="0">
            <x v="3"/>
          </reference>
          <reference field="7" count="1" selected="0">
            <x v="2"/>
          </reference>
          <reference field="8" count="1" selected="0">
            <x v="9"/>
          </reference>
          <reference field="15" count="1">
            <x v="266"/>
          </reference>
        </references>
      </pivotArea>
    </format>
    <format dxfId="6227">
      <pivotArea dataOnly="0" labelOnly="1" fieldPosition="0">
        <references count="5">
          <reference field="4" count="1" selected="0">
            <x v="18"/>
          </reference>
          <reference field="6" count="1" selected="0">
            <x v="3"/>
          </reference>
          <reference field="7" count="1" selected="0">
            <x v="2"/>
          </reference>
          <reference field="8" count="1" selected="0">
            <x v="16"/>
          </reference>
          <reference field="15" count="2">
            <x v="271"/>
            <x v="272"/>
          </reference>
        </references>
      </pivotArea>
    </format>
    <format dxfId="6226">
      <pivotArea dataOnly="0" labelOnly="1" fieldPosition="0">
        <references count="5">
          <reference field="4" count="1" selected="0">
            <x v="18"/>
          </reference>
          <reference field="6" count="1" selected="0">
            <x v="3"/>
          </reference>
          <reference field="7" count="1" selected="0">
            <x v="2"/>
          </reference>
          <reference field="8" count="1" selected="0">
            <x v="17"/>
          </reference>
          <reference field="15" count="3">
            <x v="286"/>
            <x v="287"/>
            <x v="288"/>
          </reference>
        </references>
      </pivotArea>
    </format>
    <format dxfId="6225">
      <pivotArea dataOnly="0" labelOnly="1" fieldPosition="0">
        <references count="5">
          <reference field="4" count="1" selected="0">
            <x v="19"/>
          </reference>
          <reference field="6" count="1" selected="0">
            <x v="3"/>
          </reference>
          <reference field="7" count="1" selected="0">
            <x v="6"/>
          </reference>
          <reference field="8" count="1" selected="0">
            <x v="29"/>
          </reference>
          <reference field="15" count="24">
            <x v="4"/>
            <x v="168"/>
            <x v="169"/>
            <x v="170"/>
            <x v="171"/>
            <x v="172"/>
            <x v="173"/>
            <x v="174"/>
            <x v="183"/>
            <x v="184"/>
            <x v="185"/>
            <x v="186"/>
            <x v="187"/>
            <x v="188"/>
            <x v="194"/>
            <x v="195"/>
            <x v="196"/>
            <x v="197"/>
            <x v="198"/>
            <x v="199"/>
            <x v="203"/>
            <x v="204"/>
            <x v="223"/>
            <x v="258"/>
          </reference>
        </references>
      </pivotArea>
    </format>
    <format dxfId="6224">
      <pivotArea dataOnly="0" labelOnly="1" fieldPosition="0">
        <references count="5">
          <reference field="4" count="1" selected="0">
            <x v="20"/>
          </reference>
          <reference field="6" count="1" selected="0">
            <x v="1"/>
          </reference>
          <reference field="7" count="1" selected="0">
            <x v="24"/>
          </reference>
          <reference field="8" count="1" selected="0">
            <x v="106"/>
          </reference>
          <reference field="15" count="2">
            <x v="239"/>
            <x v="240"/>
          </reference>
        </references>
      </pivotArea>
    </format>
    <format dxfId="6223">
      <pivotArea dataOnly="0" labelOnly="1" outline="0" fieldPosition="0">
        <references count="1">
          <reference field="4294967294" count="2">
            <x v="7"/>
            <x v="8"/>
          </reference>
        </references>
      </pivotArea>
    </format>
    <format dxfId="6222">
      <pivotArea outline="0" collapsedLevelsAreSubtotals="1" fieldPosition="0"/>
    </format>
    <format dxfId="6221">
      <pivotArea dataOnly="0" labelOnly="1" outline="0" fieldPosition="0">
        <references count="1">
          <reference field="2" count="0"/>
        </references>
      </pivotArea>
    </format>
    <format dxfId="6220">
      <pivotArea dataOnly="0" labelOnly="1" outline="0" fieldPosition="0">
        <references count="1">
          <reference field="4294967294" count="9">
            <x v="0"/>
            <x v="1"/>
            <x v="2"/>
            <x v="3"/>
            <x v="4"/>
            <x v="5"/>
            <x v="6"/>
            <x v="7"/>
            <x v="8"/>
          </reference>
        </references>
      </pivotArea>
    </format>
    <format dxfId="6219">
      <pivotArea field="2" type="button" dataOnly="0" labelOnly="1" outline="0" axis="axisPage" fieldPosition="0"/>
    </format>
    <format dxfId="6218">
      <pivotArea field="4" type="button" dataOnly="0" labelOnly="1" outline="0" axis="axisRow" fieldPosition="0"/>
    </format>
    <format dxfId="6217">
      <pivotArea dataOnly="0" labelOnly="1" fieldPosition="0">
        <references count="1">
          <reference field="4" count="1">
            <x v="2"/>
          </reference>
        </references>
      </pivotArea>
    </format>
    <format dxfId="6216">
      <pivotArea dataOnly="0" labelOnly="1" grandRow="1" outline="0" fieldPosition="0"/>
    </format>
    <format dxfId="6215">
      <pivotArea dataOnly="0" labelOnly="1" fieldPosition="0">
        <references count="2">
          <reference field="4" count="1" selected="0">
            <x v="2"/>
          </reference>
          <reference field="6" count="3">
            <x v="2"/>
            <x v="3"/>
            <x v="4"/>
          </reference>
        </references>
      </pivotArea>
    </format>
    <format dxfId="6214">
      <pivotArea dataOnly="0" labelOnly="1" fieldPosition="0">
        <references count="3">
          <reference field="4" count="1" selected="0">
            <x v="2"/>
          </reference>
          <reference field="6" count="1" selected="0">
            <x v="2"/>
          </reference>
          <reference field="7" count="2">
            <x v="29"/>
            <x v="30"/>
          </reference>
        </references>
      </pivotArea>
    </format>
    <format dxfId="6213">
      <pivotArea dataOnly="0" labelOnly="1" fieldPosition="0">
        <references count="3">
          <reference field="4" count="1" selected="0">
            <x v="2"/>
          </reference>
          <reference field="6" count="1" selected="0">
            <x v="3"/>
          </reference>
          <reference field="7" count="2">
            <x v="5"/>
            <x v="7"/>
          </reference>
        </references>
      </pivotArea>
    </format>
    <format dxfId="6212">
      <pivotArea dataOnly="0" labelOnly="1" fieldPosition="0">
        <references count="3">
          <reference field="4" count="1" selected="0">
            <x v="2"/>
          </reference>
          <reference field="6" count="1" selected="0">
            <x v="4"/>
          </reference>
          <reference field="7" count="1">
            <x v="8"/>
          </reference>
        </references>
      </pivotArea>
    </format>
    <format dxfId="6211">
      <pivotArea dataOnly="0" labelOnly="1" fieldPosition="0">
        <references count="4">
          <reference field="4" count="1" selected="0">
            <x v="2"/>
          </reference>
          <reference field="6" count="1" selected="0">
            <x v="2"/>
          </reference>
          <reference field="7" count="1" selected="0">
            <x v="29"/>
          </reference>
          <reference field="8" count="6">
            <x v="145"/>
            <x v="146"/>
            <x v="147"/>
            <x v="148"/>
            <x v="149"/>
            <x v="150"/>
          </reference>
        </references>
      </pivotArea>
    </format>
    <format dxfId="6210">
      <pivotArea dataOnly="0" labelOnly="1" fieldPosition="0">
        <references count="4">
          <reference field="4" count="1" selected="0">
            <x v="2"/>
          </reference>
          <reference field="6" count="1" selected="0">
            <x v="2"/>
          </reference>
          <reference field="7" count="1" selected="0">
            <x v="30"/>
          </reference>
          <reference field="8" count="2">
            <x v="152"/>
            <x v="153"/>
          </reference>
        </references>
      </pivotArea>
    </format>
    <format dxfId="6209">
      <pivotArea dataOnly="0" labelOnly="1" fieldPosition="0">
        <references count="4">
          <reference field="4" count="1" selected="0">
            <x v="2"/>
          </reference>
          <reference field="6" count="1" selected="0">
            <x v="3"/>
          </reference>
          <reference field="7" count="1" selected="0">
            <x v="5"/>
          </reference>
          <reference field="8" count="1">
            <x v="24"/>
          </reference>
        </references>
      </pivotArea>
    </format>
    <format dxfId="6208">
      <pivotArea dataOnly="0" labelOnly="1" fieldPosition="0">
        <references count="4">
          <reference field="4" count="1" selected="0">
            <x v="2"/>
          </reference>
          <reference field="6" count="1" selected="0">
            <x v="3"/>
          </reference>
          <reference field="7" count="1" selected="0">
            <x v="7"/>
          </reference>
          <reference field="8" count="2">
            <x v="31"/>
            <x v="32"/>
          </reference>
        </references>
      </pivotArea>
    </format>
    <format dxfId="6207">
      <pivotArea dataOnly="0" labelOnly="1" fieldPosition="0">
        <references count="4">
          <reference field="4" count="1" selected="0">
            <x v="2"/>
          </reference>
          <reference field="6" count="1" selected="0">
            <x v="4"/>
          </reference>
          <reference field="7" count="1" selected="0">
            <x v="8"/>
          </reference>
          <reference field="8" count="2">
            <x v="36"/>
            <x v="39"/>
          </reference>
        </references>
      </pivotArea>
    </format>
    <format dxfId="6206">
      <pivotArea dataOnly="0" labelOnly="1" fieldPosition="0">
        <references count="5">
          <reference field="4" count="1" selected="0">
            <x v="2"/>
          </reference>
          <reference field="6" count="1" selected="0">
            <x v="2"/>
          </reference>
          <reference field="7" count="1" selected="0">
            <x v="29"/>
          </reference>
          <reference field="8" count="1" selected="0">
            <x v="145"/>
          </reference>
          <reference field="15" count="1">
            <x v="377"/>
          </reference>
        </references>
      </pivotArea>
    </format>
    <format dxfId="6205">
      <pivotArea dataOnly="0" labelOnly="1" fieldPosition="0">
        <references count="5">
          <reference field="4" count="1" selected="0">
            <x v="2"/>
          </reference>
          <reference field="6" count="1" selected="0">
            <x v="2"/>
          </reference>
          <reference field="7" count="1" selected="0">
            <x v="29"/>
          </reference>
          <reference field="8" count="1" selected="0">
            <x v="146"/>
          </reference>
          <reference field="15" count="1">
            <x v="139"/>
          </reference>
        </references>
      </pivotArea>
    </format>
    <format dxfId="6204">
      <pivotArea dataOnly="0" labelOnly="1" fieldPosition="0">
        <references count="5">
          <reference field="4" count="1" selected="0">
            <x v="2"/>
          </reference>
          <reference field="6" count="1" selected="0">
            <x v="2"/>
          </reference>
          <reference field="7" count="1" selected="0">
            <x v="29"/>
          </reference>
          <reference field="8" count="1" selected="0">
            <x v="147"/>
          </reference>
          <reference field="15" count="1">
            <x v="127"/>
          </reference>
        </references>
      </pivotArea>
    </format>
    <format dxfId="6203">
      <pivotArea dataOnly="0" labelOnly="1" fieldPosition="0">
        <references count="5">
          <reference field="4" count="1" selected="0">
            <x v="2"/>
          </reference>
          <reference field="6" count="1" selected="0">
            <x v="2"/>
          </reference>
          <reference field="7" count="1" selected="0">
            <x v="29"/>
          </reference>
          <reference field="8" count="1" selected="0">
            <x v="148"/>
          </reference>
          <reference field="15" count="1">
            <x v="142"/>
          </reference>
        </references>
      </pivotArea>
    </format>
    <format dxfId="6202">
      <pivotArea dataOnly="0" labelOnly="1" fieldPosition="0">
        <references count="5">
          <reference field="4" count="1" selected="0">
            <x v="2"/>
          </reference>
          <reference field="6" count="1" selected="0">
            <x v="2"/>
          </reference>
          <reference field="7" count="1" selected="0">
            <x v="29"/>
          </reference>
          <reference field="8" count="1" selected="0">
            <x v="149"/>
          </reference>
          <reference field="15" count="1">
            <x v="140"/>
          </reference>
        </references>
      </pivotArea>
    </format>
    <format dxfId="6201">
      <pivotArea dataOnly="0" labelOnly="1" fieldPosition="0">
        <references count="5">
          <reference field="4" count="1" selected="0">
            <x v="2"/>
          </reference>
          <reference field="6" count="1" selected="0">
            <x v="2"/>
          </reference>
          <reference field="7" count="1" selected="0">
            <x v="29"/>
          </reference>
          <reference field="8" count="1" selected="0">
            <x v="150"/>
          </reference>
          <reference field="15" count="1">
            <x v="144"/>
          </reference>
        </references>
      </pivotArea>
    </format>
    <format dxfId="6200">
      <pivotArea dataOnly="0" labelOnly="1" fieldPosition="0">
        <references count="5">
          <reference field="4" count="1" selected="0">
            <x v="2"/>
          </reference>
          <reference field="6" count="1" selected="0">
            <x v="2"/>
          </reference>
          <reference field="7" count="1" selected="0">
            <x v="30"/>
          </reference>
          <reference field="8" count="1" selected="0">
            <x v="152"/>
          </reference>
          <reference field="15" count="2">
            <x v="128"/>
            <x v="129"/>
          </reference>
        </references>
      </pivotArea>
    </format>
    <format dxfId="6199">
      <pivotArea dataOnly="0" labelOnly="1" fieldPosition="0">
        <references count="5">
          <reference field="4" count="1" selected="0">
            <x v="2"/>
          </reference>
          <reference field="6" count="1" selected="0">
            <x v="2"/>
          </reference>
          <reference field="7" count="1" selected="0">
            <x v="30"/>
          </reference>
          <reference field="8" count="1" selected="0">
            <x v="153"/>
          </reference>
          <reference field="15" count="1">
            <x v="141"/>
          </reference>
        </references>
      </pivotArea>
    </format>
    <format dxfId="6198">
      <pivotArea dataOnly="0" labelOnly="1" fieldPosition="0">
        <references count="5">
          <reference field="4" count="1" selected="0">
            <x v="2"/>
          </reference>
          <reference field="6" count="1" selected="0">
            <x v="3"/>
          </reference>
          <reference field="7" count="1" selected="0">
            <x v="5"/>
          </reference>
          <reference field="8" count="1" selected="0">
            <x v="24"/>
          </reference>
          <reference field="15" count="1">
            <x v="339"/>
          </reference>
        </references>
      </pivotArea>
    </format>
    <format dxfId="6197">
      <pivotArea dataOnly="0" labelOnly="1" fieldPosition="0">
        <references count="5">
          <reference field="4" count="1" selected="0">
            <x v="2"/>
          </reference>
          <reference field="6" count="1" selected="0">
            <x v="3"/>
          </reference>
          <reference field="7" count="1" selected="0">
            <x v="7"/>
          </reference>
          <reference field="8" count="1" selected="0">
            <x v="31"/>
          </reference>
          <reference field="15" count="2">
            <x v="391"/>
            <x v="392"/>
          </reference>
        </references>
      </pivotArea>
    </format>
    <format dxfId="6196">
      <pivotArea dataOnly="0" labelOnly="1" fieldPosition="0">
        <references count="5">
          <reference field="4" count="1" selected="0">
            <x v="2"/>
          </reference>
          <reference field="6" count="1" selected="0">
            <x v="3"/>
          </reference>
          <reference field="7" count="1" selected="0">
            <x v="7"/>
          </reference>
          <reference field="8" count="1" selected="0">
            <x v="32"/>
          </reference>
          <reference field="15" count="1">
            <x v="371"/>
          </reference>
        </references>
      </pivotArea>
    </format>
    <format dxfId="6195">
      <pivotArea dataOnly="0" labelOnly="1" fieldPosition="0">
        <references count="5">
          <reference field="4" count="1" selected="0">
            <x v="2"/>
          </reference>
          <reference field="6" count="1" selected="0">
            <x v="4"/>
          </reference>
          <reference field="7" count="1" selected="0">
            <x v="8"/>
          </reference>
          <reference field="8" count="1" selected="0">
            <x v="36"/>
          </reference>
          <reference field="15" count="1">
            <x v="379"/>
          </reference>
        </references>
      </pivotArea>
    </format>
    <format dxfId="6194">
      <pivotArea dataOnly="0" labelOnly="1" fieldPosition="0">
        <references count="5">
          <reference field="4" count="1" selected="0">
            <x v="2"/>
          </reference>
          <reference field="6" count="1" selected="0">
            <x v="4"/>
          </reference>
          <reference field="7" count="1" selected="0">
            <x v="8"/>
          </reference>
          <reference field="8" count="1" selected="0">
            <x v="39"/>
          </reference>
          <reference field="15" count="1">
            <x v="378"/>
          </reference>
        </references>
      </pivotArea>
    </format>
    <format dxfId="6193">
      <pivotArea outline="0" collapsedLevelsAreSubtotals="1" fieldPosition="0">
        <references count="1">
          <reference field="4294967294" count="2" selected="0">
            <x v="7"/>
            <x v="8"/>
          </reference>
        </references>
      </pivotArea>
    </format>
    <format dxfId="6192">
      <pivotArea dataOnly="0" labelOnly="1" outline="0" fieldPosition="0">
        <references count="1">
          <reference field="4294967294" count="2">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8" cacheId="2" applyNumberFormats="0" applyBorderFormats="0" applyFontFormats="0" applyPatternFormats="0" applyAlignmentFormats="0" applyWidthHeightFormats="1" dataCaption="Valores" grandTotalCaption="TOTAL " updatedVersion="8" minRefreshableVersion="3" useAutoFormatting="1" itemPrintTitles="1" createdVersion="8" indent="0" outline="1" outlineData="1" multipleFieldFilters="0" rowHeaderCaption="UNIDAD EJECUTORA">
  <location ref="A3:J49" firstHeaderRow="0" firstDataRow="1" firstDataCol="1" rowPageCount="1" colPageCount="1"/>
  <pivotFields count="33">
    <pivotField showAll="0"/>
    <pivotField showAll="0"/>
    <pivotField axis="axisPage" showAll="0">
      <items count="22">
        <item x="4"/>
        <item x="3"/>
        <item x="14"/>
        <item x="0"/>
        <item x="13"/>
        <item x="17"/>
        <item x="7"/>
        <item x="9"/>
        <item x="15"/>
        <item x="8"/>
        <item x="1"/>
        <item x="16"/>
        <item x="12"/>
        <item x="20"/>
        <item x="5"/>
        <item x="10"/>
        <item x="6"/>
        <item x="11"/>
        <item x="19"/>
        <item x="2"/>
        <item x="18"/>
        <item t="default"/>
      </items>
    </pivotField>
    <pivotField showAll="0"/>
    <pivotField axis="axisRow" showAll="0">
      <items count="22">
        <item x="4"/>
        <item x="3"/>
        <item x="14"/>
        <item x="0"/>
        <item x="13"/>
        <item x="17"/>
        <item x="7"/>
        <item x="9"/>
        <item x="15"/>
        <item x="8"/>
        <item x="1"/>
        <item x="16"/>
        <item x="12"/>
        <item x="20"/>
        <item x="5"/>
        <item x="10"/>
        <item x="6"/>
        <item x="11"/>
        <item x="19"/>
        <item x="2"/>
        <item x="18"/>
        <item t="default"/>
      </items>
    </pivotField>
    <pivotField numFmtId="1" showAll="0"/>
    <pivotField axis="axisRow" showAll="0">
      <items count="6">
        <item x="1"/>
        <item x="2"/>
        <item x="3"/>
        <item x="0"/>
        <item x="4"/>
        <item t="default"/>
      </items>
    </pivotField>
    <pivotField axis="axisRow" showAll="0">
      <items count="34">
        <item x="19"/>
        <item x="27"/>
        <item x="1"/>
        <item x="2"/>
        <item x="8"/>
        <item x="30"/>
        <item x="0"/>
        <item x="32"/>
        <item x="25"/>
        <item x="29"/>
        <item x="12"/>
        <item x="15"/>
        <item x="13"/>
        <item x="28"/>
        <item x="23"/>
        <item x="31"/>
        <item x="16"/>
        <item x="10"/>
        <item x="18"/>
        <item x="3"/>
        <item x="14"/>
        <item x="20"/>
        <item x="17"/>
        <item x="9"/>
        <item x="6"/>
        <item x="7"/>
        <item x="4"/>
        <item x="5"/>
        <item x="24"/>
        <item x="11"/>
        <item x="21"/>
        <item x="26"/>
        <item x="22"/>
        <item t="default"/>
      </items>
    </pivotField>
    <pivotField axis="axisRow" showAll="0">
      <items count="161">
        <item x="62"/>
        <item x="155"/>
        <item x="112"/>
        <item x="156"/>
        <item x="118"/>
        <item x="154"/>
        <item x="140"/>
        <item x="60"/>
        <item x="153"/>
        <item x="102"/>
        <item x="7"/>
        <item x="2"/>
        <item x="52"/>
        <item x="1"/>
        <item x="22"/>
        <item x="151"/>
        <item x="105"/>
        <item x="114"/>
        <item x="82"/>
        <item x="3"/>
        <item x="15"/>
        <item x="49"/>
        <item x="135"/>
        <item x="134"/>
        <item x="139"/>
        <item x="142"/>
        <item x="138"/>
        <item x="141"/>
        <item x="128"/>
        <item x="0"/>
        <item x="103"/>
        <item x="159"/>
        <item x="150"/>
        <item x="86"/>
        <item x="152"/>
        <item x="137"/>
        <item x="110"/>
        <item x="79"/>
        <item x="80"/>
        <item x="83"/>
        <item x="126"/>
        <item x="131"/>
        <item x="132"/>
        <item x="129"/>
        <item x="28"/>
        <item x="27"/>
        <item x="29"/>
        <item x="26"/>
        <item x="43"/>
        <item x="42"/>
        <item x="32"/>
        <item x="122"/>
        <item x="124"/>
        <item x="123"/>
        <item x="111"/>
        <item x="69"/>
        <item x="136"/>
        <item x="55"/>
        <item x="119"/>
        <item x="46"/>
        <item x="50"/>
        <item x="117"/>
        <item x="45"/>
        <item x="127"/>
        <item x="106"/>
        <item x="53"/>
        <item x="147"/>
        <item x="146"/>
        <item x="38"/>
        <item x="20"/>
        <item x="144"/>
        <item x="145"/>
        <item x="74"/>
        <item x="89"/>
        <item x="57"/>
        <item x="59"/>
        <item x="88"/>
        <item x="108"/>
        <item x="85"/>
        <item x="5"/>
        <item x="4"/>
        <item x="81"/>
        <item x="35"/>
        <item x="36"/>
        <item x="37"/>
        <item x="98"/>
        <item x="67"/>
        <item x="63"/>
        <item x="116"/>
        <item x="125"/>
        <item x="157"/>
        <item x="101"/>
        <item x="66"/>
        <item x="149"/>
        <item x="51"/>
        <item x="90"/>
        <item x="91"/>
        <item x="97"/>
        <item x="21"/>
        <item x="94"/>
        <item x="93"/>
        <item x="95"/>
        <item x="18"/>
        <item x="92"/>
        <item x="96"/>
        <item x="11"/>
        <item x="87"/>
        <item x="61"/>
        <item x="48"/>
        <item x="47"/>
        <item x="58"/>
        <item x="130"/>
        <item x="39"/>
        <item x="33"/>
        <item x="100"/>
        <item x="16"/>
        <item x="30"/>
        <item x="44"/>
        <item x="34"/>
        <item x="31"/>
        <item x="41"/>
        <item x="19"/>
        <item x="17"/>
        <item x="14"/>
        <item x="99"/>
        <item x="12"/>
        <item x="8"/>
        <item x="78"/>
        <item x="13"/>
        <item x="133"/>
        <item x="148"/>
        <item x="6"/>
        <item x="9"/>
        <item x="10"/>
        <item x="77"/>
        <item x="54"/>
        <item x="40"/>
        <item x="56"/>
        <item x="104"/>
        <item x="76"/>
        <item x="25"/>
        <item x="109"/>
        <item x="113"/>
        <item x="115"/>
        <item x="24"/>
        <item x="23"/>
        <item x="70"/>
        <item x="64"/>
        <item x="73"/>
        <item x="71"/>
        <item x="75"/>
        <item x="158"/>
        <item x="65"/>
        <item x="72"/>
        <item x="107"/>
        <item x="84"/>
        <item x="121"/>
        <item x="120"/>
        <item x="143"/>
        <item x="68"/>
        <item t="default"/>
      </items>
    </pivotField>
    <pivotField showAll="0"/>
    <pivotField showAll="0"/>
    <pivotField showAll="0"/>
    <pivotField showAll="0"/>
    <pivotField showAll="0"/>
    <pivotField showAll="0"/>
    <pivotField axis="axisRow" showAll="0">
      <items count="402">
        <item x="1"/>
        <item x="0"/>
        <item x="3"/>
        <item x="2"/>
        <item x="4"/>
        <item x="5"/>
        <item x="6"/>
        <item x="8"/>
        <item x="7"/>
        <item x="9"/>
        <item x="11"/>
        <item x="10"/>
        <item x="12"/>
        <item x="13"/>
        <item x="16"/>
        <item x="15"/>
        <item x="14"/>
        <item x="18"/>
        <item x="17"/>
        <item x="19"/>
        <item x="20"/>
        <item x="21"/>
        <item x="22"/>
        <item x="23"/>
        <item x="25"/>
        <item x="24"/>
        <item x="27"/>
        <item x="26"/>
        <item x="28"/>
        <item x="29"/>
        <item x="30"/>
        <item x="31"/>
        <item x="32"/>
        <item x="33"/>
        <item x="34"/>
        <item x="35"/>
        <item x="36"/>
        <item x="37"/>
        <item x="38"/>
        <item x="39"/>
        <item x="40"/>
        <item x="41"/>
        <item x="42"/>
        <item x="43"/>
        <item x="44"/>
        <item x="45"/>
        <item x="46"/>
        <item x="47"/>
        <item x="48"/>
        <item x="49"/>
        <item x="50"/>
        <item x="51"/>
        <item x="52"/>
        <item x="53"/>
        <item x="54"/>
        <item x="55"/>
        <item x="56"/>
        <item x="58"/>
        <item x="57"/>
        <item x="59"/>
        <item x="60"/>
        <item x="61"/>
        <item x="62"/>
        <item x="63"/>
        <item x="65"/>
        <item x="64"/>
        <item x="66"/>
        <item x="67"/>
        <item x="68"/>
        <item x="69"/>
        <item x="70"/>
        <item x="71"/>
        <item x="72"/>
        <item x="74"/>
        <item x="73"/>
        <item x="75"/>
        <item x="76"/>
        <item x="77"/>
        <item x="78"/>
        <item x="79"/>
        <item x="80"/>
        <item x="81"/>
        <item x="82"/>
        <item x="83"/>
        <item x="84"/>
        <item x="85"/>
        <item x="86"/>
        <item x="87"/>
        <item x="88"/>
        <item x="89"/>
        <item x="90"/>
        <item x="91"/>
        <item x="92"/>
        <item x="93"/>
        <item x="95"/>
        <item x="94"/>
        <item x="96"/>
        <item x="97"/>
        <item x="98"/>
        <item x="99"/>
        <item x="101"/>
        <item x="100"/>
        <item x="103"/>
        <item x="102"/>
        <item x="104"/>
        <item x="105"/>
        <item x="106"/>
        <item x="107"/>
        <item x="108"/>
        <item x="109"/>
        <item x="110"/>
        <item x="111"/>
        <item x="112"/>
        <item x="114"/>
        <item x="113"/>
        <item x="115"/>
        <item x="116"/>
        <item x="117"/>
        <item x="118"/>
        <item x="119"/>
        <item x="122"/>
        <item x="120"/>
        <item x="121"/>
        <item x="123"/>
        <item x="124"/>
        <item x="125"/>
        <item x="126"/>
        <item x="127"/>
        <item x="129"/>
        <item x="128"/>
        <item x="130"/>
        <item x="131"/>
        <item x="132"/>
        <item x="133"/>
        <item x="134"/>
        <item x="135"/>
        <item x="136"/>
        <item x="137"/>
        <item x="138"/>
        <item x="139"/>
        <item x="140"/>
        <item x="141"/>
        <item x="142"/>
        <item x="143"/>
        <item x="144"/>
        <item x="145"/>
        <item x="146"/>
        <item x="147"/>
        <item x="148"/>
        <item x="149"/>
        <item x="151"/>
        <item x="150"/>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3"/>
        <item x="192"/>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4"/>
        <item x="233"/>
        <item x="235"/>
        <item x="236"/>
        <item x="237"/>
        <item x="238"/>
        <item x="239"/>
        <item x="240"/>
        <item x="241"/>
        <item x="242"/>
        <item x="243"/>
        <item x="244"/>
        <item x="246"/>
        <item x="245"/>
        <item x="247"/>
        <item x="248"/>
        <item x="249"/>
        <item x="250"/>
        <item x="251"/>
        <item x="252"/>
        <item x="253"/>
        <item x="254"/>
        <item x="255"/>
        <item x="256"/>
        <item x="257"/>
        <item x="258"/>
        <item x="259"/>
        <item x="260"/>
        <item x="261"/>
        <item x="262"/>
        <item x="263"/>
        <item x="264"/>
        <item x="265"/>
        <item x="266"/>
        <item x="268"/>
        <item x="267"/>
        <item x="269"/>
        <item x="270"/>
        <item x="271"/>
        <item x="272"/>
        <item x="273"/>
        <item x="274"/>
        <item x="275"/>
        <item x="277"/>
        <item x="276"/>
        <item x="278"/>
        <item x="279"/>
        <item x="280"/>
        <item x="281"/>
        <item x="282"/>
        <item x="283"/>
        <item x="285"/>
        <item x="284"/>
        <item x="288"/>
        <item x="286"/>
        <item x="287"/>
        <item x="289"/>
        <item x="290"/>
        <item x="291"/>
        <item x="292"/>
        <item x="293"/>
        <item x="294"/>
        <item x="295"/>
        <item x="297"/>
        <item x="296"/>
        <item x="298"/>
        <item x="299"/>
        <item x="300"/>
        <item x="301"/>
        <item x="302"/>
        <item x="303"/>
        <item x="304"/>
        <item x="305"/>
        <item x="306"/>
        <item x="307"/>
        <item x="308"/>
        <item x="309"/>
        <item x="310"/>
        <item x="311"/>
        <item x="312"/>
        <item x="313"/>
        <item x="314"/>
        <item x="316"/>
        <item x="315"/>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7"/>
        <item x="346"/>
        <item x="348"/>
        <item x="349"/>
        <item x="350"/>
        <item x="351"/>
        <item x="352"/>
        <item x="353"/>
        <item x="354"/>
        <item x="355"/>
        <item x="357"/>
        <item x="356"/>
        <item x="358"/>
        <item x="360"/>
        <item x="359"/>
        <item x="361"/>
        <item x="362"/>
        <item x="363"/>
        <item x="364"/>
        <item x="365"/>
        <item x="366"/>
        <item x="368"/>
        <item x="367"/>
        <item x="369"/>
        <item x="370"/>
        <item x="371"/>
        <item x="372"/>
        <item x="373"/>
        <item x="374"/>
        <item x="376"/>
        <item x="375"/>
        <item x="377"/>
        <item x="378"/>
        <item x="379"/>
        <item x="380"/>
        <item x="381"/>
        <item x="382"/>
        <item x="383"/>
        <item x="384"/>
        <item x="385"/>
        <item x="386"/>
        <item x="387"/>
        <item x="389"/>
        <item x="388"/>
        <item x="390"/>
        <item x="391"/>
        <item x="392"/>
        <item x="393"/>
        <item x="394"/>
        <item x="395"/>
        <item x="396"/>
        <item x="397"/>
        <item x="398"/>
        <item x="399"/>
        <item x="400"/>
        <item t="default"/>
      </items>
    </pivotField>
    <pivotField showAll="0"/>
    <pivotField showAll="0"/>
    <pivotField dataField="1" numFmtId="43" showAll="0"/>
    <pivotField numFmtId="43" showAll="0"/>
    <pivotField dataField="1" numFmtId="43" showAll="0"/>
    <pivotField numFmtId="43" showAll="0"/>
    <pivotField numFmtId="43" showAll="0"/>
    <pivotField dataField="1" numFmtId="43" showAll="0"/>
    <pivotField numFmtId="43" showAll="0"/>
    <pivotField dataField="1" numFmtId="43" showAll="0"/>
    <pivotField numFmtId="43" showAll="0"/>
    <pivotField numFmtId="43" showAll="0"/>
    <pivotField dataField="1" numFmtId="43" showAl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5">
    <field x="4"/>
    <field x="6"/>
    <field x="7"/>
    <field x="8"/>
    <field x="15"/>
  </rowFields>
  <rowItems count="46">
    <i>
      <x v="3"/>
    </i>
    <i r="1">
      <x v="3"/>
    </i>
    <i r="2">
      <x v="6"/>
    </i>
    <i r="3">
      <x v="29"/>
    </i>
    <i r="4">
      <x/>
    </i>
    <i r="4">
      <x v="1"/>
    </i>
    <i r="4">
      <x v="167"/>
    </i>
    <i r="4">
      <x v="175"/>
    </i>
    <i r="4">
      <x v="176"/>
    </i>
    <i r="4">
      <x v="177"/>
    </i>
    <i r="4">
      <x v="178"/>
    </i>
    <i r="4">
      <x v="179"/>
    </i>
    <i r="4">
      <x v="180"/>
    </i>
    <i r="4">
      <x v="181"/>
    </i>
    <i r="4">
      <x v="182"/>
    </i>
    <i r="4">
      <x v="201"/>
    </i>
    <i r="4">
      <x v="202"/>
    </i>
    <i r="4">
      <x v="205"/>
    </i>
    <i r="4">
      <x v="206"/>
    </i>
    <i r="4">
      <x v="207"/>
    </i>
    <i r="4">
      <x v="208"/>
    </i>
    <i r="4">
      <x v="209"/>
    </i>
    <i r="4">
      <x v="210"/>
    </i>
    <i r="4">
      <x v="211"/>
    </i>
    <i r="4">
      <x v="212"/>
    </i>
    <i r="4">
      <x v="213"/>
    </i>
    <i r="4">
      <x v="214"/>
    </i>
    <i r="4">
      <x v="215"/>
    </i>
    <i r="4">
      <x v="216"/>
    </i>
    <i r="4">
      <x v="217"/>
    </i>
    <i r="4">
      <x v="218"/>
    </i>
    <i r="4">
      <x v="219"/>
    </i>
    <i r="4">
      <x v="220"/>
    </i>
    <i r="4">
      <x v="221"/>
    </i>
    <i r="4">
      <x v="224"/>
    </i>
    <i r="4">
      <x v="225"/>
    </i>
    <i r="4">
      <x v="226"/>
    </i>
    <i r="4">
      <x v="227"/>
    </i>
    <i r="4">
      <x v="228"/>
    </i>
    <i r="4">
      <x v="393"/>
    </i>
    <i r="4">
      <x v="394"/>
    </i>
    <i r="4">
      <x v="396"/>
    </i>
    <i r="4">
      <x v="397"/>
    </i>
    <i r="4">
      <x v="398"/>
    </i>
    <i r="4">
      <x v="399"/>
    </i>
    <i t="grand">
      <x/>
    </i>
  </rowItems>
  <colFields count="1">
    <field x="-2"/>
  </colFields>
  <colItems count="9">
    <i>
      <x/>
    </i>
    <i i="1">
      <x v="1"/>
    </i>
    <i i="2">
      <x v="2"/>
    </i>
    <i i="3">
      <x v="3"/>
    </i>
    <i i="4">
      <x v="4"/>
    </i>
    <i i="5">
      <x v="5"/>
    </i>
    <i i="6">
      <x v="6"/>
    </i>
    <i i="7">
      <x v="7"/>
    </i>
    <i i="8">
      <x v="8"/>
    </i>
  </colItems>
  <pageFields count="1">
    <pageField fld="2" item="3" hier="-1"/>
  </pageFields>
  <dataFields count="9">
    <dataField name="PPTO INICIAL" fld="18" baseField="4" baseItem="0"/>
    <dataField name="PPTO VIGENTE" fld="20" baseField="4" baseItem="0"/>
    <dataField name="COMPROMISOS." fld="23" baseField="4" baseItem="0"/>
    <dataField name="GIROS." fld="25" baseField="4" baseItem="0"/>
    <dataField name="PAGOS " fld="28" baseField="4" baseItem="0"/>
    <dataField name=" SALDO APROPIACIÓN CDP" fld="29" baseField="4" baseItem="0" numFmtId="43"/>
    <dataField name="SALDO APROPIACIÓN RP" fld="30" baseField="4" baseItem="0" numFmtId="43"/>
    <dataField name="Suma de % CDP" fld="31" baseField="0" baseItem="0" numFmtId="43"/>
    <dataField name="Suma de % RP" fld="32" baseField="0" baseItem="0" numFmtId="43"/>
  </dataFields>
  <formats count="320">
    <format dxfId="6191">
      <pivotArea dataOnly="0" labelOnly="1" fieldPosition="0">
        <references count="1">
          <reference field="4" count="0"/>
        </references>
      </pivotArea>
    </format>
    <format dxfId="6190">
      <pivotArea dataOnly="0" labelOnly="1" fieldPosition="0">
        <references count="1">
          <reference field="4" count="1">
            <x v="0"/>
          </reference>
        </references>
      </pivotArea>
    </format>
    <format dxfId="6189">
      <pivotArea dataOnly="0" labelOnly="1" fieldPosition="0">
        <references count="1">
          <reference field="6" count="0"/>
        </references>
      </pivotArea>
    </format>
    <format dxfId="6188">
      <pivotArea dataOnly="0" labelOnly="1" fieldPosition="0">
        <references count="1">
          <reference field="7" count="0"/>
        </references>
      </pivotArea>
    </format>
    <format dxfId="6187">
      <pivotArea dataOnly="0" labelOnly="1" fieldPosition="0">
        <references count="1">
          <reference field="7" count="0"/>
        </references>
      </pivotArea>
    </format>
    <format dxfId="6186">
      <pivotArea dataOnly="0" labelOnly="1" fieldPosition="0">
        <references count="1">
          <reference field="8" count="0"/>
        </references>
      </pivotArea>
    </format>
    <format dxfId="6185">
      <pivotArea outline="0" collapsedLevelsAreSubtotals="1" fieldPosition="0"/>
    </format>
    <format dxfId="6184">
      <pivotArea dataOnly="0" labelOnly="1" outline="0" fieldPosition="0">
        <references count="1">
          <reference field="2" count="0"/>
        </references>
      </pivotArea>
    </format>
    <format dxfId="6183">
      <pivotArea dataOnly="0" labelOnly="1" outline="0" fieldPosition="0">
        <references count="1">
          <reference field="4294967294" count="9">
            <x v="0"/>
            <x v="1"/>
            <x v="2"/>
            <x v="3"/>
            <x v="4"/>
            <x v="5"/>
            <x v="6"/>
            <x v="7"/>
            <x v="8"/>
          </reference>
        </references>
      </pivotArea>
    </format>
    <format dxfId="6182">
      <pivotArea field="2" type="button" dataOnly="0" labelOnly="1" outline="0" axis="axisPage" fieldPosition="0"/>
    </format>
    <format dxfId="6181">
      <pivotArea field="4" type="button" dataOnly="0" labelOnly="1" outline="0" axis="axisRow" fieldPosition="0"/>
    </format>
    <format dxfId="6180">
      <pivotArea dataOnly="0" labelOnly="1" fieldPosition="0">
        <references count="1">
          <reference field="4" count="0"/>
        </references>
      </pivotArea>
    </format>
    <format dxfId="6179">
      <pivotArea dataOnly="0" labelOnly="1" grandRow="1" outline="0" fieldPosition="0"/>
    </format>
    <format dxfId="6178">
      <pivotArea dataOnly="0" labelOnly="1" fieldPosition="0">
        <references count="2">
          <reference field="4" count="1" selected="0">
            <x v="0"/>
          </reference>
          <reference field="6" count="2">
            <x v="0"/>
            <x v="1"/>
          </reference>
        </references>
      </pivotArea>
    </format>
    <format dxfId="6177">
      <pivotArea dataOnly="0" labelOnly="1" fieldPosition="0">
        <references count="2">
          <reference field="4" count="1" selected="0">
            <x v="1"/>
          </reference>
          <reference field="6" count="3">
            <x v="0"/>
            <x v="3"/>
            <x v="4"/>
          </reference>
        </references>
      </pivotArea>
    </format>
    <format dxfId="6176">
      <pivotArea dataOnly="0" labelOnly="1" fieldPosition="0">
        <references count="2">
          <reference field="4" count="1" selected="0">
            <x v="2"/>
          </reference>
          <reference field="6" count="3">
            <x v="2"/>
            <x v="3"/>
            <x v="4"/>
          </reference>
        </references>
      </pivotArea>
    </format>
    <format dxfId="6175">
      <pivotArea dataOnly="0" labelOnly="1" fieldPosition="0">
        <references count="2">
          <reference field="4" count="1" selected="0">
            <x v="3"/>
          </reference>
          <reference field="6" count="1">
            <x v="3"/>
          </reference>
        </references>
      </pivotArea>
    </format>
    <format dxfId="6174">
      <pivotArea dataOnly="0" labelOnly="1" fieldPosition="0">
        <references count="2">
          <reference field="4" count="1" selected="0">
            <x v="4"/>
          </reference>
          <reference field="6" count="4">
            <x v="0"/>
            <x v="1"/>
            <x v="2"/>
            <x v="3"/>
          </reference>
        </references>
      </pivotArea>
    </format>
    <format dxfId="6173">
      <pivotArea dataOnly="0" labelOnly="1" fieldPosition="0">
        <references count="2">
          <reference field="4" count="1" selected="0">
            <x v="5"/>
          </reference>
          <reference field="6" count="2">
            <x v="0"/>
            <x v="4"/>
          </reference>
        </references>
      </pivotArea>
    </format>
    <format dxfId="6172">
      <pivotArea dataOnly="0" labelOnly="1" fieldPosition="0">
        <references count="2">
          <reference field="4" count="1" selected="0">
            <x v="6"/>
          </reference>
          <reference field="6" count="1">
            <x v="1"/>
          </reference>
        </references>
      </pivotArea>
    </format>
    <format dxfId="6171">
      <pivotArea dataOnly="0" labelOnly="1" fieldPosition="0">
        <references count="2">
          <reference field="4" count="1" selected="0">
            <x v="7"/>
          </reference>
          <reference field="6" count="4">
            <x v="0"/>
            <x v="2"/>
            <x v="3"/>
            <x v="4"/>
          </reference>
        </references>
      </pivotArea>
    </format>
    <format dxfId="6170">
      <pivotArea dataOnly="0" labelOnly="1" fieldPosition="0">
        <references count="2">
          <reference field="4" count="1" selected="0">
            <x v="8"/>
          </reference>
          <reference field="6" count="4">
            <x v="0"/>
            <x v="1"/>
            <x v="2"/>
            <x v="3"/>
          </reference>
        </references>
      </pivotArea>
    </format>
    <format dxfId="6169">
      <pivotArea dataOnly="0" labelOnly="1" fieldPosition="0">
        <references count="2">
          <reference field="4" count="1" selected="0">
            <x v="9"/>
          </reference>
          <reference field="6" count="1">
            <x v="1"/>
          </reference>
        </references>
      </pivotArea>
    </format>
    <format dxfId="6168">
      <pivotArea dataOnly="0" labelOnly="1" fieldPosition="0">
        <references count="2">
          <reference field="4" count="1" selected="0">
            <x v="10"/>
          </reference>
          <reference field="6" count="1">
            <x v="3"/>
          </reference>
        </references>
      </pivotArea>
    </format>
    <format dxfId="6167">
      <pivotArea dataOnly="0" labelOnly="1" fieldPosition="0">
        <references count="2">
          <reference field="4" count="1" selected="0">
            <x v="11"/>
          </reference>
          <reference field="6" count="1">
            <x v="0"/>
          </reference>
        </references>
      </pivotArea>
    </format>
    <format dxfId="6166">
      <pivotArea dataOnly="0" labelOnly="1" fieldPosition="0">
        <references count="2">
          <reference field="4" count="1" selected="0">
            <x v="12"/>
          </reference>
          <reference field="6" count="1">
            <x v="0"/>
          </reference>
        </references>
      </pivotArea>
    </format>
    <format dxfId="6165">
      <pivotArea dataOnly="0" labelOnly="1" fieldPosition="0">
        <references count="2">
          <reference field="4" count="1" selected="0">
            <x v="13"/>
          </reference>
          <reference field="6" count="1">
            <x v="3"/>
          </reference>
        </references>
      </pivotArea>
    </format>
    <format dxfId="6164">
      <pivotArea dataOnly="0" labelOnly="1" fieldPosition="0">
        <references count="2">
          <reference field="4" count="1" selected="0">
            <x v="14"/>
          </reference>
          <reference field="6" count="1">
            <x v="1"/>
          </reference>
        </references>
      </pivotArea>
    </format>
    <format dxfId="6163">
      <pivotArea dataOnly="0" labelOnly="1" fieldPosition="0">
        <references count="2">
          <reference field="4" count="1" selected="0">
            <x v="15"/>
          </reference>
          <reference field="6" count="1">
            <x v="0"/>
          </reference>
        </references>
      </pivotArea>
    </format>
    <format dxfId="6162">
      <pivotArea dataOnly="0" labelOnly="1" fieldPosition="0">
        <references count="2">
          <reference field="4" count="1" selected="0">
            <x v="16"/>
          </reference>
          <reference field="6" count="3">
            <x v="1"/>
            <x v="3"/>
            <x v="4"/>
          </reference>
        </references>
      </pivotArea>
    </format>
    <format dxfId="6161">
      <pivotArea dataOnly="0" labelOnly="1" fieldPosition="0">
        <references count="2">
          <reference field="4" count="1" selected="0">
            <x v="17"/>
          </reference>
          <reference field="6" count="1">
            <x v="0"/>
          </reference>
        </references>
      </pivotArea>
    </format>
    <format dxfId="6160">
      <pivotArea dataOnly="0" labelOnly="1" fieldPosition="0">
        <references count="2">
          <reference field="4" count="1" selected="0">
            <x v="18"/>
          </reference>
          <reference field="6" count="1">
            <x v="3"/>
          </reference>
        </references>
      </pivotArea>
    </format>
    <format dxfId="6159">
      <pivotArea dataOnly="0" labelOnly="1" fieldPosition="0">
        <references count="2">
          <reference field="4" count="1" selected="0">
            <x v="19"/>
          </reference>
          <reference field="6" count="1">
            <x v="3"/>
          </reference>
        </references>
      </pivotArea>
    </format>
    <format dxfId="6158">
      <pivotArea dataOnly="0" labelOnly="1" fieldPosition="0">
        <references count="2">
          <reference field="4" count="1" selected="0">
            <x v="20"/>
          </reference>
          <reference field="6" count="1">
            <x v="1"/>
          </reference>
        </references>
      </pivotArea>
    </format>
    <format dxfId="6157">
      <pivotArea dataOnly="0" labelOnly="1" fieldPosition="0">
        <references count="3">
          <reference field="4" count="1" selected="0">
            <x v="0"/>
          </reference>
          <reference field="6" count="1" selected="0">
            <x v="0"/>
          </reference>
          <reference field="7" count="2">
            <x v="17"/>
            <x v="19"/>
          </reference>
        </references>
      </pivotArea>
    </format>
    <format dxfId="6156">
      <pivotArea dataOnly="0" labelOnly="1" fieldPosition="0">
        <references count="3">
          <reference field="4" count="1" selected="0">
            <x v="0"/>
          </reference>
          <reference field="6" count="1" selected="0">
            <x v="1"/>
          </reference>
          <reference field="7" count="2">
            <x v="23"/>
            <x v="26"/>
          </reference>
        </references>
      </pivotArea>
    </format>
    <format dxfId="6155">
      <pivotArea dataOnly="0" labelOnly="1" fieldPosition="0">
        <references count="3">
          <reference field="4" count="1" selected="0">
            <x v="1"/>
          </reference>
          <reference field="6" count="1" selected="0">
            <x v="0"/>
          </reference>
          <reference field="7" count="1">
            <x v="19"/>
          </reference>
        </references>
      </pivotArea>
    </format>
    <format dxfId="6154">
      <pivotArea dataOnly="0" labelOnly="1" fieldPosition="0">
        <references count="3">
          <reference field="4" count="1" selected="0">
            <x v="1"/>
          </reference>
          <reference field="6" count="1" selected="0">
            <x v="3"/>
          </reference>
          <reference field="7" count="3">
            <x v="2"/>
            <x v="3"/>
            <x v="4"/>
          </reference>
        </references>
      </pivotArea>
    </format>
    <format dxfId="6153">
      <pivotArea dataOnly="0" labelOnly="1" fieldPosition="0">
        <references count="3">
          <reference field="4" count="1" selected="0">
            <x v="1"/>
          </reference>
          <reference field="6" count="1" selected="0">
            <x v="4"/>
          </reference>
          <reference field="7" count="1">
            <x v="8"/>
          </reference>
        </references>
      </pivotArea>
    </format>
    <format dxfId="6152">
      <pivotArea dataOnly="0" labelOnly="1" fieldPosition="0">
        <references count="3">
          <reference field="4" count="1" selected="0">
            <x v="2"/>
          </reference>
          <reference field="6" count="1" selected="0">
            <x v="2"/>
          </reference>
          <reference field="7" count="2">
            <x v="29"/>
            <x v="30"/>
          </reference>
        </references>
      </pivotArea>
    </format>
    <format dxfId="6151">
      <pivotArea dataOnly="0" labelOnly="1" fieldPosition="0">
        <references count="3">
          <reference field="4" count="1" selected="0">
            <x v="2"/>
          </reference>
          <reference field="6" count="1" selected="0">
            <x v="3"/>
          </reference>
          <reference field="7" count="2">
            <x v="5"/>
            <x v="7"/>
          </reference>
        </references>
      </pivotArea>
    </format>
    <format dxfId="6150">
      <pivotArea dataOnly="0" labelOnly="1" fieldPosition="0">
        <references count="3">
          <reference field="4" count="1" selected="0">
            <x v="2"/>
          </reference>
          <reference field="6" count="1" selected="0">
            <x v="4"/>
          </reference>
          <reference field="7" count="1">
            <x v="8"/>
          </reference>
        </references>
      </pivotArea>
    </format>
    <format dxfId="6149">
      <pivotArea dataOnly="0" labelOnly="1" fieldPosition="0">
        <references count="3">
          <reference field="4" count="1" selected="0">
            <x v="3"/>
          </reference>
          <reference field="6" count="1" selected="0">
            <x v="3"/>
          </reference>
          <reference field="7" count="1">
            <x v="6"/>
          </reference>
        </references>
      </pivotArea>
    </format>
    <format dxfId="6148">
      <pivotArea dataOnly="0" labelOnly="1" fieldPosition="0">
        <references count="3">
          <reference field="4" count="1" selected="0">
            <x v="4"/>
          </reference>
          <reference field="6" count="1" selected="0">
            <x v="0"/>
          </reference>
          <reference field="7" count="1">
            <x v="21"/>
          </reference>
        </references>
      </pivotArea>
    </format>
    <format dxfId="6147">
      <pivotArea dataOnly="0" labelOnly="1" fieldPosition="0">
        <references count="3">
          <reference field="4" count="1" selected="0">
            <x v="4"/>
          </reference>
          <reference field="6" count="1" selected="0">
            <x v="1"/>
          </reference>
          <reference field="7" count="1">
            <x v="24"/>
          </reference>
        </references>
      </pivotArea>
    </format>
    <format dxfId="6146">
      <pivotArea dataOnly="0" labelOnly="1" fieldPosition="0">
        <references count="3">
          <reference field="4" count="1" selected="0">
            <x v="4"/>
          </reference>
          <reference field="6" count="1" selected="0">
            <x v="2"/>
          </reference>
          <reference field="7" count="2">
            <x v="29"/>
            <x v="31"/>
          </reference>
        </references>
      </pivotArea>
    </format>
    <format dxfId="6145">
      <pivotArea dataOnly="0" labelOnly="1" fieldPosition="0">
        <references count="3">
          <reference field="4" count="1" selected="0">
            <x v="4"/>
          </reference>
          <reference field="6" count="1" selected="0">
            <x v="3"/>
          </reference>
          <reference field="7" count="2">
            <x v="0"/>
            <x v="1"/>
          </reference>
        </references>
      </pivotArea>
    </format>
    <format dxfId="6144">
      <pivotArea dataOnly="0" labelOnly="1" fieldPosition="0">
        <references count="3">
          <reference field="4" count="1" selected="0">
            <x v="5"/>
          </reference>
          <reference field="6" count="1" selected="0">
            <x v="0"/>
          </reference>
          <reference field="7" count="2">
            <x v="18"/>
            <x v="22"/>
          </reference>
        </references>
      </pivotArea>
    </format>
    <format dxfId="6143">
      <pivotArea dataOnly="0" labelOnly="1" fieldPosition="0">
        <references count="3">
          <reference field="4" count="1" selected="0">
            <x v="5"/>
          </reference>
          <reference field="6" count="1" selected="0">
            <x v="4"/>
          </reference>
          <reference field="7" count="1">
            <x v="8"/>
          </reference>
        </references>
      </pivotArea>
    </format>
    <format dxfId="6142">
      <pivotArea dataOnly="0" labelOnly="1" fieldPosition="0">
        <references count="3">
          <reference field="4" count="1" selected="0">
            <x v="6"/>
          </reference>
          <reference field="6" count="1" selected="0">
            <x v="1"/>
          </reference>
          <reference field="7" count="1">
            <x v="24"/>
          </reference>
        </references>
      </pivotArea>
    </format>
    <format dxfId="6141">
      <pivotArea dataOnly="0" labelOnly="1" fieldPosition="0">
        <references count="3">
          <reference field="4" count="1" selected="0">
            <x v="7"/>
          </reference>
          <reference field="6" count="1" selected="0">
            <x v="0"/>
          </reference>
          <reference field="7" count="1">
            <x v="16"/>
          </reference>
        </references>
      </pivotArea>
    </format>
    <format dxfId="6140">
      <pivotArea dataOnly="0" labelOnly="1" fieldPosition="0">
        <references count="3">
          <reference field="4" count="1" selected="0">
            <x v="7"/>
          </reference>
          <reference field="6" count="1" selected="0">
            <x v="2"/>
          </reference>
          <reference field="7" count="2">
            <x v="29"/>
            <x v="30"/>
          </reference>
        </references>
      </pivotArea>
    </format>
    <format dxfId="6139">
      <pivotArea dataOnly="0" labelOnly="1" fieldPosition="0">
        <references count="3">
          <reference field="4" count="1" selected="0">
            <x v="7"/>
          </reference>
          <reference field="6" count="1" selected="0">
            <x v="3"/>
          </reference>
          <reference field="7" count="1">
            <x v="6"/>
          </reference>
        </references>
      </pivotArea>
    </format>
    <format dxfId="6138">
      <pivotArea dataOnly="0" labelOnly="1" fieldPosition="0">
        <references count="3">
          <reference field="4" count="1" selected="0">
            <x v="7"/>
          </reference>
          <reference field="6" count="1" selected="0">
            <x v="4"/>
          </reference>
          <reference field="7" count="8">
            <x v="8"/>
            <x v="9"/>
            <x v="10"/>
            <x v="11"/>
            <x v="12"/>
            <x v="13"/>
            <x v="14"/>
            <x v="15"/>
          </reference>
        </references>
      </pivotArea>
    </format>
    <format dxfId="6137">
      <pivotArea dataOnly="0" labelOnly="1" fieldPosition="0">
        <references count="3">
          <reference field="4" count="1" selected="0">
            <x v="8"/>
          </reference>
          <reference field="6" count="1" selected="0">
            <x v="0"/>
          </reference>
          <reference field="7" count="2">
            <x v="18"/>
            <x v="22"/>
          </reference>
        </references>
      </pivotArea>
    </format>
    <format dxfId="6136">
      <pivotArea dataOnly="0" labelOnly="1" fieldPosition="0">
        <references count="3">
          <reference field="4" count="1" selected="0">
            <x v="8"/>
          </reference>
          <reference field="6" count="1" selected="0">
            <x v="1"/>
          </reference>
          <reference field="7" count="1">
            <x v="28"/>
          </reference>
        </references>
      </pivotArea>
    </format>
    <format dxfId="6135">
      <pivotArea dataOnly="0" labelOnly="1" fieldPosition="0">
        <references count="3">
          <reference field="4" count="1" selected="0">
            <x v="8"/>
          </reference>
          <reference field="6" count="1" selected="0">
            <x v="2"/>
          </reference>
          <reference field="7" count="1">
            <x v="32"/>
          </reference>
        </references>
      </pivotArea>
    </format>
    <format dxfId="6134">
      <pivotArea dataOnly="0" labelOnly="1" fieldPosition="0">
        <references count="3">
          <reference field="4" count="1" selected="0">
            <x v="8"/>
          </reference>
          <reference field="6" count="1" selected="0">
            <x v="3"/>
          </reference>
          <reference field="7" count="1">
            <x v="6"/>
          </reference>
        </references>
      </pivotArea>
    </format>
    <format dxfId="6133">
      <pivotArea dataOnly="0" labelOnly="1" fieldPosition="0">
        <references count="3">
          <reference field="4" count="1" selected="0">
            <x v="9"/>
          </reference>
          <reference field="6" count="1" selected="0">
            <x v="1"/>
          </reference>
          <reference field="7" count="1">
            <x v="25"/>
          </reference>
        </references>
      </pivotArea>
    </format>
    <format dxfId="6132">
      <pivotArea dataOnly="0" labelOnly="1" fieldPosition="0">
        <references count="3">
          <reference field="4" count="1" selected="0">
            <x v="10"/>
          </reference>
          <reference field="6" count="1" selected="0">
            <x v="3"/>
          </reference>
          <reference field="7" count="1">
            <x v="6"/>
          </reference>
        </references>
      </pivotArea>
    </format>
    <format dxfId="6131">
      <pivotArea dataOnly="0" labelOnly="1" fieldPosition="0">
        <references count="3">
          <reference field="4" count="1" selected="0">
            <x v="11"/>
          </reference>
          <reference field="6" count="1" selected="0">
            <x v="0"/>
          </reference>
          <reference field="7" count="1">
            <x v="17"/>
          </reference>
        </references>
      </pivotArea>
    </format>
    <format dxfId="6130">
      <pivotArea dataOnly="0" labelOnly="1" fieldPosition="0">
        <references count="3">
          <reference field="4" count="1" selected="0">
            <x v="12"/>
          </reference>
          <reference field="6" count="1" selected="0">
            <x v="0"/>
          </reference>
          <reference field="7" count="1">
            <x v="18"/>
          </reference>
        </references>
      </pivotArea>
    </format>
    <format dxfId="6129">
      <pivotArea dataOnly="0" labelOnly="1" fieldPosition="0">
        <references count="3">
          <reference field="4" count="1" selected="0">
            <x v="13"/>
          </reference>
          <reference field="6" count="1" selected="0">
            <x v="3"/>
          </reference>
          <reference field="7" count="2">
            <x v="1"/>
            <x v="5"/>
          </reference>
        </references>
      </pivotArea>
    </format>
    <format dxfId="6128">
      <pivotArea dataOnly="0" labelOnly="1" fieldPosition="0">
        <references count="3">
          <reference field="4" count="1" selected="0">
            <x v="14"/>
          </reference>
          <reference field="6" count="1" selected="0">
            <x v="1"/>
          </reference>
          <reference field="7" count="1">
            <x v="26"/>
          </reference>
        </references>
      </pivotArea>
    </format>
    <format dxfId="6127">
      <pivotArea dataOnly="0" labelOnly="1" fieldPosition="0">
        <references count="3">
          <reference field="4" count="1" selected="0">
            <x v="15"/>
          </reference>
          <reference field="6" count="1" selected="0">
            <x v="0"/>
          </reference>
          <reference field="7" count="1">
            <x v="20"/>
          </reference>
        </references>
      </pivotArea>
    </format>
    <format dxfId="6126">
      <pivotArea dataOnly="0" labelOnly="1" fieldPosition="0">
        <references count="3">
          <reference field="4" count="1" selected="0">
            <x v="16"/>
          </reference>
          <reference field="6" count="1" selected="0">
            <x v="1"/>
          </reference>
          <reference field="7" count="1">
            <x v="27"/>
          </reference>
        </references>
      </pivotArea>
    </format>
    <format dxfId="6125">
      <pivotArea dataOnly="0" labelOnly="1" fieldPosition="0">
        <references count="3">
          <reference field="4" count="1" selected="0">
            <x v="16"/>
          </reference>
          <reference field="6" count="1" selected="0">
            <x v="3"/>
          </reference>
          <reference field="7" count="1">
            <x v="1"/>
          </reference>
        </references>
      </pivotArea>
    </format>
    <format dxfId="6124">
      <pivotArea dataOnly="0" labelOnly="1" fieldPosition="0">
        <references count="3">
          <reference field="4" count="1" selected="0">
            <x v="16"/>
          </reference>
          <reference field="6" count="1" selected="0">
            <x v="4"/>
          </reference>
          <reference field="7" count="2">
            <x v="8"/>
            <x v="11"/>
          </reference>
        </references>
      </pivotArea>
    </format>
    <format dxfId="6123">
      <pivotArea dataOnly="0" labelOnly="1" fieldPosition="0">
        <references count="3">
          <reference field="4" count="1" selected="0">
            <x v="17"/>
          </reference>
          <reference field="6" count="1" selected="0">
            <x v="0"/>
          </reference>
          <reference field="7" count="2">
            <x v="16"/>
            <x v="22"/>
          </reference>
        </references>
      </pivotArea>
    </format>
    <format dxfId="6122">
      <pivotArea dataOnly="0" labelOnly="1" fieldPosition="0">
        <references count="3">
          <reference field="4" count="1" selected="0">
            <x v="18"/>
          </reference>
          <reference field="6" count="1" selected="0">
            <x v="3"/>
          </reference>
          <reference field="7" count="1">
            <x v="2"/>
          </reference>
        </references>
      </pivotArea>
    </format>
    <format dxfId="6121">
      <pivotArea dataOnly="0" labelOnly="1" fieldPosition="0">
        <references count="3">
          <reference field="4" count="1" selected="0">
            <x v="19"/>
          </reference>
          <reference field="6" count="1" selected="0">
            <x v="3"/>
          </reference>
          <reference field="7" count="1">
            <x v="6"/>
          </reference>
        </references>
      </pivotArea>
    </format>
    <format dxfId="6120">
      <pivotArea dataOnly="0" labelOnly="1" fieldPosition="0">
        <references count="3">
          <reference field="4" count="1" selected="0">
            <x v="20"/>
          </reference>
          <reference field="6" count="1" selected="0">
            <x v="1"/>
          </reference>
          <reference field="7" count="1">
            <x v="24"/>
          </reference>
        </references>
      </pivotArea>
    </format>
    <format dxfId="6119">
      <pivotArea dataOnly="0" labelOnly="1" fieldPosition="0">
        <references count="4">
          <reference field="4" count="1" selected="0">
            <x v="0"/>
          </reference>
          <reference field="6" count="1" selected="0">
            <x v="0"/>
          </reference>
          <reference field="7" count="1" selected="0">
            <x v="17"/>
          </reference>
          <reference field="8" count="5">
            <x v="65"/>
            <x v="66"/>
            <x v="67"/>
            <x v="68"/>
            <x v="69"/>
          </reference>
        </references>
      </pivotArea>
    </format>
    <format dxfId="6118">
      <pivotArea dataOnly="0" labelOnly="1" fieldPosition="0">
        <references count="4">
          <reference field="4" count="1" selected="0">
            <x v="0"/>
          </reference>
          <reference field="6" count="1" selected="0">
            <x v="0"/>
          </reference>
          <reference field="7" count="1" selected="0">
            <x v="19"/>
          </reference>
          <reference field="8" count="3">
            <x v="78"/>
            <x v="79"/>
            <x v="80"/>
          </reference>
        </references>
      </pivotArea>
    </format>
    <format dxfId="6117">
      <pivotArea dataOnly="0" labelOnly="1" fieldPosition="0">
        <references count="4">
          <reference field="4" count="1" selected="0">
            <x v="0"/>
          </reference>
          <reference field="6" count="1" selected="0">
            <x v="1"/>
          </reference>
          <reference field="7" count="1" selected="0">
            <x v="23"/>
          </reference>
          <reference field="8" count="10">
            <x v="95"/>
            <x v="96"/>
            <x v="97"/>
            <x v="98"/>
            <x v="99"/>
            <x v="100"/>
            <x v="101"/>
            <x v="102"/>
            <x v="103"/>
            <x v="104"/>
          </reference>
        </references>
      </pivotArea>
    </format>
    <format dxfId="6116">
      <pivotArea dataOnly="0" labelOnly="1" fieldPosition="0">
        <references count="4">
          <reference field="4" count="1" selected="0">
            <x v="0"/>
          </reference>
          <reference field="6" count="1" selected="0">
            <x v="1"/>
          </reference>
          <reference field="7" count="1" selected="0">
            <x v="26"/>
          </reference>
          <reference field="8" count="1">
            <x v="131"/>
          </reference>
        </references>
      </pivotArea>
    </format>
    <format dxfId="6115">
      <pivotArea dataOnly="0" labelOnly="1" fieldPosition="0">
        <references count="4">
          <reference field="4" count="1" selected="0">
            <x v="1"/>
          </reference>
          <reference field="6" count="1" selected="0">
            <x v="0"/>
          </reference>
          <reference field="7" count="1" selected="0">
            <x v="19"/>
          </reference>
          <reference field="8" count="1">
            <x v="81"/>
          </reference>
        </references>
      </pivotArea>
    </format>
    <format dxfId="6114">
      <pivotArea dataOnly="0" labelOnly="1" fieldPosition="0">
        <references count="4">
          <reference field="4" count="1" selected="0">
            <x v="1"/>
          </reference>
          <reference field="6" count="1" selected="0">
            <x v="3"/>
          </reference>
          <reference field="7" count="1" selected="0">
            <x v="2"/>
          </reference>
          <reference field="8" count="7">
            <x v="7"/>
            <x v="10"/>
            <x v="11"/>
            <x v="12"/>
            <x v="13"/>
            <x v="14"/>
            <x v="15"/>
          </reference>
        </references>
      </pivotArea>
    </format>
    <format dxfId="6113">
      <pivotArea dataOnly="0" labelOnly="1" fieldPosition="0">
        <references count="4">
          <reference field="4" count="1" selected="0">
            <x v="1"/>
          </reference>
          <reference field="6" count="1" selected="0">
            <x v="3"/>
          </reference>
          <reference field="7" count="1" selected="0">
            <x v="3"/>
          </reference>
          <reference field="8" count="2">
            <x v="18"/>
            <x v="19"/>
          </reference>
        </references>
      </pivotArea>
    </format>
    <format dxfId="6112">
      <pivotArea dataOnly="0" labelOnly="1" fieldPosition="0">
        <references count="4">
          <reference field="4" count="1" selected="0">
            <x v="1"/>
          </reference>
          <reference field="6" count="1" selected="0">
            <x v="3"/>
          </reference>
          <reference field="7" count="1" selected="0">
            <x v="4"/>
          </reference>
          <reference field="8" count="2">
            <x v="20"/>
            <x v="21"/>
          </reference>
        </references>
      </pivotArea>
    </format>
    <format dxfId="6111">
      <pivotArea dataOnly="0" labelOnly="1" fieldPosition="0">
        <references count="4">
          <reference field="4" count="1" selected="0">
            <x v="1"/>
          </reference>
          <reference field="6" count="1" selected="0">
            <x v="4"/>
          </reference>
          <reference field="7" count="1" selected="0">
            <x v="8"/>
          </reference>
          <reference field="8" count="3">
            <x v="33"/>
            <x v="34"/>
            <x v="39"/>
          </reference>
        </references>
      </pivotArea>
    </format>
    <format dxfId="6110">
      <pivotArea dataOnly="0" labelOnly="1" fieldPosition="0">
        <references count="4">
          <reference field="4" count="1" selected="0">
            <x v="2"/>
          </reference>
          <reference field="6" count="1" selected="0">
            <x v="2"/>
          </reference>
          <reference field="7" count="1" selected="0">
            <x v="29"/>
          </reference>
          <reference field="8" count="6">
            <x v="145"/>
            <x v="146"/>
            <x v="147"/>
            <x v="148"/>
            <x v="149"/>
            <x v="150"/>
          </reference>
        </references>
      </pivotArea>
    </format>
    <format dxfId="6109">
      <pivotArea dataOnly="0" labelOnly="1" fieldPosition="0">
        <references count="4">
          <reference field="4" count="1" selected="0">
            <x v="2"/>
          </reference>
          <reference field="6" count="1" selected="0">
            <x v="2"/>
          </reference>
          <reference field="7" count="1" selected="0">
            <x v="30"/>
          </reference>
          <reference field="8" count="2">
            <x v="152"/>
            <x v="153"/>
          </reference>
        </references>
      </pivotArea>
    </format>
    <format dxfId="6108">
      <pivotArea dataOnly="0" labelOnly="1" fieldPosition="0">
        <references count="4">
          <reference field="4" count="1" selected="0">
            <x v="2"/>
          </reference>
          <reference field="6" count="1" selected="0">
            <x v="3"/>
          </reference>
          <reference field="7" count="1" selected="0">
            <x v="5"/>
          </reference>
          <reference field="8" count="1">
            <x v="24"/>
          </reference>
        </references>
      </pivotArea>
    </format>
    <format dxfId="6107">
      <pivotArea dataOnly="0" labelOnly="1" fieldPosition="0">
        <references count="4">
          <reference field="4" count="1" selected="0">
            <x v="2"/>
          </reference>
          <reference field="6" count="1" selected="0">
            <x v="3"/>
          </reference>
          <reference field="7" count="1" selected="0">
            <x v="7"/>
          </reference>
          <reference field="8" count="2">
            <x v="31"/>
            <x v="32"/>
          </reference>
        </references>
      </pivotArea>
    </format>
    <format dxfId="6106">
      <pivotArea dataOnly="0" labelOnly="1" fieldPosition="0">
        <references count="4">
          <reference field="4" count="1" selected="0">
            <x v="2"/>
          </reference>
          <reference field="6" count="1" selected="0">
            <x v="4"/>
          </reference>
          <reference field="7" count="1" selected="0">
            <x v="8"/>
          </reference>
          <reference field="8" count="2">
            <x v="36"/>
            <x v="39"/>
          </reference>
        </references>
      </pivotArea>
    </format>
    <format dxfId="6105">
      <pivotArea dataOnly="0" labelOnly="1" fieldPosition="0">
        <references count="4">
          <reference field="4" count="1" selected="0">
            <x v="3"/>
          </reference>
          <reference field="6" count="1" selected="0">
            <x v="3"/>
          </reference>
          <reference field="7" count="1" selected="0">
            <x v="6"/>
          </reference>
          <reference field="8" count="1">
            <x v="29"/>
          </reference>
        </references>
      </pivotArea>
    </format>
    <format dxfId="6104">
      <pivotArea dataOnly="0" labelOnly="1" fieldPosition="0">
        <references count="4">
          <reference field="4" count="1" selected="0">
            <x v="4"/>
          </reference>
          <reference field="6" count="1" selected="0">
            <x v="0"/>
          </reference>
          <reference field="7" count="1" selected="0">
            <x v="21"/>
          </reference>
          <reference field="8" count="5">
            <x v="87"/>
            <x v="88"/>
            <x v="89"/>
            <x v="90"/>
            <x v="91"/>
          </reference>
        </references>
      </pivotArea>
    </format>
    <format dxfId="6103">
      <pivotArea dataOnly="0" labelOnly="1" fieldPosition="0">
        <references count="4">
          <reference field="4" count="1" selected="0">
            <x v="4"/>
          </reference>
          <reference field="6" count="1" selected="0">
            <x v="1"/>
          </reference>
          <reference field="7" count="1" selected="0">
            <x v="24"/>
          </reference>
          <reference field="8" count="1">
            <x v="114"/>
          </reference>
        </references>
      </pivotArea>
    </format>
    <format dxfId="6102">
      <pivotArea dataOnly="0" labelOnly="1" fieldPosition="0">
        <references count="4">
          <reference field="4" count="1" selected="0">
            <x v="4"/>
          </reference>
          <reference field="6" count="1" selected="0">
            <x v="2"/>
          </reference>
          <reference field="7" count="1" selected="0">
            <x v="29"/>
          </reference>
          <reference field="8" count="3">
            <x v="142"/>
            <x v="143"/>
            <x v="151"/>
          </reference>
        </references>
      </pivotArea>
    </format>
    <format dxfId="6101">
      <pivotArea dataOnly="0" labelOnly="1" fieldPosition="0">
        <references count="4">
          <reference field="4" count="1" selected="0">
            <x v="4"/>
          </reference>
          <reference field="6" count="1" selected="0">
            <x v="2"/>
          </reference>
          <reference field="7" count="1" selected="0">
            <x v="31"/>
          </reference>
          <reference field="8" count="3">
            <x v="155"/>
            <x v="156"/>
            <x v="157"/>
          </reference>
        </references>
      </pivotArea>
    </format>
    <format dxfId="6100">
      <pivotArea dataOnly="0" labelOnly="1" fieldPosition="0">
        <references count="4">
          <reference field="4" count="1" selected="0">
            <x v="4"/>
          </reference>
          <reference field="6" count="1" selected="0">
            <x v="3"/>
          </reference>
          <reference field="7" count="1" selected="0">
            <x v="0"/>
          </reference>
          <reference field="8" count="2">
            <x v="0"/>
            <x v="1"/>
          </reference>
        </references>
      </pivotArea>
    </format>
    <format dxfId="6099">
      <pivotArea dataOnly="0" labelOnly="1" fieldPosition="0">
        <references count="4">
          <reference field="4" count="1" selected="0">
            <x v="4"/>
          </reference>
          <reference field="6" count="1" selected="0">
            <x v="3"/>
          </reference>
          <reference field="7" count="1" selected="0">
            <x v="1"/>
          </reference>
          <reference field="8" count="4">
            <x v="2"/>
            <x v="3"/>
            <x v="4"/>
            <x v="5"/>
          </reference>
        </references>
      </pivotArea>
    </format>
    <format dxfId="6098">
      <pivotArea dataOnly="0" labelOnly="1" fieldPosition="0">
        <references count="4">
          <reference field="4" count="1" selected="0">
            <x v="5"/>
          </reference>
          <reference field="6" count="1" selected="0">
            <x v="0"/>
          </reference>
          <reference field="7" count="1" selected="0">
            <x v="18"/>
          </reference>
          <reference field="8" count="3">
            <x v="73"/>
            <x v="74"/>
            <x v="77"/>
          </reference>
        </references>
      </pivotArea>
    </format>
    <format dxfId="6097">
      <pivotArea dataOnly="0" labelOnly="1" fieldPosition="0">
        <references count="4">
          <reference field="4" count="1" selected="0">
            <x v="5"/>
          </reference>
          <reference field="6" count="1" selected="0">
            <x v="0"/>
          </reference>
          <reference field="7" count="1" selected="0">
            <x v="22"/>
          </reference>
          <reference field="8" count="1">
            <x v="94"/>
          </reference>
        </references>
      </pivotArea>
    </format>
    <format dxfId="6096">
      <pivotArea dataOnly="0" labelOnly="1" fieldPosition="0">
        <references count="4">
          <reference field="4" count="1" selected="0">
            <x v="5"/>
          </reference>
          <reference field="6" count="1" selected="0">
            <x v="4"/>
          </reference>
          <reference field="7" count="1" selected="0">
            <x v="8"/>
          </reference>
          <reference field="8" count="1">
            <x v="37"/>
          </reference>
        </references>
      </pivotArea>
    </format>
    <format dxfId="6095">
      <pivotArea dataOnly="0" labelOnly="1" fieldPosition="0">
        <references count="4">
          <reference field="4" count="1" selected="0">
            <x v="6"/>
          </reference>
          <reference field="6" count="1" selected="0">
            <x v="1"/>
          </reference>
          <reference field="7" count="1" selected="0">
            <x v="24"/>
          </reference>
          <reference field="8" count="8">
            <x v="105"/>
            <x v="107"/>
            <x v="108"/>
            <x v="109"/>
            <x v="110"/>
            <x v="111"/>
            <x v="112"/>
            <x v="113"/>
          </reference>
        </references>
      </pivotArea>
    </format>
    <format dxfId="6094">
      <pivotArea dataOnly="0" labelOnly="1" fieldPosition="0">
        <references count="4">
          <reference field="4" count="1" selected="0">
            <x v="7"/>
          </reference>
          <reference field="6" count="1" selected="0">
            <x v="0"/>
          </reference>
          <reference field="7" count="1" selected="0">
            <x v="16"/>
          </reference>
          <reference field="8" count="1">
            <x v="64"/>
          </reference>
        </references>
      </pivotArea>
    </format>
    <format dxfId="6093">
      <pivotArea dataOnly="0" labelOnly="1" fieldPosition="0">
        <references count="4">
          <reference field="4" count="1" selected="0">
            <x v="7"/>
          </reference>
          <reference field="6" count="1" selected="0">
            <x v="2"/>
          </reference>
          <reference field="7" count="1" selected="0">
            <x v="29"/>
          </reference>
          <reference field="8" count="4">
            <x v="140"/>
            <x v="141"/>
            <x v="144"/>
            <x v="145"/>
          </reference>
        </references>
      </pivotArea>
    </format>
    <format dxfId="6092">
      <pivotArea dataOnly="0" labelOnly="1" fieldPosition="0">
        <references count="4">
          <reference field="4" count="1" selected="0">
            <x v="7"/>
          </reference>
          <reference field="6" count="1" selected="0">
            <x v="2"/>
          </reference>
          <reference field="7" count="1" selected="0">
            <x v="30"/>
          </reference>
          <reference field="8" count="1">
            <x v="154"/>
          </reference>
        </references>
      </pivotArea>
    </format>
    <format dxfId="6091">
      <pivotArea dataOnly="0" labelOnly="1" fieldPosition="0">
        <references count="4">
          <reference field="4" count="1" selected="0">
            <x v="7"/>
          </reference>
          <reference field="6" count="1" selected="0">
            <x v="3"/>
          </reference>
          <reference field="7" count="1" selected="0">
            <x v="6"/>
          </reference>
          <reference field="8" count="1">
            <x v="28"/>
          </reference>
        </references>
      </pivotArea>
    </format>
    <format dxfId="6090">
      <pivotArea dataOnly="0" labelOnly="1" fieldPosition="0">
        <references count="4">
          <reference field="4" count="1" selected="0">
            <x v="7"/>
          </reference>
          <reference field="6" count="1" selected="0">
            <x v="4"/>
          </reference>
          <reference field="7" count="1" selected="0">
            <x v="8"/>
          </reference>
          <reference field="8" count="2">
            <x v="35"/>
            <x v="36"/>
          </reference>
        </references>
      </pivotArea>
    </format>
    <format dxfId="6089">
      <pivotArea dataOnly="0" labelOnly="1" fieldPosition="0">
        <references count="4">
          <reference field="4" count="1" selected="0">
            <x v="7"/>
          </reference>
          <reference field="6" count="1" selected="0">
            <x v="4"/>
          </reference>
          <reference field="7" count="1" selected="0">
            <x v="9"/>
          </reference>
          <reference field="8" count="4">
            <x v="40"/>
            <x v="41"/>
            <x v="42"/>
            <x v="43"/>
          </reference>
        </references>
      </pivotArea>
    </format>
    <format dxfId="6088">
      <pivotArea dataOnly="0" labelOnly="1" fieldPosition="0">
        <references count="4">
          <reference field="4" count="1" selected="0">
            <x v="7"/>
          </reference>
          <reference field="6" count="1" selected="0">
            <x v="4"/>
          </reference>
          <reference field="7" count="1" selected="0">
            <x v="10"/>
          </reference>
          <reference field="8" count="4">
            <x v="44"/>
            <x v="45"/>
            <x v="46"/>
            <x v="47"/>
          </reference>
        </references>
      </pivotArea>
    </format>
    <format dxfId="6087">
      <pivotArea dataOnly="0" labelOnly="1" fieldPosition="0">
        <references count="4">
          <reference field="4" count="1" selected="0">
            <x v="7"/>
          </reference>
          <reference field="6" count="1" selected="0">
            <x v="4"/>
          </reference>
          <reference field="7" count="1" selected="0">
            <x v="11"/>
          </reference>
          <reference field="8" count="2">
            <x v="48"/>
            <x v="49"/>
          </reference>
        </references>
      </pivotArea>
    </format>
    <format dxfId="6086">
      <pivotArea dataOnly="0" labelOnly="1" fieldPosition="0">
        <references count="4">
          <reference field="4" count="1" selected="0">
            <x v="7"/>
          </reference>
          <reference field="6" count="1" selected="0">
            <x v="4"/>
          </reference>
          <reference field="7" count="1" selected="0">
            <x v="12"/>
          </reference>
          <reference field="8" count="1">
            <x v="50"/>
          </reference>
        </references>
      </pivotArea>
    </format>
    <format dxfId="6085">
      <pivotArea dataOnly="0" labelOnly="1" fieldPosition="0">
        <references count="4">
          <reference field="4" count="1" selected="0">
            <x v="7"/>
          </reference>
          <reference field="6" count="1" selected="0">
            <x v="4"/>
          </reference>
          <reference field="7" count="1" selected="0">
            <x v="13"/>
          </reference>
          <reference field="8" count="3">
            <x v="51"/>
            <x v="52"/>
            <x v="53"/>
          </reference>
        </references>
      </pivotArea>
    </format>
    <format dxfId="6084">
      <pivotArea dataOnly="0" labelOnly="1" fieldPosition="0">
        <references count="4">
          <reference field="4" count="1" selected="0">
            <x v="7"/>
          </reference>
          <reference field="6" count="1" selected="0">
            <x v="4"/>
          </reference>
          <reference field="7" count="1" selected="0">
            <x v="14"/>
          </reference>
          <reference field="8" count="2">
            <x v="54"/>
            <x v="55"/>
          </reference>
        </references>
      </pivotArea>
    </format>
    <format dxfId="6083">
      <pivotArea dataOnly="0" labelOnly="1" fieldPosition="0">
        <references count="4">
          <reference field="4" count="1" selected="0">
            <x v="7"/>
          </reference>
          <reference field="6" count="1" selected="0">
            <x v="4"/>
          </reference>
          <reference field="7" count="1" selected="0">
            <x v="15"/>
          </reference>
          <reference field="8" count="1">
            <x v="56"/>
          </reference>
        </references>
      </pivotArea>
    </format>
    <format dxfId="6082">
      <pivotArea dataOnly="0" labelOnly="1" fieldPosition="0">
        <references count="4">
          <reference field="4" count="1" selected="0">
            <x v="8"/>
          </reference>
          <reference field="6" count="1" selected="0">
            <x v="0"/>
          </reference>
          <reference field="7" count="1" selected="0">
            <x v="18"/>
          </reference>
          <reference field="8" count="1">
            <x v="77"/>
          </reference>
        </references>
      </pivotArea>
    </format>
    <format dxfId="6081">
      <pivotArea dataOnly="0" labelOnly="1" fieldPosition="0">
        <references count="4">
          <reference field="4" count="1" selected="0">
            <x v="8"/>
          </reference>
          <reference field="6" count="1" selected="0">
            <x v="0"/>
          </reference>
          <reference field="7" count="1" selected="0">
            <x v="22"/>
          </reference>
          <reference field="8" count="3">
            <x v="92"/>
            <x v="93"/>
            <x v="94"/>
          </reference>
        </references>
      </pivotArea>
    </format>
    <format dxfId="6080">
      <pivotArea dataOnly="0" labelOnly="1" fieldPosition="0">
        <references count="4">
          <reference field="4" count="1" selected="0">
            <x v="8"/>
          </reference>
          <reference field="6" count="1" selected="0">
            <x v="1"/>
          </reference>
          <reference field="7" count="1" selected="0">
            <x v="28"/>
          </reference>
          <reference field="8" count="2">
            <x v="138"/>
            <x v="139"/>
          </reference>
        </references>
      </pivotArea>
    </format>
    <format dxfId="6079">
      <pivotArea dataOnly="0" labelOnly="1" fieldPosition="0">
        <references count="4">
          <reference field="4" count="1" selected="0">
            <x v="8"/>
          </reference>
          <reference field="6" count="1" selected="0">
            <x v="2"/>
          </reference>
          <reference field="7" count="1" selected="0">
            <x v="32"/>
          </reference>
          <reference field="8" count="2">
            <x v="158"/>
            <x v="159"/>
          </reference>
        </references>
      </pivotArea>
    </format>
    <format dxfId="6078">
      <pivotArea dataOnly="0" labelOnly="1" fieldPosition="0">
        <references count="4">
          <reference field="4" count="1" selected="0">
            <x v="8"/>
          </reference>
          <reference field="6" count="1" selected="0">
            <x v="3"/>
          </reference>
          <reference field="7" count="1" selected="0">
            <x v="6"/>
          </reference>
          <reference field="8" count="2">
            <x v="29"/>
            <x v="30"/>
          </reference>
        </references>
      </pivotArea>
    </format>
    <format dxfId="6077">
      <pivotArea dataOnly="0" labelOnly="1" fieldPosition="0">
        <references count="4">
          <reference field="4" count="1" selected="0">
            <x v="9"/>
          </reference>
          <reference field="6" count="1" selected="0">
            <x v="1"/>
          </reference>
          <reference field="7" count="1" selected="0">
            <x v="25"/>
          </reference>
          <reference field="8" count="10">
            <x v="115"/>
            <x v="116"/>
            <x v="117"/>
            <x v="118"/>
            <x v="119"/>
            <x v="120"/>
            <x v="121"/>
            <x v="122"/>
            <x v="123"/>
            <x v="124"/>
          </reference>
        </references>
      </pivotArea>
    </format>
    <format dxfId="6076">
      <pivotArea dataOnly="0" labelOnly="1" fieldPosition="0">
        <references count="4">
          <reference field="4" count="1" selected="0">
            <x v="10"/>
          </reference>
          <reference field="6" count="1" selected="0">
            <x v="3"/>
          </reference>
          <reference field="7" count="1" selected="0">
            <x v="6"/>
          </reference>
          <reference field="8" count="1">
            <x v="29"/>
          </reference>
        </references>
      </pivotArea>
    </format>
    <format dxfId="6075">
      <pivotArea dataOnly="0" labelOnly="1" fieldPosition="0">
        <references count="4">
          <reference field="4" count="1" selected="0">
            <x v="11"/>
          </reference>
          <reference field="6" count="1" selected="0">
            <x v="0"/>
          </reference>
          <reference field="7" count="1" selected="0">
            <x v="17"/>
          </reference>
          <reference field="8" count="3">
            <x v="70"/>
            <x v="71"/>
            <x v="72"/>
          </reference>
        </references>
      </pivotArea>
    </format>
    <format dxfId="6074">
      <pivotArea dataOnly="0" labelOnly="1" fieldPosition="0">
        <references count="4">
          <reference field="4" count="1" selected="0">
            <x v="12"/>
          </reference>
          <reference field="6" count="1" selected="0">
            <x v="0"/>
          </reference>
          <reference field="7" count="1" selected="0">
            <x v="18"/>
          </reference>
          <reference field="8" count="3">
            <x v="74"/>
            <x v="75"/>
            <x v="76"/>
          </reference>
        </references>
      </pivotArea>
    </format>
    <format dxfId="6073">
      <pivotArea dataOnly="0" labelOnly="1" fieldPosition="0">
        <references count="4">
          <reference field="4" count="1" selected="0">
            <x v="13"/>
          </reference>
          <reference field="6" count="1" selected="0">
            <x v="3"/>
          </reference>
          <reference field="7" count="1" selected="0">
            <x v="1"/>
          </reference>
          <reference field="8" count="1">
            <x v="6"/>
          </reference>
        </references>
      </pivotArea>
    </format>
    <format dxfId="6072">
      <pivotArea dataOnly="0" labelOnly="1" fieldPosition="0">
        <references count="4">
          <reference field="4" count="1" selected="0">
            <x v="13"/>
          </reference>
          <reference field="6" count="1" selected="0">
            <x v="3"/>
          </reference>
          <reference field="7" count="1" selected="0">
            <x v="5"/>
          </reference>
          <reference field="8" count="6">
            <x v="22"/>
            <x v="23"/>
            <x v="24"/>
            <x v="25"/>
            <x v="26"/>
            <x v="27"/>
          </reference>
        </references>
      </pivotArea>
    </format>
    <format dxfId="6071">
      <pivotArea dataOnly="0" labelOnly="1" fieldPosition="0">
        <references count="4">
          <reference field="4" count="1" selected="0">
            <x v="14"/>
          </reference>
          <reference field="6" count="1" selected="0">
            <x v="1"/>
          </reference>
          <reference field="7" count="1" selected="0">
            <x v="26"/>
          </reference>
          <reference field="8" count="7">
            <x v="125"/>
            <x v="126"/>
            <x v="127"/>
            <x v="128"/>
            <x v="129"/>
            <x v="130"/>
            <x v="131"/>
          </reference>
        </references>
      </pivotArea>
    </format>
    <format dxfId="6070">
      <pivotArea dataOnly="0" labelOnly="1" fieldPosition="0">
        <references count="4">
          <reference field="4" count="1" selected="0">
            <x v="15"/>
          </reference>
          <reference field="6" count="1" selected="0">
            <x v="0"/>
          </reference>
          <reference field="7" count="1" selected="0">
            <x v="20"/>
          </reference>
          <reference field="8" count="5">
            <x v="82"/>
            <x v="83"/>
            <x v="84"/>
            <x v="85"/>
            <x v="86"/>
          </reference>
        </references>
      </pivotArea>
    </format>
    <format dxfId="6069">
      <pivotArea dataOnly="0" labelOnly="1" fieldPosition="0">
        <references count="4">
          <reference field="4" count="1" selected="0">
            <x v="16"/>
          </reference>
          <reference field="6" count="1" selected="0">
            <x v="1"/>
          </reference>
          <reference field="7" count="1" selected="0">
            <x v="27"/>
          </reference>
          <reference field="8" count="6">
            <x v="132"/>
            <x v="133"/>
            <x v="134"/>
            <x v="135"/>
            <x v="136"/>
            <x v="137"/>
          </reference>
        </references>
      </pivotArea>
    </format>
    <format dxfId="6068">
      <pivotArea dataOnly="0" labelOnly="1" fieldPosition="0">
        <references count="4">
          <reference field="4" count="1" selected="0">
            <x v="16"/>
          </reference>
          <reference field="6" count="1" selected="0">
            <x v="3"/>
          </reference>
          <reference field="7" count="1" selected="0">
            <x v="1"/>
          </reference>
          <reference field="8" count="1">
            <x v="6"/>
          </reference>
        </references>
      </pivotArea>
    </format>
    <format dxfId="6067">
      <pivotArea dataOnly="0" labelOnly="1" fieldPosition="0">
        <references count="4">
          <reference field="4" count="1" selected="0">
            <x v="16"/>
          </reference>
          <reference field="6" count="1" selected="0">
            <x v="4"/>
          </reference>
          <reference field="7" count="1" selected="0">
            <x v="8"/>
          </reference>
          <reference field="8" count="1">
            <x v="38"/>
          </reference>
        </references>
      </pivotArea>
    </format>
    <format dxfId="6066">
      <pivotArea dataOnly="0" labelOnly="1" fieldPosition="0">
        <references count="4">
          <reference field="4" count="1" selected="0">
            <x v="16"/>
          </reference>
          <reference field="6" count="1" selected="0">
            <x v="4"/>
          </reference>
          <reference field="7" count="1" selected="0">
            <x v="11"/>
          </reference>
          <reference field="8" count="1">
            <x v="48"/>
          </reference>
        </references>
      </pivotArea>
    </format>
    <format dxfId="6065">
      <pivotArea dataOnly="0" labelOnly="1" fieldPosition="0">
        <references count="4">
          <reference field="4" count="1" selected="0">
            <x v="17"/>
          </reference>
          <reference field="6" count="1" selected="0">
            <x v="0"/>
          </reference>
          <reference field="7" count="1" selected="0">
            <x v="16"/>
          </reference>
          <reference field="8" count="7">
            <x v="57"/>
            <x v="58"/>
            <x v="59"/>
            <x v="60"/>
            <x v="61"/>
            <x v="62"/>
            <x v="63"/>
          </reference>
        </references>
      </pivotArea>
    </format>
    <format dxfId="6064">
      <pivotArea dataOnly="0" labelOnly="1" fieldPosition="0">
        <references count="4">
          <reference field="4" count="1" selected="0">
            <x v="17"/>
          </reference>
          <reference field="6" count="1" selected="0">
            <x v="0"/>
          </reference>
          <reference field="7" count="1" selected="0">
            <x v="22"/>
          </reference>
          <reference field="8" count="1">
            <x v="94"/>
          </reference>
        </references>
      </pivotArea>
    </format>
    <format dxfId="6063">
      <pivotArea dataOnly="0" labelOnly="1" fieldPosition="0">
        <references count="4">
          <reference field="4" count="1" selected="0">
            <x v="18"/>
          </reference>
          <reference field="6" count="1" selected="0">
            <x v="3"/>
          </reference>
          <reference field="7" count="1" selected="0">
            <x v="2"/>
          </reference>
          <reference field="8" count="4">
            <x v="8"/>
            <x v="9"/>
            <x v="16"/>
            <x v="17"/>
          </reference>
        </references>
      </pivotArea>
    </format>
    <format dxfId="6062">
      <pivotArea dataOnly="0" labelOnly="1" fieldPosition="0">
        <references count="4">
          <reference field="4" count="1" selected="0">
            <x v="19"/>
          </reference>
          <reference field="6" count="1" selected="0">
            <x v="3"/>
          </reference>
          <reference field="7" count="1" selected="0">
            <x v="6"/>
          </reference>
          <reference field="8" count="1">
            <x v="29"/>
          </reference>
        </references>
      </pivotArea>
    </format>
    <format dxfId="6061">
      <pivotArea dataOnly="0" labelOnly="1" fieldPosition="0">
        <references count="4">
          <reference field="4" count="1" selected="0">
            <x v="20"/>
          </reference>
          <reference field="6" count="1" selected="0">
            <x v="1"/>
          </reference>
          <reference field="7" count="1" selected="0">
            <x v="24"/>
          </reference>
          <reference field="8" count="1">
            <x v="106"/>
          </reference>
        </references>
      </pivotArea>
    </format>
    <format dxfId="6060">
      <pivotArea dataOnly="0" labelOnly="1" fieldPosition="0">
        <references count="5">
          <reference field="4" count="1" selected="0">
            <x v="0"/>
          </reference>
          <reference field="6" count="1" selected="0">
            <x v="0"/>
          </reference>
          <reference field="7" count="1" selected="0">
            <x v="17"/>
          </reference>
          <reference field="8" count="1" selected="0">
            <x v="65"/>
          </reference>
          <reference field="15" count="1">
            <x v="108"/>
          </reference>
        </references>
      </pivotArea>
    </format>
    <format dxfId="6059">
      <pivotArea dataOnly="0" labelOnly="1" fieldPosition="0">
        <references count="5">
          <reference field="4" count="1" selected="0">
            <x v="0"/>
          </reference>
          <reference field="6" count="1" selected="0">
            <x v="0"/>
          </reference>
          <reference field="7" count="1" selected="0">
            <x v="17"/>
          </reference>
          <reference field="8" count="1" selected="0">
            <x v="66"/>
          </reference>
          <reference field="15" count="2">
            <x v="365"/>
            <x v="366"/>
          </reference>
        </references>
      </pivotArea>
    </format>
    <format dxfId="6058">
      <pivotArea dataOnly="0" labelOnly="1" fieldPosition="0">
        <references count="5">
          <reference field="4" count="1" selected="0">
            <x v="0"/>
          </reference>
          <reference field="6" count="1" selected="0">
            <x v="0"/>
          </reference>
          <reference field="7" count="1" selected="0">
            <x v="17"/>
          </reference>
          <reference field="8" count="1" selected="0">
            <x v="67"/>
          </reference>
          <reference field="15" count="2">
            <x v="364"/>
            <x v="370"/>
          </reference>
        </references>
      </pivotArea>
    </format>
    <format dxfId="6057">
      <pivotArea dataOnly="0" labelOnly="1" fieldPosition="0">
        <references count="5">
          <reference field="4" count="1" selected="0">
            <x v="0"/>
          </reference>
          <reference field="6" count="1" selected="0">
            <x v="0"/>
          </reference>
          <reference field="7" count="1" selected="0">
            <x v="17"/>
          </reference>
          <reference field="8" count="1" selected="0">
            <x v="68"/>
          </reference>
          <reference field="15" count="1">
            <x v="79"/>
          </reference>
        </references>
      </pivotArea>
    </format>
    <format dxfId="6056">
      <pivotArea dataOnly="0" labelOnly="1" fieldPosition="0">
        <references count="5">
          <reference field="4" count="1" selected="0">
            <x v="0"/>
          </reference>
          <reference field="6" count="1" selected="0">
            <x v="0"/>
          </reference>
          <reference field="7" count="1" selected="0">
            <x v="17"/>
          </reference>
          <reference field="8" count="1" selected="0">
            <x v="69"/>
          </reference>
          <reference field="15" count="1">
            <x v="42"/>
          </reference>
        </references>
      </pivotArea>
    </format>
    <format dxfId="6055">
      <pivotArea dataOnly="0" labelOnly="1" fieldPosition="0">
        <references count="5">
          <reference field="4" count="1" selected="0">
            <x v="0"/>
          </reference>
          <reference field="6" count="1" selected="0">
            <x v="0"/>
          </reference>
          <reference field="7" count="1" selected="0">
            <x v="19"/>
          </reference>
          <reference field="8" count="1" selected="0">
            <x v="78"/>
          </reference>
          <reference field="15" count="1">
            <x v="236"/>
          </reference>
        </references>
      </pivotArea>
    </format>
    <format dxfId="6054">
      <pivotArea dataOnly="0" labelOnly="1" fieldPosition="0">
        <references count="5">
          <reference field="4" count="1" selected="0">
            <x v="0"/>
          </reference>
          <reference field="6" count="1" selected="0">
            <x v="0"/>
          </reference>
          <reference field="7" count="1" selected="0">
            <x v="19"/>
          </reference>
          <reference field="8" count="1" selected="0">
            <x v="79"/>
          </reference>
          <reference field="15" count="1">
            <x v="12"/>
          </reference>
        </references>
      </pivotArea>
    </format>
    <format dxfId="6053">
      <pivotArea dataOnly="0" labelOnly="1" fieldPosition="0">
        <references count="5">
          <reference field="4" count="1" selected="0">
            <x v="0"/>
          </reference>
          <reference field="6" count="1" selected="0">
            <x v="0"/>
          </reference>
          <reference field="7" count="1" selected="0">
            <x v="19"/>
          </reference>
          <reference field="8" count="1" selected="0">
            <x v="80"/>
          </reference>
          <reference field="15" count="2">
            <x v="10"/>
            <x v="11"/>
          </reference>
        </references>
      </pivotArea>
    </format>
    <format dxfId="6052">
      <pivotArea dataOnly="0" labelOnly="1" fieldPosition="0">
        <references count="5">
          <reference field="4" count="1" selected="0">
            <x v="0"/>
          </reference>
          <reference field="6" count="1" selected="0">
            <x v="1"/>
          </reference>
          <reference field="7" count="1" selected="0">
            <x v="23"/>
          </reference>
          <reference field="8" count="1" selected="0">
            <x v="95"/>
          </reference>
          <reference field="15" count="1">
            <x v="250"/>
          </reference>
        </references>
      </pivotArea>
    </format>
    <format dxfId="6051">
      <pivotArea dataOnly="0" labelOnly="1" fieldPosition="0">
        <references count="5">
          <reference field="4" count="1" selected="0">
            <x v="0"/>
          </reference>
          <reference field="6" count="1" selected="0">
            <x v="1"/>
          </reference>
          <reference field="7" count="1" selected="0">
            <x v="23"/>
          </reference>
          <reference field="8" count="1" selected="0">
            <x v="96"/>
          </reference>
          <reference field="15" count="2">
            <x v="251"/>
            <x v="358"/>
          </reference>
        </references>
      </pivotArea>
    </format>
    <format dxfId="6050">
      <pivotArea dataOnly="0" labelOnly="1" fieldPosition="0">
        <references count="5">
          <reference field="4" count="1" selected="0">
            <x v="0"/>
          </reference>
          <reference field="6" count="1" selected="0">
            <x v="1"/>
          </reference>
          <reference field="7" count="1" selected="0">
            <x v="23"/>
          </reference>
          <reference field="8" count="1" selected="0">
            <x v="97"/>
          </reference>
          <reference field="15" count="1">
            <x v="257"/>
          </reference>
        </references>
      </pivotArea>
    </format>
    <format dxfId="6049">
      <pivotArea dataOnly="0" labelOnly="1" fieldPosition="0">
        <references count="5">
          <reference field="4" count="1" selected="0">
            <x v="0"/>
          </reference>
          <reference field="6" count="1" selected="0">
            <x v="1"/>
          </reference>
          <reference field="7" count="1" selected="0">
            <x v="23"/>
          </reference>
          <reference field="8" count="1" selected="0">
            <x v="98"/>
          </reference>
          <reference field="15" count="1">
            <x v="43"/>
          </reference>
        </references>
      </pivotArea>
    </format>
    <format dxfId="6048">
      <pivotArea dataOnly="0" labelOnly="1" fieldPosition="0">
        <references count="5">
          <reference field="4" count="1" selected="0">
            <x v="0"/>
          </reference>
          <reference field="6" count="1" selected="0">
            <x v="1"/>
          </reference>
          <reference field="7" count="1" selected="0">
            <x v="23"/>
          </reference>
          <reference field="8" count="1" selected="0">
            <x v="99"/>
          </reference>
          <reference field="15" count="1">
            <x v="254"/>
          </reference>
        </references>
      </pivotArea>
    </format>
    <format dxfId="6047">
      <pivotArea dataOnly="0" labelOnly="1" fieldPosition="0">
        <references count="5">
          <reference field="4" count="1" selected="0">
            <x v="0"/>
          </reference>
          <reference field="6" count="1" selected="0">
            <x v="1"/>
          </reference>
          <reference field="7" count="1" selected="0">
            <x v="23"/>
          </reference>
          <reference field="8" count="1" selected="0">
            <x v="100"/>
          </reference>
          <reference field="15" count="1">
            <x v="253"/>
          </reference>
        </references>
      </pivotArea>
    </format>
    <format dxfId="6046">
      <pivotArea dataOnly="0" labelOnly="1" fieldPosition="0">
        <references count="5">
          <reference field="4" count="1" selected="0">
            <x v="0"/>
          </reference>
          <reference field="6" count="1" selected="0">
            <x v="1"/>
          </reference>
          <reference field="7" count="1" selected="0">
            <x v="23"/>
          </reference>
          <reference field="8" count="1" selected="0">
            <x v="101"/>
          </reference>
          <reference field="15" count="1">
            <x v="255"/>
          </reference>
        </references>
      </pivotArea>
    </format>
    <format dxfId="6045">
      <pivotArea dataOnly="0" labelOnly="1" fieldPosition="0">
        <references count="5">
          <reference field="4" count="1" selected="0">
            <x v="0"/>
          </reference>
          <reference field="6" count="1" selected="0">
            <x v="1"/>
          </reference>
          <reference field="7" count="1" selected="0">
            <x v="23"/>
          </reference>
          <reference field="8" count="1" selected="0">
            <x v="102"/>
          </reference>
          <reference field="15" count="1">
            <x v="40"/>
          </reference>
        </references>
      </pivotArea>
    </format>
    <format dxfId="6044">
      <pivotArea dataOnly="0" labelOnly="1" fieldPosition="0">
        <references count="5">
          <reference field="4" count="1" selected="0">
            <x v="0"/>
          </reference>
          <reference field="6" count="1" selected="0">
            <x v="1"/>
          </reference>
          <reference field="7" count="1" selected="0">
            <x v="23"/>
          </reference>
          <reference field="8" count="1" selected="0">
            <x v="103"/>
          </reference>
          <reference field="15" count="1">
            <x v="252"/>
          </reference>
        </references>
      </pivotArea>
    </format>
    <format dxfId="6043">
      <pivotArea dataOnly="0" labelOnly="1" fieldPosition="0">
        <references count="5">
          <reference field="4" count="1" selected="0">
            <x v="0"/>
          </reference>
          <reference field="6" count="1" selected="0">
            <x v="1"/>
          </reference>
          <reference field="7" count="1" selected="0">
            <x v="23"/>
          </reference>
          <reference field="8" count="1" selected="0">
            <x v="104"/>
          </reference>
          <reference field="15" count="1">
            <x v="256"/>
          </reference>
        </references>
      </pivotArea>
    </format>
    <format dxfId="6042">
      <pivotArea dataOnly="0" labelOnly="1" fieldPosition="0">
        <references count="5">
          <reference field="4" count="1" selected="0">
            <x v="0"/>
          </reference>
          <reference field="6" count="1" selected="0">
            <x v="1"/>
          </reference>
          <reference field="7" count="1" selected="0">
            <x v="26"/>
          </reference>
          <reference field="8" count="1" selected="0">
            <x v="131"/>
          </reference>
          <reference field="15" count="1">
            <x v="13"/>
          </reference>
        </references>
      </pivotArea>
    </format>
    <format dxfId="6041">
      <pivotArea dataOnly="0" labelOnly="1" fieldPosition="0">
        <references count="5">
          <reference field="4" count="1" selected="0">
            <x v="1"/>
          </reference>
          <reference field="6" count="1" selected="0">
            <x v="0"/>
          </reference>
          <reference field="7" count="1" selected="0">
            <x v="19"/>
          </reference>
          <reference field="8" count="1" selected="0">
            <x v="81"/>
          </reference>
          <reference field="15" count="1">
            <x v="231"/>
          </reference>
        </references>
      </pivotArea>
    </format>
    <format dxfId="6040">
      <pivotArea dataOnly="0" labelOnly="1" fieldPosition="0">
        <references count="5">
          <reference field="4" count="1" selected="0">
            <x v="1"/>
          </reference>
          <reference field="6" count="1" selected="0">
            <x v="3"/>
          </reference>
          <reference field="7" count="1" selected="0">
            <x v="2"/>
          </reference>
          <reference field="8" count="1" selected="0">
            <x v="7"/>
          </reference>
          <reference field="15" count="5">
            <x v="117"/>
            <x v="124"/>
            <x v="131"/>
            <x v="380"/>
            <x v="400"/>
          </reference>
        </references>
      </pivotArea>
    </format>
    <format dxfId="6039">
      <pivotArea dataOnly="0" labelOnly="1" fieldPosition="0">
        <references count="5">
          <reference field="4" count="1" selected="0">
            <x v="1"/>
          </reference>
          <reference field="6" count="1" selected="0">
            <x v="3"/>
          </reference>
          <reference field="7" count="1" selected="0">
            <x v="2"/>
          </reference>
          <reference field="8" count="1" selected="0">
            <x v="10"/>
          </reference>
          <reference field="15" count="2">
            <x v="17"/>
            <x v="18"/>
          </reference>
        </references>
      </pivotArea>
    </format>
    <format dxfId="6038">
      <pivotArea dataOnly="0" labelOnly="1" fieldPosition="0">
        <references count="5">
          <reference field="4" count="1" selected="0">
            <x v="1"/>
          </reference>
          <reference field="6" count="1" selected="0">
            <x v="3"/>
          </reference>
          <reference field="7" count="1" selected="0">
            <x v="2"/>
          </reference>
          <reference field="8" count="1" selected="0">
            <x v="11"/>
          </reference>
          <reference field="15" count="2">
            <x v="7"/>
            <x v="8"/>
          </reference>
        </references>
      </pivotArea>
    </format>
    <format dxfId="6037">
      <pivotArea dataOnly="0" labelOnly="1" fieldPosition="0">
        <references count="5">
          <reference field="4" count="1" selected="0">
            <x v="1"/>
          </reference>
          <reference field="6" count="1" selected="0">
            <x v="3"/>
          </reference>
          <reference field="7" count="1" selected="0">
            <x v="2"/>
          </reference>
          <reference field="8" count="1" selected="0">
            <x v="12"/>
          </reference>
          <reference field="15" count="1">
            <x v="107"/>
          </reference>
        </references>
      </pivotArea>
    </format>
    <format dxfId="6036">
      <pivotArea dataOnly="0" labelOnly="1" fieldPosition="0">
        <references count="5">
          <reference field="4" count="1" selected="0">
            <x v="1"/>
          </reference>
          <reference field="6" count="1" selected="0">
            <x v="3"/>
          </reference>
          <reference field="7" count="1" selected="0">
            <x v="2"/>
          </reference>
          <reference field="8" count="1" selected="0">
            <x v="13"/>
          </reference>
          <reference field="15" count="1">
            <x v="6"/>
          </reference>
        </references>
      </pivotArea>
    </format>
    <format dxfId="6035">
      <pivotArea dataOnly="0" labelOnly="1" fieldPosition="0">
        <references count="5">
          <reference field="4" count="1" selected="0">
            <x v="1"/>
          </reference>
          <reference field="6" count="1" selected="0">
            <x v="3"/>
          </reference>
          <reference field="7" count="1" selected="0">
            <x v="2"/>
          </reference>
          <reference field="8" count="1" selected="0">
            <x v="14"/>
          </reference>
          <reference field="15" count="2">
            <x v="46"/>
            <x v="47"/>
          </reference>
        </references>
      </pivotArea>
    </format>
    <format dxfId="6034">
      <pivotArea dataOnly="0" labelOnly="1" fieldPosition="0">
        <references count="5">
          <reference field="4" count="1" selected="0">
            <x v="1"/>
          </reference>
          <reference field="6" count="1" selected="0">
            <x v="3"/>
          </reference>
          <reference field="7" count="1" selected="0">
            <x v="2"/>
          </reference>
          <reference field="8" count="1" selected="0">
            <x v="15"/>
          </reference>
          <reference field="15" count="1">
            <x v="372"/>
          </reference>
        </references>
      </pivotArea>
    </format>
    <format dxfId="6033">
      <pivotArea dataOnly="0" labelOnly="1" fieldPosition="0">
        <references count="5">
          <reference field="4" count="1" selected="0">
            <x v="1"/>
          </reference>
          <reference field="6" count="1" selected="0">
            <x v="3"/>
          </reference>
          <reference field="7" count="1" selected="0">
            <x v="3"/>
          </reference>
          <reference field="8" count="1" selected="0">
            <x v="18"/>
          </reference>
          <reference field="15" count="1">
            <x v="232"/>
          </reference>
        </references>
      </pivotArea>
    </format>
    <format dxfId="6032">
      <pivotArea dataOnly="0" labelOnly="1" fieldPosition="0">
        <references count="5">
          <reference field="4" count="1" selected="0">
            <x v="1"/>
          </reference>
          <reference field="6" count="1" selected="0">
            <x v="3"/>
          </reference>
          <reference field="7" count="1" selected="0">
            <x v="3"/>
          </reference>
          <reference field="8" count="1" selected="0">
            <x v="19"/>
          </reference>
          <reference field="15" count="1">
            <x v="9"/>
          </reference>
        </references>
      </pivotArea>
    </format>
    <format dxfId="6031">
      <pivotArea dataOnly="0" labelOnly="1" fieldPosition="0">
        <references count="5">
          <reference field="4" count="1" selected="0">
            <x v="1"/>
          </reference>
          <reference field="6" count="1" selected="0">
            <x v="3"/>
          </reference>
          <reference field="7" count="1" selected="0">
            <x v="4"/>
          </reference>
          <reference field="8" count="1" selected="0">
            <x v="20"/>
          </reference>
          <reference field="15" count="1">
            <x v="34"/>
          </reference>
        </references>
      </pivotArea>
    </format>
    <format dxfId="6030">
      <pivotArea dataOnly="0" labelOnly="1" fieldPosition="0">
        <references count="5">
          <reference field="4" count="1" selected="0">
            <x v="1"/>
          </reference>
          <reference field="6" count="1" selected="0">
            <x v="3"/>
          </reference>
          <reference field="7" count="1" selected="0">
            <x v="4"/>
          </reference>
          <reference field="8" count="1" selected="0">
            <x v="21"/>
          </reference>
          <reference field="15" count="1">
            <x v="98"/>
          </reference>
        </references>
      </pivotArea>
    </format>
    <format dxfId="6029">
      <pivotArea dataOnly="0" labelOnly="1" fieldPosition="0">
        <references count="5">
          <reference field="4" count="1" selected="0">
            <x v="1"/>
          </reference>
          <reference field="6" count="1" selected="0">
            <x v="4"/>
          </reference>
          <reference field="7" count="1" selected="0">
            <x v="8"/>
          </reference>
          <reference field="8" count="1" selected="0">
            <x v="33"/>
          </reference>
          <reference field="15" count="1">
            <x v="237"/>
          </reference>
        </references>
      </pivotArea>
    </format>
    <format dxfId="6028">
      <pivotArea dataOnly="0" labelOnly="1" fieldPosition="0">
        <references count="5">
          <reference field="4" count="1" selected="0">
            <x v="1"/>
          </reference>
          <reference field="6" count="1" selected="0">
            <x v="4"/>
          </reference>
          <reference field="7" count="1" selected="0">
            <x v="8"/>
          </reference>
          <reference field="8" count="1" selected="0">
            <x v="34"/>
          </reference>
          <reference field="15" count="1">
            <x v="373"/>
          </reference>
        </references>
      </pivotArea>
    </format>
    <format dxfId="6027">
      <pivotArea dataOnly="0" labelOnly="1" fieldPosition="0">
        <references count="5">
          <reference field="4" count="1" selected="0">
            <x v="1"/>
          </reference>
          <reference field="6" count="1" selected="0">
            <x v="4"/>
          </reference>
          <reference field="7" count="1" selected="0">
            <x v="8"/>
          </reference>
          <reference field="8" count="1" selected="0">
            <x v="39"/>
          </reference>
          <reference field="15" count="2">
            <x v="233"/>
            <x v="234"/>
          </reference>
        </references>
      </pivotArea>
    </format>
    <format dxfId="6026">
      <pivotArea dataOnly="0" labelOnly="1" fieldPosition="0">
        <references count="5">
          <reference field="4" count="1" selected="0">
            <x v="2"/>
          </reference>
          <reference field="6" count="1" selected="0">
            <x v="2"/>
          </reference>
          <reference field="7" count="1" selected="0">
            <x v="29"/>
          </reference>
          <reference field="8" count="1" selected="0">
            <x v="145"/>
          </reference>
          <reference field="15" count="1">
            <x v="377"/>
          </reference>
        </references>
      </pivotArea>
    </format>
    <format dxfId="6025">
      <pivotArea dataOnly="0" labelOnly="1" fieldPosition="0">
        <references count="5">
          <reference field="4" count="1" selected="0">
            <x v="2"/>
          </reference>
          <reference field="6" count="1" selected="0">
            <x v="2"/>
          </reference>
          <reference field="7" count="1" selected="0">
            <x v="29"/>
          </reference>
          <reference field="8" count="1" selected="0">
            <x v="146"/>
          </reference>
          <reference field="15" count="1">
            <x v="139"/>
          </reference>
        </references>
      </pivotArea>
    </format>
    <format dxfId="6024">
      <pivotArea dataOnly="0" labelOnly="1" fieldPosition="0">
        <references count="5">
          <reference field="4" count="1" selected="0">
            <x v="2"/>
          </reference>
          <reference field="6" count="1" selected="0">
            <x v="2"/>
          </reference>
          <reference field="7" count="1" selected="0">
            <x v="29"/>
          </reference>
          <reference field="8" count="1" selected="0">
            <x v="147"/>
          </reference>
          <reference field="15" count="1">
            <x v="127"/>
          </reference>
        </references>
      </pivotArea>
    </format>
    <format dxfId="6023">
      <pivotArea dataOnly="0" labelOnly="1" fieldPosition="0">
        <references count="5">
          <reference field="4" count="1" selected="0">
            <x v="2"/>
          </reference>
          <reference field="6" count="1" selected="0">
            <x v="2"/>
          </reference>
          <reference field="7" count="1" selected="0">
            <x v="29"/>
          </reference>
          <reference field="8" count="1" selected="0">
            <x v="148"/>
          </reference>
          <reference field="15" count="1">
            <x v="142"/>
          </reference>
        </references>
      </pivotArea>
    </format>
    <format dxfId="6022">
      <pivotArea dataOnly="0" labelOnly="1" fieldPosition="0">
        <references count="5">
          <reference field="4" count="1" selected="0">
            <x v="2"/>
          </reference>
          <reference field="6" count="1" selected="0">
            <x v="2"/>
          </reference>
          <reference field="7" count="1" selected="0">
            <x v="29"/>
          </reference>
          <reference field="8" count="1" selected="0">
            <x v="149"/>
          </reference>
          <reference field="15" count="1">
            <x v="140"/>
          </reference>
        </references>
      </pivotArea>
    </format>
    <format dxfId="6021">
      <pivotArea dataOnly="0" labelOnly="1" fieldPosition="0">
        <references count="5">
          <reference field="4" count="1" selected="0">
            <x v="2"/>
          </reference>
          <reference field="6" count="1" selected="0">
            <x v="2"/>
          </reference>
          <reference field="7" count="1" selected="0">
            <x v="29"/>
          </reference>
          <reference field="8" count="1" selected="0">
            <x v="150"/>
          </reference>
          <reference field="15" count="1">
            <x v="144"/>
          </reference>
        </references>
      </pivotArea>
    </format>
    <format dxfId="6020">
      <pivotArea dataOnly="0" labelOnly="1" fieldPosition="0">
        <references count="5">
          <reference field="4" count="1" selected="0">
            <x v="2"/>
          </reference>
          <reference field="6" count="1" selected="0">
            <x v="2"/>
          </reference>
          <reference field="7" count="1" selected="0">
            <x v="30"/>
          </reference>
          <reference field="8" count="1" selected="0">
            <x v="152"/>
          </reference>
          <reference field="15" count="2">
            <x v="128"/>
            <x v="129"/>
          </reference>
        </references>
      </pivotArea>
    </format>
    <format dxfId="6019">
      <pivotArea dataOnly="0" labelOnly="1" fieldPosition="0">
        <references count="5">
          <reference field="4" count="1" selected="0">
            <x v="2"/>
          </reference>
          <reference field="6" count="1" selected="0">
            <x v="2"/>
          </reference>
          <reference field="7" count="1" selected="0">
            <x v="30"/>
          </reference>
          <reference field="8" count="1" selected="0">
            <x v="153"/>
          </reference>
          <reference field="15" count="1">
            <x v="141"/>
          </reference>
        </references>
      </pivotArea>
    </format>
    <format dxfId="6018">
      <pivotArea dataOnly="0" labelOnly="1" fieldPosition="0">
        <references count="5">
          <reference field="4" count="1" selected="0">
            <x v="2"/>
          </reference>
          <reference field="6" count="1" selected="0">
            <x v="3"/>
          </reference>
          <reference field="7" count="1" selected="0">
            <x v="5"/>
          </reference>
          <reference field="8" count="1" selected="0">
            <x v="24"/>
          </reference>
          <reference field="15" count="1">
            <x v="339"/>
          </reference>
        </references>
      </pivotArea>
    </format>
    <format dxfId="6017">
      <pivotArea dataOnly="0" labelOnly="1" fieldPosition="0">
        <references count="5">
          <reference field="4" count="1" selected="0">
            <x v="2"/>
          </reference>
          <reference field="6" count="1" selected="0">
            <x v="3"/>
          </reference>
          <reference field="7" count="1" selected="0">
            <x v="7"/>
          </reference>
          <reference field="8" count="1" selected="0">
            <x v="31"/>
          </reference>
          <reference field="15" count="2">
            <x v="391"/>
            <x v="392"/>
          </reference>
        </references>
      </pivotArea>
    </format>
    <format dxfId="6016">
      <pivotArea dataOnly="0" labelOnly="1" fieldPosition="0">
        <references count="5">
          <reference field="4" count="1" selected="0">
            <x v="2"/>
          </reference>
          <reference field="6" count="1" selected="0">
            <x v="3"/>
          </reference>
          <reference field="7" count="1" selected="0">
            <x v="7"/>
          </reference>
          <reference field="8" count="1" selected="0">
            <x v="32"/>
          </reference>
          <reference field="15" count="1">
            <x v="371"/>
          </reference>
        </references>
      </pivotArea>
    </format>
    <format dxfId="6015">
      <pivotArea dataOnly="0" labelOnly="1" fieldPosition="0">
        <references count="5">
          <reference field="4" count="1" selected="0">
            <x v="2"/>
          </reference>
          <reference field="6" count="1" selected="0">
            <x v="4"/>
          </reference>
          <reference field="7" count="1" selected="0">
            <x v="8"/>
          </reference>
          <reference field="8" count="1" selected="0">
            <x v="36"/>
          </reference>
          <reference field="15" count="1">
            <x v="379"/>
          </reference>
        </references>
      </pivotArea>
    </format>
    <format dxfId="6014">
      <pivotArea dataOnly="0" labelOnly="1" fieldPosition="0">
        <references count="5">
          <reference field="4" count="1" selected="0">
            <x v="2"/>
          </reference>
          <reference field="6" count="1" selected="0">
            <x v="4"/>
          </reference>
          <reference field="7" count="1" selected="0">
            <x v="8"/>
          </reference>
          <reference field="8" count="1" selected="0">
            <x v="39"/>
          </reference>
          <reference field="15" count="1">
            <x v="378"/>
          </reference>
        </references>
      </pivotArea>
    </format>
    <format dxfId="6013">
      <pivotArea dataOnly="0" labelOnly="1" fieldPosition="0">
        <references count="5">
          <reference field="4" count="1" selected="0">
            <x v="3"/>
          </reference>
          <reference field="6" count="1" selected="0">
            <x v="3"/>
          </reference>
          <reference field="7" count="1" selected="0">
            <x v="6"/>
          </reference>
          <reference field="8" count="1" selected="0">
            <x v="29"/>
          </reference>
          <reference field="15" count="41">
            <x v="0"/>
            <x v="1"/>
            <x v="167"/>
            <x v="175"/>
            <x v="176"/>
            <x v="177"/>
            <x v="178"/>
            <x v="179"/>
            <x v="180"/>
            <x v="181"/>
            <x v="182"/>
            <x v="201"/>
            <x v="202"/>
            <x v="205"/>
            <x v="206"/>
            <x v="207"/>
            <x v="208"/>
            <x v="209"/>
            <x v="210"/>
            <x v="211"/>
            <x v="212"/>
            <x v="213"/>
            <x v="214"/>
            <x v="215"/>
            <x v="216"/>
            <x v="217"/>
            <x v="218"/>
            <x v="219"/>
            <x v="220"/>
            <x v="221"/>
            <x v="224"/>
            <x v="225"/>
            <x v="226"/>
            <x v="227"/>
            <x v="228"/>
            <x v="393"/>
            <x v="394"/>
            <x v="396"/>
            <x v="397"/>
            <x v="398"/>
            <x v="399"/>
          </reference>
        </references>
      </pivotArea>
    </format>
    <format dxfId="6012">
      <pivotArea dataOnly="0" labelOnly="1" fieldPosition="0">
        <references count="5">
          <reference field="4" count="1" selected="0">
            <x v="4"/>
          </reference>
          <reference field="6" count="1" selected="0">
            <x v="0"/>
          </reference>
          <reference field="7" count="1" selected="0">
            <x v="21"/>
          </reference>
          <reference field="8" count="1" selected="0">
            <x v="87"/>
          </reference>
          <reference field="15" count="8">
            <x v="126"/>
            <x v="293"/>
            <x v="305"/>
            <x v="306"/>
            <x v="317"/>
            <x v="388"/>
            <x v="389"/>
            <x v="390"/>
          </reference>
        </references>
      </pivotArea>
    </format>
    <format dxfId="6011">
      <pivotArea dataOnly="0" labelOnly="1" fieldPosition="0">
        <references count="5">
          <reference field="4" count="1" selected="0">
            <x v="4"/>
          </reference>
          <reference field="6" count="1" selected="0">
            <x v="0"/>
          </reference>
          <reference field="7" count="1" selected="0">
            <x v="21"/>
          </reference>
          <reference field="8" count="1" selected="0">
            <x v="88"/>
          </reference>
          <reference field="15" count="3">
            <x v="291"/>
            <x v="292"/>
            <x v="301"/>
          </reference>
        </references>
      </pivotArea>
    </format>
    <format dxfId="6010">
      <pivotArea dataOnly="0" labelOnly="1" fieldPosition="0">
        <references count="5">
          <reference field="4" count="1" selected="0">
            <x v="4"/>
          </reference>
          <reference field="6" count="1" selected="0">
            <x v="0"/>
          </reference>
          <reference field="7" count="1" selected="0">
            <x v="21"/>
          </reference>
          <reference field="8" count="1" selected="0">
            <x v="89"/>
          </reference>
          <reference field="15" count="1">
            <x v="310"/>
          </reference>
        </references>
      </pivotArea>
    </format>
    <format dxfId="6009">
      <pivotArea dataOnly="0" labelOnly="1" fieldPosition="0">
        <references count="5">
          <reference field="4" count="1" selected="0">
            <x v="4"/>
          </reference>
          <reference field="6" count="1" selected="0">
            <x v="0"/>
          </reference>
          <reference field="7" count="1" selected="0">
            <x v="21"/>
          </reference>
          <reference field="8" count="1" selected="0">
            <x v="90"/>
          </reference>
          <reference field="15" count="1">
            <x v="385"/>
          </reference>
        </references>
      </pivotArea>
    </format>
    <format dxfId="6008">
      <pivotArea dataOnly="0" labelOnly="1" fieldPosition="0">
        <references count="5">
          <reference field="4" count="1" selected="0">
            <x v="4"/>
          </reference>
          <reference field="6" count="1" selected="0">
            <x v="0"/>
          </reference>
          <reference field="7" count="1" selected="0">
            <x v="21"/>
          </reference>
          <reference field="8" count="1" selected="0">
            <x v="91"/>
          </reference>
          <reference field="15" count="2">
            <x v="264"/>
            <x v="265"/>
          </reference>
        </references>
      </pivotArea>
    </format>
    <format dxfId="6007">
      <pivotArea dataOnly="0" labelOnly="1" fieldPosition="0">
        <references count="5">
          <reference field="4" count="1" selected="0">
            <x v="4"/>
          </reference>
          <reference field="6" count="1" selected="0">
            <x v="1"/>
          </reference>
          <reference field="7" count="1" selected="0">
            <x v="24"/>
          </reference>
          <reference field="8" count="1" selected="0">
            <x v="114"/>
          </reference>
          <reference field="15" count="1">
            <x v="263"/>
          </reference>
        </references>
      </pivotArea>
    </format>
    <format dxfId="6006">
      <pivotArea dataOnly="0" labelOnly="1" fieldPosition="0">
        <references count="5">
          <reference field="4" count="1" selected="0">
            <x v="4"/>
          </reference>
          <reference field="6" count="1" selected="0">
            <x v="2"/>
          </reference>
          <reference field="7" count="1" selected="0">
            <x v="29"/>
          </reference>
          <reference field="8" count="1" selected="0">
            <x v="142"/>
          </reference>
          <reference field="15" count="1">
            <x v="283"/>
          </reference>
        </references>
      </pivotArea>
    </format>
    <format dxfId="6005">
      <pivotArea dataOnly="0" labelOnly="1" fieldPosition="0">
        <references count="5">
          <reference field="4" count="1" selected="0">
            <x v="4"/>
          </reference>
          <reference field="6" count="1" selected="0">
            <x v="2"/>
          </reference>
          <reference field="7" count="1" selected="0">
            <x v="29"/>
          </reference>
          <reference field="8" count="1" selected="0">
            <x v="143"/>
          </reference>
          <reference field="15" count="2">
            <x v="289"/>
            <x v="314"/>
          </reference>
        </references>
      </pivotArea>
    </format>
    <format dxfId="6004">
      <pivotArea dataOnly="0" labelOnly="1" fieldPosition="0">
        <references count="5">
          <reference field="4" count="1" selected="0">
            <x v="4"/>
          </reference>
          <reference field="6" count="1" selected="0">
            <x v="2"/>
          </reference>
          <reference field="7" count="1" selected="0">
            <x v="29"/>
          </reference>
          <reference field="8" count="1" selected="0">
            <x v="151"/>
          </reference>
          <reference field="15" count="1">
            <x v="387"/>
          </reference>
        </references>
      </pivotArea>
    </format>
    <format dxfId="6003">
      <pivotArea dataOnly="0" labelOnly="1" fieldPosition="0">
        <references count="5">
          <reference field="4" count="1" selected="0">
            <x v="4"/>
          </reference>
          <reference field="6" count="1" selected="0">
            <x v="2"/>
          </reference>
          <reference field="7" count="1" selected="0">
            <x v="31"/>
          </reference>
          <reference field="8" count="1" selected="0">
            <x v="155"/>
          </reference>
          <reference field="15" count="4">
            <x v="235"/>
            <x v="303"/>
            <x v="374"/>
            <x v="386"/>
          </reference>
        </references>
      </pivotArea>
    </format>
    <format dxfId="6002">
      <pivotArea dataOnly="0" labelOnly="1" fieldPosition="0">
        <references count="5">
          <reference field="4" count="1" selected="0">
            <x v="4"/>
          </reference>
          <reference field="6" count="1" selected="0">
            <x v="2"/>
          </reference>
          <reference field="7" count="1" selected="0">
            <x v="31"/>
          </reference>
          <reference field="8" count="1" selected="0">
            <x v="156"/>
          </reference>
          <reference field="15" count="1">
            <x v="304"/>
          </reference>
        </references>
      </pivotArea>
    </format>
    <format dxfId="6001">
      <pivotArea dataOnly="0" labelOnly="1" fieldPosition="0">
        <references count="5">
          <reference field="4" count="1" selected="0">
            <x v="4"/>
          </reference>
          <reference field="6" count="1" selected="0">
            <x v="2"/>
          </reference>
          <reference field="7" count="1" selected="0">
            <x v="31"/>
          </reference>
          <reference field="8" count="1" selected="0">
            <x v="157"/>
          </reference>
          <reference field="15" count="1">
            <x v="302"/>
          </reference>
        </references>
      </pivotArea>
    </format>
    <format dxfId="6000">
      <pivotArea dataOnly="0" labelOnly="1" fieldPosition="0">
        <references count="5">
          <reference field="4" count="1" selected="0">
            <x v="4"/>
          </reference>
          <reference field="6" count="1" selected="0">
            <x v="3"/>
          </reference>
          <reference field="7" count="1" selected="0">
            <x v="0"/>
          </reference>
          <reference field="8" count="1" selected="0">
            <x v="0"/>
          </reference>
          <reference field="15" count="2">
            <x v="125"/>
            <x v="269"/>
          </reference>
        </references>
      </pivotArea>
    </format>
    <format dxfId="5999">
      <pivotArea dataOnly="0" labelOnly="1" fieldPosition="0">
        <references count="5">
          <reference field="4" count="1" selected="0">
            <x v="4"/>
          </reference>
          <reference field="6" count="1" selected="0">
            <x v="3"/>
          </reference>
          <reference field="7" count="1" selected="0">
            <x v="0"/>
          </reference>
          <reference field="8" count="1" selected="0">
            <x v="1"/>
          </reference>
          <reference field="15" count="1">
            <x v="382"/>
          </reference>
        </references>
      </pivotArea>
    </format>
    <format dxfId="5998">
      <pivotArea dataOnly="0" labelOnly="1" fieldPosition="0">
        <references count="5">
          <reference field="4" count="1" selected="0">
            <x v="4"/>
          </reference>
          <reference field="6" count="1" selected="0">
            <x v="3"/>
          </reference>
          <reference field="7" count="1" selected="0">
            <x v="1"/>
          </reference>
          <reference field="8" count="1" selected="0">
            <x v="2"/>
          </reference>
          <reference field="15" count="1">
            <x v="282"/>
          </reference>
        </references>
      </pivotArea>
    </format>
    <format dxfId="5997">
      <pivotArea dataOnly="0" labelOnly="1" fieldPosition="0">
        <references count="5">
          <reference field="4" count="1" selected="0">
            <x v="4"/>
          </reference>
          <reference field="6" count="1" selected="0">
            <x v="3"/>
          </reference>
          <reference field="7" count="1" selected="0">
            <x v="1"/>
          </reference>
          <reference field="8" count="1" selected="0">
            <x v="3"/>
          </reference>
          <reference field="15" count="1">
            <x v="384"/>
          </reference>
        </references>
      </pivotArea>
    </format>
    <format dxfId="5996">
      <pivotArea dataOnly="0" labelOnly="1" fieldPosition="0">
        <references count="5">
          <reference field="4" count="1" selected="0">
            <x v="4"/>
          </reference>
          <reference field="6" count="1" selected="0">
            <x v="3"/>
          </reference>
          <reference field="7" count="1" selected="0">
            <x v="1"/>
          </reference>
          <reference field="8" count="1" selected="0">
            <x v="4"/>
          </reference>
          <reference field="15" count="1">
            <x v="298"/>
          </reference>
        </references>
      </pivotArea>
    </format>
    <format dxfId="5995">
      <pivotArea dataOnly="0" labelOnly="1" fieldPosition="0">
        <references count="5">
          <reference field="4" count="1" selected="0">
            <x v="4"/>
          </reference>
          <reference field="6" count="1" selected="0">
            <x v="3"/>
          </reference>
          <reference field="7" count="1" selected="0">
            <x v="1"/>
          </reference>
          <reference field="8" count="1" selected="0">
            <x v="5"/>
          </reference>
          <reference field="15" count="2">
            <x v="381"/>
            <x v="383"/>
          </reference>
        </references>
      </pivotArea>
    </format>
    <format dxfId="5994">
      <pivotArea dataOnly="0" labelOnly="1" fieldPosition="0">
        <references count="5">
          <reference field="4" count="1" selected="0">
            <x v="5"/>
          </reference>
          <reference field="6" count="1" selected="0">
            <x v="0"/>
          </reference>
          <reference field="7" count="1" selected="0">
            <x v="18"/>
          </reference>
          <reference field="8" count="1" selected="0">
            <x v="73"/>
          </reference>
          <reference field="15" count="3">
            <x v="245"/>
            <x v="246"/>
            <x v="313"/>
          </reference>
        </references>
      </pivotArea>
    </format>
    <format dxfId="5993">
      <pivotArea dataOnly="0" labelOnly="1" fieldPosition="0">
        <references count="5">
          <reference field="4" count="1" selected="0">
            <x v="5"/>
          </reference>
          <reference field="6" count="1" selected="0">
            <x v="0"/>
          </reference>
          <reference field="7" count="1" selected="0">
            <x v="18"/>
          </reference>
          <reference field="8" count="1" selected="0">
            <x v="74"/>
          </reference>
          <reference field="15" count="1">
            <x v="230"/>
          </reference>
        </references>
      </pivotArea>
    </format>
    <format dxfId="5992">
      <pivotArea dataOnly="0" labelOnly="1" fieldPosition="0">
        <references count="5">
          <reference field="4" count="1" selected="0">
            <x v="5"/>
          </reference>
          <reference field="6" count="1" selected="0">
            <x v="0"/>
          </reference>
          <reference field="7" count="1" selected="0">
            <x v="18"/>
          </reference>
          <reference field="8" count="1" selected="0">
            <x v="77"/>
          </reference>
          <reference field="15" count="2">
            <x v="276"/>
            <x v="277"/>
          </reference>
        </references>
      </pivotArea>
    </format>
    <format dxfId="5991">
      <pivotArea dataOnly="0" labelOnly="1" fieldPosition="0">
        <references count="5">
          <reference field="4" count="1" selected="0">
            <x v="5"/>
          </reference>
          <reference field="6" count="1" selected="0">
            <x v="0"/>
          </reference>
          <reference field="7" count="1" selected="0">
            <x v="22"/>
          </reference>
          <reference field="8" count="1" selected="0">
            <x v="94"/>
          </reference>
          <reference field="15" count="1">
            <x v="164"/>
          </reference>
        </references>
      </pivotArea>
    </format>
    <format dxfId="5990">
      <pivotArea dataOnly="0" labelOnly="1" fieldPosition="0">
        <references count="5">
          <reference field="4" count="1" selected="0">
            <x v="5"/>
          </reference>
          <reference field="6" count="1" selected="0">
            <x v="4"/>
          </reference>
          <reference field="7" count="1" selected="0">
            <x v="8"/>
          </reference>
          <reference field="8" count="1" selected="0">
            <x v="37"/>
          </reference>
          <reference field="15" count="1">
            <x v="222"/>
          </reference>
        </references>
      </pivotArea>
    </format>
    <format dxfId="5989">
      <pivotArea dataOnly="0" labelOnly="1" fieldPosition="0">
        <references count="5">
          <reference field="4" count="1" selected="0">
            <x v="6"/>
          </reference>
          <reference field="6" count="1" selected="0">
            <x v="1"/>
          </reference>
          <reference field="7" count="1" selected="0">
            <x v="24"/>
          </reference>
          <reference field="8" count="1" selected="0">
            <x v="105"/>
          </reference>
          <reference field="15" count="13">
            <x v="24"/>
            <x v="25"/>
            <x v="31"/>
            <x v="37"/>
            <x v="44"/>
            <x v="45"/>
            <x v="48"/>
            <x v="49"/>
            <x v="50"/>
            <x v="56"/>
            <x v="66"/>
            <x v="100"/>
            <x v="101"/>
          </reference>
        </references>
      </pivotArea>
    </format>
    <format dxfId="5988">
      <pivotArea dataOnly="0" labelOnly="1" fieldPosition="0">
        <references count="5">
          <reference field="4" count="1" selected="0">
            <x v="6"/>
          </reference>
          <reference field="6" count="1" selected="0">
            <x v="1"/>
          </reference>
          <reference field="7" count="1" selected="0">
            <x v="24"/>
          </reference>
          <reference field="8" count="1" selected="0">
            <x v="107"/>
          </reference>
          <reference field="15" count="3">
            <x v="118"/>
            <x v="123"/>
            <x v="165"/>
          </reference>
        </references>
      </pivotArea>
    </format>
    <format dxfId="5987">
      <pivotArea dataOnly="0" labelOnly="1" fieldPosition="0">
        <references count="5">
          <reference field="4" count="1" selected="0">
            <x v="6"/>
          </reference>
          <reference field="6" count="1" selected="0">
            <x v="1"/>
          </reference>
          <reference field="7" count="1" selected="0">
            <x v="24"/>
          </reference>
          <reference field="8" count="1" selected="0">
            <x v="108"/>
          </reference>
          <reference field="15" count="2">
            <x v="97"/>
            <x v="119"/>
          </reference>
        </references>
      </pivotArea>
    </format>
    <format dxfId="5986">
      <pivotArea dataOnly="0" labelOnly="1" fieldPosition="0">
        <references count="5">
          <reference field="4" count="1" selected="0">
            <x v="6"/>
          </reference>
          <reference field="6" count="1" selected="0">
            <x v="1"/>
          </reference>
          <reference field="7" count="1" selected="0">
            <x v="24"/>
          </reference>
          <reference field="8" count="1" selected="0">
            <x v="109"/>
          </reference>
          <reference field="15" count="2">
            <x v="96"/>
            <x v="327"/>
          </reference>
        </references>
      </pivotArea>
    </format>
    <format dxfId="5985">
      <pivotArea dataOnly="0" labelOnly="1" fieldPosition="0">
        <references count="5">
          <reference field="4" count="1" selected="0">
            <x v="6"/>
          </reference>
          <reference field="6" count="1" selected="0">
            <x v="1"/>
          </reference>
          <reference field="7" count="1" selected="0">
            <x v="24"/>
          </reference>
          <reference field="8" count="1" selected="0">
            <x v="110"/>
          </reference>
          <reference field="15" count="2">
            <x v="115"/>
            <x v="324"/>
          </reference>
        </references>
      </pivotArea>
    </format>
    <format dxfId="5984">
      <pivotArea dataOnly="0" labelOnly="1" fieldPosition="0">
        <references count="5">
          <reference field="4" count="1" selected="0">
            <x v="6"/>
          </reference>
          <reference field="6" count="1" selected="0">
            <x v="1"/>
          </reference>
          <reference field="7" count="1" selected="0">
            <x v="24"/>
          </reference>
          <reference field="8" count="1" selected="0">
            <x v="111"/>
          </reference>
          <reference field="15" count="1">
            <x v="326"/>
          </reference>
        </references>
      </pivotArea>
    </format>
    <format dxfId="5983">
      <pivotArea dataOnly="0" labelOnly="1" fieldPosition="0">
        <references count="5">
          <reference field="4" count="1" selected="0">
            <x v="6"/>
          </reference>
          <reference field="6" count="1" selected="0">
            <x v="1"/>
          </reference>
          <reference field="7" count="1" selected="0">
            <x v="24"/>
          </reference>
          <reference field="8" count="1" selected="0">
            <x v="112"/>
          </reference>
          <reference field="15" count="5">
            <x v="80"/>
            <x v="120"/>
            <x v="121"/>
            <x v="122"/>
            <x v="135"/>
          </reference>
        </references>
      </pivotArea>
    </format>
    <format dxfId="5982">
      <pivotArea dataOnly="0" labelOnly="1" fieldPosition="0">
        <references count="5">
          <reference field="4" count="1" selected="0">
            <x v="6"/>
          </reference>
          <reference field="6" count="1" selected="0">
            <x v="1"/>
          </reference>
          <reference field="7" count="1" selected="0">
            <x v="24"/>
          </reference>
          <reference field="8" count="1" selected="0">
            <x v="113"/>
          </reference>
          <reference field="15" count="3">
            <x v="67"/>
            <x v="84"/>
            <x v="166"/>
          </reference>
        </references>
      </pivotArea>
    </format>
    <format dxfId="5981">
      <pivotArea dataOnly="0" labelOnly="1" fieldPosition="0">
        <references count="5">
          <reference field="4" count="1" selected="0">
            <x v="7"/>
          </reference>
          <reference field="6" count="1" selected="0">
            <x v="0"/>
          </reference>
          <reference field="7" count="1" selected="0">
            <x v="16"/>
          </reference>
          <reference field="8" count="1" selected="0">
            <x v="64"/>
          </reference>
          <reference field="15" count="3">
            <x v="274"/>
            <x v="278"/>
            <x v="325"/>
          </reference>
        </references>
      </pivotArea>
    </format>
    <format dxfId="5980">
      <pivotArea dataOnly="0" labelOnly="1" fieldPosition="0">
        <references count="5">
          <reference field="4" count="1" selected="0">
            <x v="7"/>
          </reference>
          <reference field="6" count="1" selected="0">
            <x v="2"/>
          </reference>
          <reference field="7" count="1" selected="0">
            <x v="29"/>
          </reference>
          <reference field="8" count="1" selected="0">
            <x v="140"/>
          </reference>
          <reference field="15" count="1">
            <x v="53"/>
          </reference>
        </references>
      </pivotArea>
    </format>
    <format dxfId="5979">
      <pivotArea dataOnly="0" labelOnly="1" fieldPosition="0">
        <references count="5">
          <reference field="4" count="1" selected="0">
            <x v="7"/>
          </reference>
          <reference field="6" count="1" selected="0">
            <x v="2"/>
          </reference>
          <reference field="7" count="1" selected="0">
            <x v="29"/>
          </reference>
          <reference field="8" count="1" selected="0">
            <x v="141"/>
          </reference>
          <reference field="15" count="1">
            <x v="279"/>
          </reference>
        </references>
      </pivotArea>
    </format>
    <format dxfId="5978">
      <pivotArea dataOnly="0" labelOnly="1" fieldPosition="0">
        <references count="5">
          <reference field="4" count="1" selected="0">
            <x v="7"/>
          </reference>
          <reference field="6" count="1" selected="0">
            <x v="2"/>
          </reference>
          <reference field="7" count="1" selected="0">
            <x v="29"/>
          </reference>
          <reference field="8" count="1" selected="0">
            <x v="144"/>
          </reference>
          <reference field="15" count="1">
            <x v="52"/>
          </reference>
        </references>
      </pivotArea>
    </format>
    <format dxfId="5977">
      <pivotArea dataOnly="0" labelOnly="1" fieldPosition="0">
        <references count="5">
          <reference field="4" count="1" selected="0">
            <x v="7"/>
          </reference>
          <reference field="6" count="1" selected="0">
            <x v="2"/>
          </reference>
          <reference field="7" count="1" selected="0">
            <x v="29"/>
          </reference>
          <reference field="8" count="1" selected="0">
            <x v="145"/>
          </reference>
          <reference field="15" count="1">
            <x v="51"/>
          </reference>
        </references>
      </pivotArea>
    </format>
    <format dxfId="5976">
      <pivotArea dataOnly="0" labelOnly="1" fieldPosition="0">
        <references count="5">
          <reference field="4" count="1" selected="0">
            <x v="7"/>
          </reference>
          <reference field="6" count="1" selected="0">
            <x v="2"/>
          </reference>
          <reference field="7" count="1" selected="0">
            <x v="30"/>
          </reference>
          <reference field="8" count="1" selected="0">
            <x v="154"/>
          </reference>
          <reference field="15" count="1">
            <x v="275"/>
          </reference>
        </references>
      </pivotArea>
    </format>
    <format dxfId="5975">
      <pivotArea dataOnly="0" labelOnly="1" fieldPosition="0">
        <references count="5">
          <reference field="4" count="1" selected="0">
            <x v="7"/>
          </reference>
          <reference field="6" count="1" selected="0">
            <x v="3"/>
          </reference>
          <reference field="7" count="1" selected="0">
            <x v="6"/>
          </reference>
          <reference field="8" count="1" selected="0">
            <x v="28"/>
          </reference>
          <reference field="15" count="3">
            <x v="318"/>
            <x v="319"/>
            <x v="320"/>
          </reference>
        </references>
      </pivotArea>
    </format>
    <format dxfId="5974">
      <pivotArea dataOnly="0" labelOnly="1" fieldPosition="0">
        <references count="5">
          <reference field="4" count="1" selected="0">
            <x v="7"/>
          </reference>
          <reference field="6" count="1" selected="0">
            <x v="4"/>
          </reference>
          <reference field="7" count="1" selected="0">
            <x v="8"/>
          </reference>
          <reference field="8" count="1" selected="0">
            <x v="35"/>
          </reference>
          <reference field="15" count="1">
            <x v="337"/>
          </reference>
        </references>
      </pivotArea>
    </format>
    <format dxfId="5973">
      <pivotArea dataOnly="0" labelOnly="1" fieldPosition="0">
        <references count="5">
          <reference field="4" count="1" selected="0">
            <x v="7"/>
          </reference>
          <reference field="6" count="1" selected="0">
            <x v="4"/>
          </reference>
          <reference field="7" count="1" selected="0">
            <x v="8"/>
          </reference>
          <reference field="8" count="1" selected="0">
            <x v="36"/>
          </reference>
          <reference field="15" count="1">
            <x v="280"/>
          </reference>
        </references>
      </pivotArea>
    </format>
    <format dxfId="5972">
      <pivotArea dataOnly="0" labelOnly="1" fieldPosition="0">
        <references count="5">
          <reference field="4" count="1" selected="0">
            <x v="7"/>
          </reference>
          <reference field="6" count="1" selected="0">
            <x v="4"/>
          </reference>
          <reference field="7" count="1" selected="0">
            <x v="9"/>
          </reference>
          <reference field="8" count="1" selected="0">
            <x v="40"/>
          </reference>
          <reference field="15" count="3">
            <x v="311"/>
            <x v="312"/>
            <x v="334"/>
          </reference>
        </references>
      </pivotArea>
    </format>
    <format dxfId="5971">
      <pivotArea dataOnly="0" labelOnly="1" fieldPosition="0">
        <references count="5">
          <reference field="4" count="1" selected="0">
            <x v="7"/>
          </reference>
          <reference field="6" count="1" selected="0">
            <x v="4"/>
          </reference>
          <reference field="7" count="1" selected="0">
            <x v="9"/>
          </reference>
          <reference field="8" count="1" selected="0">
            <x v="41"/>
          </reference>
          <reference field="15" count="1">
            <x v="328"/>
          </reference>
        </references>
      </pivotArea>
    </format>
    <format dxfId="5970">
      <pivotArea dataOnly="0" labelOnly="1" fieldPosition="0">
        <references count="5">
          <reference field="4" count="1" selected="0">
            <x v="7"/>
          </reference>
          <reference field="6" count="1" selected="0">
            <x v="4"/>
          </reference>
          <reference field="7" count="1" selected="0">
            <x v="9"/>
          </reference>
          <reference field="8" count="1" selected="0">
            <x v="42"/>
          </reference>
          <reference field="15" count="1">
            <x v="329"/>
          </reference>
        </references>
      </pivotArea>
    </format>
    <format dxfId="5969">
      <pivotArea dataOnly="0" labelOnly="1" fieldPosition="0">
        <references count="5">
          <reference field="4" count="1" selected="0">
            <x v="7"/>
          </reference>
          <reference field="6" count="1" selected="0">
            <x v="4"/>
          </reference>
          <reference field="7" count="1" selected="0">
            <x v="9"/>
          </reference>
          <reference field="8" count="1" selected="0">
            <x v="43"/>
          </reference>
          <reference field="15" count="1">
            <x v="321"/>
          </reference>
        </references>
      </pivotArea>
    </format>
    <format dxfId="5968">
      <pivotArea dataOnly="0" labelOnly="1" fieldPosition="0">
        <references count="5">
          <reference field="4" count="1" selected="0">
            <x v="7"/>
          </reference>
          <reference field="6" count="1" selected="0">
            <x v="4"/>
          </reference>
          <reference field="7" count="1" selected="0">
            <x v="10"/>
          </reference>
          <reference field="8" count="1" selected="0">
            <x v="44"/>
          </reference>
          <reference field="15" count="2">
            <x v="57"/>
            <x v="58"/>
          </reference>
        </references>
      </pivotArea>
    </format>
    <format dxfId="5967">
      <pivotArea dataOnly="0" labelOnly="1" fieldPosition="0">
        <references count="5">
          <reference field="4" count="1" selected="0">
            <x v="7"/>
          </reference>
          <reference field="6" count="1" selected="0">
            <x v="4"/>
          </reference>
          <reference field="7" count="1" selected="0">
            <x v="10"/>
          </reference>
          <reference field="8" count="1" selected="0">
            <x v="45"/>
          </reference>
          <reference field="15" count="1">
            <x v="55"/>
          </reference>
        </references>
      </pivotArea>
    </format>
    <format dxfId="5966">
      <pivotArea dataOnly="0" labelOnly="1" fieldPosition="0">
        <references count="5">
          <reference field="4" count="1" selected="0">
            <x v="7"/>
          </reference>
          <reference field="6" count="1" selected="0">
            <x v="4"/>
          </reference>
          <reference field="7" count="1" selected="0">
            <x v="10"/>
          </reference>
          <reference field="8" count="1" selected="0">
            <x v="46"/>
          </reference>
          <reference field="15" count="1">
            <x v="59"/>
          </reference>
        </references>
      </pivotArea>
    </format>
    <format dxfId="5965">
      <pivotArea dataOnly="0" labelOnly="1" fieldPosition="0">
        <references count="5">
          <reference field="4" count="1" selected="0">
            <x v="7"/>
          </reference>
          <reference field="6" count="1" selected="0">
            <x v="4"/>
          </reference>
          <reference field="7" count="1" selected="0">
            <x v="10"/>
          </reference>
          <reference field="8" count="1" selected="0">
            <x v="47"/>
          </reference>
          <reference field="15" count="1">
            <x v="54"/>
          </reference>
        </references>
      </pivotArea>
    </format>
    <format dxfId="5964">
      <pivotArea dataOnly="0" labelOnly="1" fieldPosition="0">
        <references count="5">
          <reference field="4" count="1" selected="0">
            <x v="7"/>
          </reference>
          <reference field="6" count="1" selected="0">
            <x v="4"/>
          </reference>
          <reference field="7" count="1" selected="0">
            <x v="11"/>
          </reference>
          <reference field="8" count="1" selected="0">
            <x v="48"/>
          </reference>
          <reference field="15" count="1">
            <x v="88"/>
          </reference>
        </references>
      </pivotArea>
    </format>
    <format dxfId="5963">
      <pivotArea dataOnly="0" labelOnly="1" fieldPosition="0">
        <references count="5">
          <reference field="4" count="1" selected="0">
            <x v="7"/>
          </reference>
          <reference field="6" count="1" selected="0">
            <x v="4"/>
          </reference>
          <reference field="7" count="1" selected="0">
            <x v="11"/>
          </reference>
          <reference field="8" count="1" selected="0">
            <x v="49"/>
          </reference>
          <reference field="15" count="1">
            <x v="86"/>
          </reference>
        </references>
      </pivotArea>
    </format>
    <format dxfId="5962">
      <pivotArea dataOnly="0" labelOnly="1" fieldPosition="0">
        <references count="5">
          <reference field="4" count="1" selected="0">
            <x v="7"/>
          </reference>
          <reference field="6" count="1" selected="0">
            <x v="4"/>
          </reference>
          <reference field="7" count="1" selected="0">
            <x v="12"/>
          </reference>
          <reference field="8" count="1" selected="0">
            <x v="50"/>
          </reference>
          <reference field="15" count="3">
            <x v="64"/>
            <x v="65"/>
            <x v="136"/>
          </reference>
        </references>
      </pivotArea>
    </format>
    <format dxfId="5961">
      <pivotArea dataOnly="0" labelOnly="1" fieldPosition="0">
        <references count="5">
          <reference field="4" count="1" selected="0">
            <x v="7"/>
          </reference>
          <reference field="6" count="1" selected="0">
            <x v="4"/>
          </reference>
          <reference field="7" count="1" selected="0">
            <x v="13"/>
          </reference>
          <reference field="8" count="1" selected="0">
            <x v="51"/>
          </reference>
          <reference field="15" count="1">
            <x v="307"/>
          </reference>
        </references>
      </pivotArea>
    </format>
    <format dxfId="5960">
      <pivotArea dataOnly="0" labelOnly="1" fieldPosition="0">
        <references count="5">
          <reference field="4" count="1" selected="0">
            <x v="7"/>
          </reference>
          <reference field="6" count="1" selected="0">
            <x v="4"/>
          </reference>
          <reference field="7" count="1" selected="0">
            <x v="13"/>
          </reference>
          <reference field="8" count="1" selected="0">
            <x v="52"/>
          </reference>
          <reference field="15" count="1">
            <x v="309"/>
          </reference>
        </references>
      </pivotArea>
    </format>
    <format dxfId="5959">
      <pivotArea dataOnly="0" labelOnly="1" fieldPosition="0">
        <references count="5">
          <reference field="4" count="1" selected="0">
            <x v="7"/>
          </reference>
          <reference field="6" count="1" selected="0">
            <x v="4"/>
          </reference>
          <reference field="7" count="1" selected="0">
            <x v="13"/>
          </reference>
          <reference field="8" count="1" selected="0">
            <x v="53"/>
          </reference>
          <reference field="15" count="1">
            <x v="308"/>
          </reference>
        </references>
      </pivotArea>
    </format>
    <format dxfId="5958">
      <pivotArea dataOnly="0" labelOnly="1" fieldPosition="0">
        <references count="5">
          <reference field="4" count="1" selected="0">
            <x v="7"/>
          </reference>
          <reference field="6" count="1" selected="0">
            <x v="4"/>
          </reference>
          <reference field="7" count="1" selected="0">
            <x v="14"/>
          </reference>
          <reference field="8" count="1" selected="0">
            <x v="54"/>
          </reference>
          <reference field="15" count="1">
            <x v="281"/>
          </reference>
        </references>
      </pivotArea>
    </format>
    <format dxfId="5957">
      <pivotArea dataOnly="0" labelOnly="1" fieldPosition="0">
        <references count="5">
          <reference field="4" count="1" selected="0">
            <x v="7"/>
          </reference>
          <reference field="6" count="1" selected="0">
            <x v="4"/>
          </reference>
          <reference field="7" count="1" selected="0">
            <x v="14"/>
          </reference>
          <reference field="8" count="1" selected="0">
            <x v="55"/>
          </reference>
          <reference field="15" count="1">
            <x v="138"/>
          </reference>
        </references>
      </pivotArea>
    </format>
    <format dxfId="5956">
      <pivotArea dataOnly="0" labelOnly="1" fieldPosition="0">
        <references count="5">
          <reference field="4" count="1" selected="0">
            <x v="7"/>
          </reference>
          <reference field="6" count="1" selected="0">
            <x v="4"/>
          </reference>
          <reference field="7" count="1" selected="0">
            <x v="15"/>
          </reference>
          <reference field="8" count="1" selected="0">
            <x v="56"/>
          </reference>
          <reference field="15" count="2">
            <x v="335"/>
            <x v="336"/>
          </reference>
        </references>
      </pivotArea>
    </format>
    <format dxfId="5955">
      <pivotArea dataOnly="0" labelOnly="1" fieldPosition="0">
        <references count="5">
          <reference field="4" count="1" selected="0">
            <x v="8"/>
          </reference>
          <reference field="6" count="1" selected="0">
            <x v="0"/>
          </reference>
          <reference field="7" count="1" selected="0">
            <x v="18"/>
          </reference>
          <reference field="8" count="1" selected="0">
            <x v="77"/>
          </reference>
          <reference field="15" count="1">
            <x v="290"/>
          </reference>
        </references>
      </pivotArea>
    </format>
    <format dxfId="5954">
      <pivotArea dataOnly="0" labelOnly="1" fieldPosition="0">
        <references count="5">
          <reference field="4" count="1" selected="0">
            <x v="8"/>
          </reference>
          <reference field="6" count="1" selected="0">
            <x v="0"/>
          </reference>
          <reference field="7" count="1" selected="0">
            <x v="22"/>
          </reference>
          <reference field="8" count="1" selected="0">
            <x v="92"/>
          </reference>
          <reference field="15" count="4">
            <x v="130"/>
            <x v="359"/>
            <x v="360"/>
            <x v="361"/>
          </reference>
        </references>
      </pivotArea>
    </format>
    <format dxfId="5953">
      <pivotArea dataOnly="0" labelOnly="1" fieldPosition="0">
        <references count="5">
          <reference field="4" count="1" selected="0">
            <x v="8"/>
          </reference>
          <reference field="6" count="1" selected="0">
            <x v="0"/>
          </reference>
          <reference field="7" count="1" selected="0">
            <x v="22"/>
          </reference>
          <reference field="8" count="1" selected="0">
            <x v="93"/>
          </reference>
          <reference field="15" count="1">
            <x v="369"/>
          </reference>
        </references>
      </pivotArea>
    </format>
    <format dxfId="5952">
      <pivotArea dataOnly="0" labelOnly="1" fieldPosition="0">
        <references count="5">
          <reference field="4" count="1" selected="0">
            <x v="8"/>
          </reference>
          <reference field="6" count="1" selected="0">
            <x v="0"/>
          </reference>
          <reference field="7" count="1" selected="0">
            <x v="22"/>
          </reference>
          <reference field="8" count="1" selected="0">
            <x v="94"/>
          </reference>
          <reference field="15" count="1">
            <x v="273"/>
          </reference>
        </references>
      </pivotArea>
    </format>
    <format dxfId="5951">
      <pivotArea dataOnly="0" labelOnly="1" fieldPosition="0">
        <references count="5">
          <reference field="4" count="1" selected="0">
            <x v="8"/>
          </reference>
          <reference field="6" count="1" selected="0">
            <x v="1"/>
          </reference>
          <reference field="7" count="1" selected="0">
            <x v="28"/>
          </reference>
          <reference field="8" count="1" selected="0">
            <x v="138"/>
          </reference>
          <reference field="15" count="3">
            <x v="270"/>
            <x v="343"/>
            <x v="355"/>
          </reference>
        </references>
      </pivotArea>
    </format>
    <format dxfId="5950">
      <pivotArea dataOnly="0" labelOnly="1" fieldPosition="0">
        <references count="5">
          <reference field="4" count="1" selected="0">
            <x v="8"/>
          </reference>
          <reference field="6" count="1" selected="0">
            <x v="1"/>
          </reference>
          <reference field="7" count="1" selected="0">
            <x v="28"/>
          </reference>
          <reference field="8" count="1" selected="0">
            <x v="139"/>
          </reference>
          <reference field="15" count="1">
            <x v="147"/>
          </reference>
        </references>
      </pivotArea>
    </format>
    <format dxfId="5949">
      <pivotArea dataOnly="0" labelOnly="1" fieldPosition="0">
        <references count="5">
          <reference field="4" count="1" selected="0">
            <x v="8"/>
          </reference>
          <reference field="6" count="1" selected="0">
            <x v="2"/>
          </reference>
          <reference field="7" count="1" selected="0">
            <x v="32"/>
          </reference>
          <reference field="8" count="1" selected="0">
            <x v="158"/>
          </reference>
          <reference field="15" count="1">
            <x v="344"/>
          </reference>
        </references>
      </pivotArea>
    </format>
    <format dxfId="5948">
      <pivotArea dataOnly="0" labelOnly="1" fieldPosition="0">
        <references count="5">
          <reference field="4" count="1" selected="0">
            <x v="8"/>
          </reference>
          <reference field="6" count="1" selected="0">
            <x v="2"/>
          </reference>
          <reference field="7" count="1" selected="0">
            <x v="32"/>
          </reference>
          <reference field="8" count="1" selected="0">
            <x v="159"/>
          </reference>
          <reference field="15" count="1">
            <x v="137"/>
          </reference>
        </references>
      </pivotArea>
    </format>
    <format dxfId="5947">
      <pivotArea dataOnly="0" labelOnly="1" fieldPosition="0">
        <references count="5">
          <reference field="4" count="1" selected="0">
            <x v="8"/>
          </reference>
          <reference field="6" count="1" selected="0">
            <x v="3"/>
          </reference>
          <reference field="7" count="1" selected="0">
            <x v="6"/>
          </reference>
          <reference field="8" count="1" selected="0">
            <x v="29"/>
          </reference>
          <reference field="15" count="4">
            <x v="145"/>
            <x v="146"/>
            <x v="356"/>
            <x v="357"/>
          </reference>
        </references>
      </pivotArea>
    </format>
    <format dxfId="5946">
      <pivotArea dataOnly="0" labelOnly="1" fieldPosition="0">
        <references count="5">
          <reference field="4" count="1" selected="0">
            <x v="8"/>
          </reference>
          <reference field="6" count="1" selected="0">
            <x v="3"/>
          </reference>
          <reference field="7" count="1" selected="0">
            <x v="6"/>
          </reference>
          <reference field="8" count="1" selected="0">
            <x v="30"/>
          </reference>
          <reference field="15" count="2">
            <x v="267"/>
            <x v="268"/>
          </reference>
        </references>
      </pivotArea>
    </format>
    <format dxfId="5945">
      <pivotArea dataOnly="0" labelOnly="1" fieldPosition="0">
        <references count="5">
          <reference field="4" count="1" selected="0">
            <x v="9"/>
          </reference>
          <reference field="6" count="1" selected="0">
            <x v="1"/>
          </reference>
          <reference field="7" count="1" selected="0">
            <x v="25"/>
          </reference>
          <reference field="8" count="1" selected="0">
            <x v="115"/>
          </reference>
          <reference field="15" count="13">
            <x v="35"/>
            <x v="36"/>
            <x v="63"/>
            <x v="72"/>
            <x v="77"/>
            <x v="238"/>
            <x v="241"/>
            <x v="242"/>
            <x v="243"/>
            <x v="247"/>
            <x v="248"/>
            <x v="260"/>
            <x v="262"/>
          </reference>
        </references>
      </pivotArea>
    </format>
    <format dxfId="5944">
      <pivotArea dataOnly="0" labelOnly="1" fieldPosition="0">
        <references count="5">
          <reference field="4" count="1" selected="0">
            <x v="9"/>
          </reference>
          <reference field="6" count="1" selected="0">
            <x v="1"/>
          </reference>
          <reference field="7" count="1" selected="0">
            <x v="25"/>
          </reference>
          <reference field="8" count="1" selected="0">
            <x v="116"/>
          </reference>
          <reference field="15" count="1">
            <x v="61"/>
          </reference>
        </references>
      </pivotArea>
    </format>
    <format dxfId="5943">
      <pivotArea dataOnly="0" labelOnly="1" fieldPosition="0">
        <references count="5">
          <reference field="4" count="1" selected="0">
            <x v="9"/>
          </reference>
          <reference field="6" count="1" selected="0">
            <x v="1"/>
          </reference>
          <reference field="7" count="1" selected="0">
            <x v="25"/>
          </reference>
          <reference field="8" count="1" selected="0">
            <x v="117"/>
          </reference>
          <reference field="15" count="2">
            <x v="92"/>
            <x v="249"/>
          </reference>
        </references>
      </pivotArea>
    </format>
    <format dxfId="5942">
      <pivotArea dataOnly="0" labelOnly="1" fieldPosition="0">
        <references count="5">
          <reference field="4" count="1" selected="0">
            <x v="9"/>
          </reference>
          <reference field="6" count="1" selected="0">
            <x v="1"/>
          </reference>
          <reference field="7" count="1" selected="0">
            <x v="25"/>
          </reference>
          <reference field="8" count="1" selected="0">
            <x v="118"/>
          </reference>
          <reference field="15" count="3">
            <x v="71"/>
            <x v="87"/>
            <x v="91"/>
          </reference>
        </references>
      </pivotArea>
    </format>
    <format dxfId="5941">
      <pivotArea dataOnly="0" labelOnly="1" fieldPosition="0">
        <references count="5">
          <reference field="4" count="1" selected="0">
            <x v="9"/>
          </reference>
          <reference field="6" count="1" selected="0">
            <x v="1"/>
          </reference>
          <reference field="7" count="1" selected="0">
            <x v="25"/>
          </reference>
          <reference field="8" count="1" selected="0">
            <x v="119"/>
          </reference>
          <reference field="15" count="4">
            <x v="62"/>
            <x v="68"/>
            <x v="69"/>
            <x v="70"/>
          </reference>
        </references>
      </pivotArea>
    </format>
    <format dxfId="5940">
      <pivotArea dataOnly="0" labelOnly="1" fieldPosition="0">
        <references count="5">
          <reference field="4" count="1" selected="0">
            <x v="9"/>
          </reference>
          <reference field="6" count="1" selected="0">
            <x v="1"/>
          </reference>
          <reference field="7" count="1" selected="0">
            <x v="25"/>
          </reference>
          <reference field="8" count="1" selected="0">
            <x v="120"/>
          </reference>
          <reference field="15" count="1">
            <x v="85"/>
          </reference>
        </references>
      </pivotArea>
    </format>
    <format dxfId="5939">
      <pivotArea dataOnly="0" labelOnly="1" fieldPosition="0">
        <references count="5">
          <reference field="4" count="1" selected="0">
            <x v="9"/>
          </reference>
          <reference field="6" count="1" selected="0">
            <x v="1"/>
          </reference>
          <reference field="7" count="1" selected="0">
            <x v="25"/>
          </reference>
          <reference field="8" count="1" selected="0">
            <x v="121"/>
          </reference>
          <reference field="15" count="2">
            <x v="41"/>
            <x v="78"/>
          </reference>
        </references>
      </pivotArea>
    </format>
    <format dxfId="5938">
      <pivotArea dataOnly="0" labelOnly="1" fieldPosition="0">
        <references count="5">
          <reference field="4" count="1" selected="0">
            <x v="9"/>
          </reference>
          <reference field="6" count="1" selected="0">
            <x v="1"/>
          </reference>
          <reference field="7" count="1" selected="0">
            <x v="25"/>
          </reference>
          <reference field="8" count="1" selected="0">
            <x v="122"/>
          </reference>
          <reference field="15" count="2">
            <x v="38"/>
            <x v="39"/>
          </reference>
        </references>
      </pivotArea>
    </format>
    <format dxfId="5937">
      <pivotArea dataOnly="0" labelOnly="1" fieldPosition="0">
        <references count="5">
          <reference field="4" count="1" selected="0">
            <x v="9"/>
          </reference>
          <reference field="6" count="1" selected="0">
            <x v="1"/>
          </reference>
          <reference field="7" count="1" selected="0">
            <x v="25"/>
          </reference>
          <reference field="8" count="1" selected="0">
            <x v="123"/>
          </reference>
          <reference field="15" count="7">
            <x v="32"/>
            <x v="33"/>
            <x v="60"/>
            <x v="82"/>
            <x v="83"/>
            <x v="89"/>
            <x v="90"/>
          </reference>
        </references>
      </pivotArea>
    </format>
    <format dxfId="5936">
      <pivotArea dataOnly="0" labelOnly="1" fieldPosition="0">
        <references count="5">
          <reference field="4" count="1" selected="0">
            <x v="9"/>
          </reference>
          <reference field="6" count="1" selected="0">
            <x v="1"/>
          </reference>
          <reference field="7" count="1" selected="0">
            <x v="25"/>
          </reference>
          <reference field="8" count="1" selected="0">
            <x v="124"/>
          </reference>
          <reference field="15" count="1">
            <x v="261"/>
          </reference>
        </references>
      </pivotArea>
    </format>
    <format dxfId="5935">
      <pivotArea dataOnly="0" labelOnly="1" fieldPosition="0">
        <references count="5">
          <reference field="4" count="1" selected="0">
            <x v="10"/>
          </reference>
          <reference field="6" count="1" selected="0">
            <x v="3"/>
          </reference>
          <reference field="7" count="1" selected="0">
            <x v="6"/>
          </reference>
          <reference field="8" count="1" selected="0">
            <x v="29"/>
          </reference>
          <reference field="15" count="21">
            <x v="2"/>
            <x v="3"/>
            <x v="5"/>
            <x v="152"/>
            <x v="153"/>
            <x v="154"/>
            <x v="155"/>
            <x v="156"/>
            <x v="157"/>
            <x v="158"/>
            <x v="159"/>
            <x v="160"/>
            <x v="161"/>
            <x v="162"/>
            <x v="163"/>
            <x v="189"/>
            <x v="190"/>
            <x v="191"/>
            <x v="192"/>
            <x v="193"/>
            <x v="395"/>
          </reference>
        </references>
      </pivotArea>
    </format>
    <format dxfId="5934">
      <pivotArea dataOnly="0" labelOnly="1" fieldPosition="0">
        <references count="5">
          <reference field="4" count="1" selected="0">
            <x v="11"/>
          </reference>
          <reference field="6" count="1" selected="0">
            <x v="0"/>
          </reference>
          <reference field="7" count="1" selected="0">
            <x v="17"/>
          </reference>
          <reference field="8" count="1" selected="0">
            <x v="70"/>
          </reference>
          <reference field="15" count="4">
            <x v="345"/>
            <x v="346"/>
            <x v="347"/>
            <x v="351"/>
          </reference>
        </references>
      </pivotArea>
    </format>
    <format dxfId="5933">
      <pivotArea dataOnly="0" labelOnly="1" fieldPosition="0">
        <references count="5">
          <reference field="4" count="1" selected="0">
            <x v="11"/>
          </reference>
          <reference field="6" count="1" selected="0">
            <x v="0"/>
          </reference>
          <reference field="7" count="1" selected="0">
            <x v="17"/>
          </reference>
          <reference field="8" count="1" selected="0">
            <x v="71"/>
          </reference>
          <reference field="15" count="3">
            <x v="348"/>
            <x v="352"/>
            <x v="353"/>
          </reference>
        </references>
      </pivotArea>
    </format>
    <format dxfId="5932">
      <pivotArea dataOnly="0" labelOnly="1" fieldPosition="0">
        <references count="5">
          <reference field="4" count="1" selected="0">
            <x v="11"/>
          </reference>
          <reference field="6" count="1" selected="0">
            <x v="0"/>
          </reference>
          <reference field="7" count="1" selected="0">
            <x v="17"/>
          </reference>
          <reference field="8" count="1" selected="0">
            <x v="72"/>
          </reference>
          <reference field="15" count="3">
            <x v="143"/>
            <x v="349"/>
            <x v="350"/>
          </reference>
        </references>
      </pivotArea>
    </format>
    <format dxfId="5931">
      <pivotArea dataOnly="0" labelOnly="1" fieldPosition="0">
        <references count="5">
          <reference field="4" count="1" selected="0">
            <x v="12"/>
          </reference>
          <reference field="6" count="1" selected="0">
            <x v="0"/>
          </reference>
          <reference field="7" count="1" selected="0">
            <x v="18"/>
          </reference>
          <reference field="8" count="1" selected="0">
            <x v="74"/>
          </reference>
          <reference field="15" count="2">
            <x v="113"/>
            <x v="114"/>
          </reference>
        </references>
      </pivotArea>
    </format>
    <format dxfId="5930">
      <pivotArea dataOnly="0" labelOnly="1" fieldPosition="0">
        <references count="5">
          <reference field="4" count="1" selected="0">
            <x v="12"/>
          </reference>
          <reference field="6" count="1" selected="0">
            <x v="0"/>
          </reference>
          <reference field="7" count="1" selected="0">
            <x v="18"/>
          </reference>
          <reference field="8" count="1" selected="0">
            <x v="75"/>
          </reference>
          <reference field="15" count="1">
            <x v="116"/>
          </reference>
        </references>
      </pivotArea>
    </format>
    <format dxfId="5929">
      <pivotArea dataOnly="0" labelOnly="1" fieldPosition="0">
        <references count="5">
          <reference field="4" count="1" selected="0">
            <x v="12"/>
          </reference>
          <reference field="6" count="1" selected="0">
            <x v="0"/>
          </reference>
          <reference field="7" count="1" selected="0">
            <x v="18"/>
          </reference>
          <reference field="8" count="1" selected="0">
            <x v="76"/>
          </reference>
          <reference field="15" count="1">
            <x v="244"/>
          </reference>
        </references>
      </pivotArea>
    </format>
    <format dxfId="5928">
      <pivotArea dataOnly="0" labelOnly="1" fieldPosition="0">
        <references count="5">
          <reference field="4" count="1" selected="0">
            <x v="13"/>
          </reference>
          <reference field="6" count="1" selected="0">
            <x v="3"/>
          </reference>
          <reference field="7" count="1" selected="0">
            <x v="1"/>
          </reference>
          <reference field="8" count="1" selected="0">
            <x v="6"/>
          </reference>
          <reference field="15" count="1">
            <x v="340"/>
          </reference>
        </references>
      </pivotArea>
    </format>
    <format dxfId="5927">
      <pivotArea dataOnly="0" labelOnly="1" fieldPosition="0">
        <references count="5">
          <reference field="4" count="1" selected="0">
            <x v="13"/>
          </reference>
          <reference field="6" count="1" selected="0">
            <x v="3"/>
          </reference>
          <reference field="7" count="1" selected="0">
            <x v="5"/>
          </reference>
          <reference field="8" count="1" selected="0">
            <x v="22"/>
          </reference>
          <reference field="15" count="1">
            <x v="333"/>
          </reference>
        </references>
      </pivotArea>
    </format>
    <format dxfId="5926">
      <pivotArea dataOnly="0" labelOnly="1" fieldPosition="0">
        <references count="5">
          <reference field="4" count="1" selected="0">
            <x v="13"/>
          </reference>
          <reference field="6" count="1" selected="0">
            <x v="3"/>
          </reference>
          <reference field="7" count="1" selected="0">
            <x v="5"/>
          </reference>
          <reference field="8" count="1" selected="0">
            <x v="23"/>
          </reference>
          <reference field="15" count="1">
            <x v="332"/>
          </reference>
        </references>
      </pivotArea>
    </format>
    <format dxfId="5925">
      <pivotArea dataOnly="0" labelOnly="1" fieldPosition="0">
        <references count="5">
          <reference field="4" count="1" selected="0">
            <x v="13"/>
          </reference>
          <reference field="6" count="1" selected="0">
            <x v="3"/>
          </reference>
          <reference field="7" count="1" selected="0">
            <x v="5"/>
          </reference>
          <reference field="8" count="1" selected="0">
            <x v="24"/>
          </reference>
          <reference field="15" count="1">
            <x v="339"/>
          </reference>
        </references>
      </pivotArea>
    </format>
    <format dxfId="5924">
      <pivotArea dataOnly="0" labelOnly="1" fieldPosition="0">
        <references count="5">
          <reference field="4" count="1" selected="0">
            <x v="13"/>
          </reference>
          <reference field="6" count="1" selected="0">
            <x v="3"/>
          </reference>
          <reference field="7" count="1" selected="0">
            <x v="5"/>
          </reference>
          <reference field="8" count="1" selected="0">
            <x v="25"/>
          </reference>
          <reference field="15" count="1">
            <x v="342"/>
          </reference>
        </references>
      </pivotArea>
    </format>
    <format dxfId="5923">
      <pivotArea dataOnly="0" labelOnly="1" fieldPosition="0">
        <references count="5">
          <reference field="4" count="1" selected="0">
            <x v="13"/>
          </reference>
          <reference field="6" count="1" selected="0">
            <x v="3"/>
          </reference>
          <reference field="7" count="1" selected="0">
            <x v="5"/>
          </reference>
          <reference field="8" count="1" selected="0">
            <x v="26"/>
          </reference>
          <reference field="15" count="1">
            <x v="338"/>
          </reference>
        </references>
      </pivotArea>
    </format>
    <format dxfId="5922">
      <pivotArea dataOnly="0" labelOnly="1" fieldPosition="0">
        <references count="5">
          <reference field="4" count="1" selected="0">
            <x v="13"/>
          </reference>
          <reference field="6" count="1" selected="0">
            <x v="3"/>
          </reference>
          <reference field="7" count="1" selected="0">
            <x v="5"/>
          </reference>
          <reference field="8" count="1" selected="0">
            <x v="27"/>
          </reference>
          <reference field="15" count="1">
            <x v="341"/>
          </reference>
        </references>
      </pivotArea>
    </format>
    <format dxfId="5921">
      <pivotArea dataOnly="0" labelOnly="1" fieldPosition="0">
        <references count="5">
          <reference field="4" count="1" selected="0">
            <x v="14"/>
          </reference>
          <reference field="6" count="1" selected="0">
            <x v="1"/>
          </reference>
          <reference field="7" count="1" selected="0">
            <x v="26"/>
          </reference>
          <reference field="8" count="1" selected="0">
            <x v="125"/>
          </reference>
          <reference field="15" count="4">
            <x v="26"/>
            <x v="27"/>
            <x v="28"/>
            <x v="99"/>
          </reference>
        </references>
      </pivotArea>
    </format>
    <format dxfId="5920">
      <pivotArea dataOnly="0" labelOnly="1" fieldPosition="0">
        <references count="5">
          <reference field="4" count="1" selected="0">
            <x v="14"/>
          </reference>
          <reference field="6" count="1" selected="0">
            <x v="1"/>
          </reference>
          <reference field="7" count="1" selected="0">
            <x v="26"/>
          </reference>
          <reference field="8" count="1" selected="0">
            <x v="126"/>
          </reference>
          <reference field="15" count="1">
            <x v="19"/>
          </reference>
        </references>
      </pivotArea>
    </format>
    <format dxfId="5919">
      <pivotArea dataOnly="0" labelOnly="1" fieldPosition="0">
        <references count="5">
          <reference field="4" count="1" selected="0">
            <x v="14"/>
          </reference>
          <reference field="6" count="1" selected="0">
            <x v="1"/>
          </reference>
          <reference field="7" count="1" selected="0">
            <x v="26"/>
          </reference>
          <reference field="8" count="1" selected="0">
            <x v="127"/>
          </reference>
          <reference field="15" count="2">
            <x v="150"/>
            <x v="151"/>
          </reference>
        </references>
      </pivotArea>
    </format>
    <format dxfId="5918">
      <pivotArea dataOnly="0" labelOnly="1" fieldPosition="0">
        <references count="5">
          <reference field="4" count="1" selected="0">
            <x v="14"/>
          </reference>
          <reference field="6" count="1" selected="0">
            <x v="1"/>
          </reference>
          <reference field="7" count="1" selected="0">
            <x v="26"/>
          </reference>
          <reference field="8" count="1" selected="0">
            <x v="128"/>
          </reference>
          <reference field="15" count="2">
            <x v="29"/>
            <x v="30"/>
          </reference>
        </references>
      </pivotArea>
    </format>
    <format dxfId="5917">
      <pivotArea dataOnly="0" labelOnly="1" fieldPosition="0">
        <references count="5">
          <reference field="4" count="1" selected="0">
            <x v="14"/>
          </reference>
          <reference field="6" count="1" selected="0">
            <x v="1"/>
          </reference>
          <reference field="7" count="1" selected="0">
            <x v="26"/>
          </reference>
          <reference field="8" count="1" selected="0">
            <x v="129"/>
          </reference>
          <reference field="15" count="2">
            <x v="330"/>
            <x v="331"/>
          </reference>
        </references>
      </pivotArea>
    </format>
    <format dxfId="5916">
      <pivotArea dataOnly="0" labelOnly="1" fieldPosition="0">
        <references count="5">
          <reference field="4" count="1" selected="0">
            <x v="14"/>
          </reference>
          <reference field="6" count="1" selected="0">
            <x v="1"/>
          </reference>
          <reference field="7" count="1" selected="0">
            <x v="26"/>
          </reference>
          <reference field="8" count="1" selected="0">
            <x v="130"/>
          </reference>
          <reference field="15" count="2">
            <x v="367"/>
            <x v="368"/>
          </reference>
        </references>
      </pivotArea>
    </format>
    <format dxfId="5915">
      <pivotArea dataOnly="0" labelOnly="1" fieldPosition="0">
        <references count="5">
          <reference field="4" count="1" selected="0">
            <x v="14"/>
          </reference>
          <reference field="6" count="1" selected="0">
            <x v="1"/>
          </reference>
          <reference field="7" count="1" selected="0">
            <x v="26"/>
          </reference>
          <reference field="8" count="1" selected="0">
            <x v="131"/>
          </reference>
          <reference field="15" count="3">
            <x v="14"/>
            <x v="15"/>
            <x v="16"/>
          </reference>
        </references>
      </pivotArea>
    </format>
    <format dxfId="5914">
      <pivotArea dataOnly="0" labelOnly="1" fieldPosition="0">
        <references count="5">
          <reference field="4" count="1" selected="0">
            <x v="15"/>
          </reference>
          <reference field="6" count="1" selected="0">
            <x v="0"/>
          </reference>
          <reference field="7" count="1" selected="0">
            <x v="20"/>
          </reference>
          <reference field="8" count="1" selected="0">
            <x v="82"/>
          </reference>
          <reference field="15" count="2">
            <x v="73"/>
            <x v="74"/>
          </reference>
        </references>
      </pivotArea>
    </format>
    <format dxfId="5913">
      <pivotArea dataOnly="0" labelOnly="1" fieldPosition="0">
        <references count="5">
          <reference field="4" count="1" selected="0">
            <x v="15"/>
          </reference>
          <reference field="6" count="1" selected="0">
            <x v="0"/>
          </reference>
          <reference field="7" count="1" selected="0">
            <x v="20"/>
          </reference>
          <reference field="8" count="1" selected="0">
            <x v="83"/>
          </reference>
          <reference field="15" count="1">
            <x v="75"/>
          </reference>
        </references>
      </pivotArea>
    </format>
    <format dxfId="5912">
      <pivotArea dataOnly="0" labelOnly="1" fieldPosition="0">
        <references count="5">
          <reference field="4" count="1" selected="0">
            <x v="15"/>
          </reference>
          <reference field="6" count="1" selected="0">
            <x v="0"/>
          </reference>
          <reference field="7" count="1" selected="0">
            <x v="20"/>
          </reference>
          <reference field="8" count="1" selected="0">
            <x v="84"/>
          </reference>
          <reference field="15" count="1">
            <x v="76"/>
          </reference>
        </references>
      </pivotArea>
    </format>
    <format dxfId="5911">
      <pivotArea dataOnly="0" labelOnly="1" fieldPosition="0">
        <references count="5">
          <reference field="4" count="1" selected="0">
            <x v="15"/>
          </reference>
          <reference field="6" count="1" selected="0">
            <x v="0"/>
          </reference>
          <reference field="7" count="1" selected="0">
            <x v="20"/>
          </reference>
          <reference field="8" count="1" selected="0">
            <x v="85"/>
          </reference>
          <reference field="15" count="1">
            <x v="259"/>
          </reference>
        </references>
      </pivotArea>
    </format>
    <format dxfId="5910">
      <pivotArea dataOnly="0" labelOnly="1" fieldPosition="0">
        <references count="5">
          <reference field="4" count="1" selected="0">
            <x v="15"/>
          </reference>
          <reference field="6" count="1" selected="0">
            <x v="0"/>
          </reference>
          <reference field="7" count="1" selected="0">
            <x v="20"/>
          </reference>
          <reference field="8" count="1" selected="0">
            <x v="86"/>
          </reference>
          <reference field="15" count="3">
            <x v="132"/>
            <x v="133"/>
            <x v="134"/>
          </reference>
        </references>
      </pivotArea>
    </format>
    <format dxfId="5909">
      <pivotArea dataOnly="0" labelOnly="1" fieldPosition="0">
        <references count="5">
          <reference field="4" count="1" selected="0">
            <x v="16"/>
          </reference>
          <reference field="6" count="1" selected="0">
            <x v="1"/>
          </reference>
          <reference field="7" count="1" selected="0">
            <x v="27"/>
          </reference>
          <reference field="8" count="1" selected="0">
            <x v="132"/>
          </reference>
          <reference field="15" count="1">
            <x v="20"/>
          </reference>
        </references>
      </pivotArea>
    </format>
    <format dxfId="5908">
      <pivotArea dataOnly="0" labelOnly="1" fieldPosition="0">
        <references count="5">
          <reference field="4" count="1" selected="0">
            <x v="16"/>
          </reference>
          <reference field="6" count="1" selected="0">
            <x v="1"/>
          </reference>
          <reference field="7" count="1" selected="0">
            <x v="27"/>
          </reference>
          <reference field="8" count="1" selected="0">
            <x v="133"/>
          </reference>
          <reference field="15" count="3">
            <x v="21"/>
            <x v="22"/>
            <x v="23"/>
          </reference>
        </references>
      </pivotArea>
    </format>
    <format dxfId="5907">
      <pivotArea dataOnly="0" labelOnly="1" fieldPosition="0">
        <references count="5">
          <reference field="4" count="1" selected="0">
            <x v="16"/>
          </reference>
          <reference field="6" count="1" selected="0">
            <x v="1"/>
          </reference>
          <reference field="7" count="1" selected="0">
            <x v="27"/>
          </reference>
          <reference field="8" count="1" selected="0">
            <x v="134"/>
          </reference>
          <reference field="15" count="2">
            <x v="149"/>
            <x v="354"/>
          </reference>
        </references>
      </pivotArea>
    </format>
    <format dxfId="5906">
      <pivotArea dataOnly="0" labelOnly="1" fieldPosition="0">
        <references count="5">
          <reference field="4" count="1" selected="0">
            <x v="16"/>
          </reference>
          <reference field="6" count="1" selected="0">
            <x v="1"/>
          </reference>
          <reference field="7" count="1" selected="0">
            <x v="27"/>
          </reference>
          <reference field="8" count="1" selected="0">
            <x v="135"/>
          </reference>
          <reference field="15" count="2">
            <x v="109"/>
            <x v="363"/>
          </reference>
        </references>
      </pivotArea>
    </format>
    <format dxfId="5905">
      <pivotArea dataOnly="0" labelOnly="1" fieldPosition="0">
        <references count="5">
          <reference field="4" count="1" selected="0">
            <x v="16"/>
          </reference>
          <reference field="6" count="1" selected="0">
            <x v="1"/>
          </reference>
          <reference field="7" count="1" selected="0">
            <x v="27"/>
          </reference>
          <reference field="8" count="1" selected="0">
            <x v="136"/>
          </reference>
          <reference field="15" count="2">
            <x v="81"/>
            <x v="148"/>
          </reference>
        </references>
      </pivotArea>
    </format>
    <format dxfId="5904">
      <pivotArea dataOnly="0" labelOnly="1" fieldPosition="0">
        <references count="5">
          <reference field="4" count="1" selected="0">
            <x v="16"/>
          </reference>
          <reference field="6" count="1" selected="0">
            <x v="1"/>
          </reference>
          <reference field="7" count="1" selected="0">
            <x v="27"/>
          </reference>
          <reference field="8" count="1" selected="0">
            <x v="137"/>
          </reference>
          <reference field="15" count="2">
            <x v="111"/>
            <x v="112"/>
          </reference>
        </references>
      </pivotArea>
    </format>
    <format dxfId="5903">
      <pivotArea dataOnly="0" labelOnly="1" fieldPosition="0">
        <references count="5">
          <reference field="4" count="1" selected="0">
            <x v="16"/>
          </reference>
          <reference field="6" count="1" selected="0">
            <x v="3"/>
          </reference>
          <reference field="7" count="1" selected="0">
            <x v="1"/>
          </reference>
          <reference field="8" count="1" selected="0">
            <x v="6"/>
          </reference>
          <reference field="15" count="1">
            <x v="362"/>
          </reference>
        </references>
      </pivotArea>
    </format>
    <format dxfId="5902">
      <pivotArea dataOnly="0" labelOnly="1" fieldPosition="0">
        <references count="5">
          <reference field="4" count="1" selected="0">
            <x v="16"/>
          </reference>
          <reference field="6" count="1" selected="0">
            <x v="4"/>
          </reference>
          <reference field="7" count="1" selected="0">
            <x v="8"/>
          </reference>
          <reference field="8" count="1" selected="0">
            <x v="38"/>
          </reference>
          <reference field="15" count="1">
            <x v="229"/>
          </reference>
        </references>
      </pivotArea>
    </format>
    <format dxfId="5901">
      <pivotArea dataOnly="0" labelOnly="1" fieldPosition="0">
        <references count="5">
          <reference field="4" count="1" selected="0">
            <x v="16"/>
          </reference>
          <reference field="6" count="1" selected="0">
            <x v="4"/>
          </reference>
          <reference field="7" count="1" selected="0">
            <x v="11"/>
          </reference>
          <reference field="8" count="1" selected="0">
            <x v="48"/>
          </reference>
          <reference field="15" count="1">
            <x v="200"/>
          </reference>
        </references>
      </pivotArea>
    </format>
    <format dxfId="5900">
      <pivotArea dataOnly="0" labelOnly="1" fieldPosition="0">
        <references count="5">
          <reference field="4" count="1" selected="0">
            <x v="17"/>
          </reference>
          <reference field="6" count="1" selected="0">
            <x v="0"/>
          </reference>
          <reference field="7" count="1" selected="0">
            <x v="16"/>
          </reference>
          <reference field="8" count="1" selected="0">
            <x v="57"/>
          </reference>
          <reference field="15" count="5">
            <x v="110"/>
            <x v="284"/>
            <x v="285"/>
            <x v="294"/>
            <x v="295"/>
          </reference>
        </references>
      </pivotArea>
    </format>
    <format dxfId="5899">
      <pivotArea dataOnly="0" labelOnly="1" fieldPosition="0">
        <references count="5">
          <reference field="4" count="1" selected="0">
            <x v="17"/>
          </reference>
          <reference field="6" count="1" selected="0">
            <x v="0"/>
          </reference>
          <reference field="7" count="1" selected="0">
            <x v="16"/>
          </reference>
          <reference field="8" count="1" selected="0">
            <x v="58"/>
          </reference>
          <reference field="15" count="2">
            <x v="299"/>
            <x v="300"/>
          </reference>
        </references>
      </pivotArea>
    </format>
    <format dxfId="5898">
      <pivotArea dataOnly="0" labelOnly="1" fieldPosition="0">
        <references count="5">
          <reference field="4" count="1" selected="0">
            <x v="17"/>
          </reference>
          <reference field="6" count="1" selected="0">
            <x v="0"/>
          </reference>
          <reference field="7" count="1" selected="0">
            <x v="16"/>
          </reference>
          <reference field="8" count="1" selected="0">
            <x v="59"/>
          </reference>
          <reference field="15" count="2">
            <x v="94"/>
            <x v="95"/>
          </reference>
        </references>
      </pivotArea>
    </format>
    <format dxfId="5897">
      <pivotArea dataOnly="0" labelOnly="1" fieldPosition="0">
        <references count="5">
          <reference field="4" count="1" selected="0">
            <x v="17"/>
          </reference>
          <reference field="6" count="1" selected="0">
            <x v="0"/>
          </reference>
          <reference field="7" count="1" selected="0">
            <x v="16"/>
          </reference>
          <reference field="8" count="1" selected="0">
            <x v="60"/>
          </reference>
          <reference field="15" count="5">
            <x v="102"/>
            <x v="103"/>
            <x v="104"/>
            <x v="322"/>
            <x v="323"/>
          </reference>
        </references>
      </pivotArea>
    </format>
    <format dxfId="5896">
      <pivotArea dataOnly="0" labelOnly="1" fieldPosition="0">
        <references count="5">
          <reference field="4" count="1" selected="0">
            <x v="17"/>
          </reference>
          <reference field="6" count="1" selected="0">
            <x v="0"/>
          </reference>
          <reference field="7" count="1" selected="0">
            <x v="16"/>
          </reference>
          <reference field="8" count="1" selected="0">
            <x v="61"/>
          </reference>
          <reference field="15" count="2">
            <x v="296"/>
            <x v="297"/>
          </reference>
        </references>
      </pivotArea>
    </format>
    <format dxfId="5895">
      <pivotArea dataOnly="0" labelOnly="1" fieldPosition="0">
        <references count="5">
          <reference field="4" count="1" selected="0">
            <x v="17"/>
          </reference>
          <reference field="6" count="1" selected="0">
            <x v="0"/>
          </reference>
          <reference field="7" count="1" selected="0">
            <x v="16"/>
          </reference>
          <reference field="8" count="1" selected="0">
            <x v="62"/>
          </reference>
          <reference field="15" count="1">
            <x v="93"/>
          </reference>
        </references>
      </pivotArea>
    </format>
    <format dxfId="5894">
      <pivotArea dataOnly="0" labelOnly="1" fieldPosition="0">
        <references count="5">
          <reference field="4" count="1" selected="0">
            <x v="17"/>
          </reference>
          <reference field="6" count="1" selected="0">
            <x v="0"/>
          </reference>
          <reference field="7" count="1" selected="0">
            <x v="16"/>
          </reference>
          <reference field="8" count="1" selected="0">
            <x v="63"/>
          </reference>
          <reference field="15" count="2">
            <x v="315"/>
            <x v="316"/>
          </reference>
        </references>
      </pivotArea>
    </format>
    <format dxfId="5893">
      <pivotArea dataOnly="0" labelOnly="1" fieldPosition="0">
        <references count="5">
          <reference field="4" count="1" selected="0">
            <x v="17"/>
          </reference>
          <reference field="6" count="1" selected="0">
            <x v="0"/>
          </reference>
          <reference field="7" count="1" selected="0">
            <x v="22"/>
          </reference>
          <reference field="8" count="1" selected="0">
            <x v="94"/>
          </reference>
          <reference field="15" count="2">
            <x v="105"/>
            <x v="106"/>
          </reference>
        </references>
      </pivotArea>
    </format>
    <format dxfId="5892">
      <pivotArea dataOnly="0" labelOnly="1" fieldPosition="0">
        <references count="5">
          <reference field="4" count="1" selected="0">
            <x v="18"/>
          </reference>
          <reference field="6" count="1" selected="0">
            <x v="3"/>
          </reference>
          <reference field="7" count="1" selected="0">
            <x v="2"/>
          </reference>
          <reference field="8" count="1" selected="0">
            <x v="8"/>
          </reference>
          <reference field="15" count="2">
            <x v="375"/>
            <x v="376"/>
          </reference>
        </references>
      </pivotArea>
    </format>
    <format dxfId="5891">
      <pivotArea dataOnly="0" labelOnly="1" fieldPosition="0">
        <references count="5">
          <reference field="4" count="1" selected="0">
            <x v="18"/>
          </reference>
          <reference field="6" count="1" selected="0">
            <x v="3"/>
          </reference>
          <reference field="7" count="1" selected="0">
            <x v="2"/>
          </reference>
          <reference field="8" count="1" selected="0">
            <x v="9"/>
          </reference>
          <reference field="15" count="1">
            <x v="266"/>
          </reference>
        </references>
      </pivotArea>
    </format>
    <format dxfId="5890">
      <pivotArea dataOnly="0" labelOnly="1" fieldPosition="0">
        <references count="5">
          <reference field="4" count="1" selected="0">
            <x v="18"/>
          </reference>
          <reference field="6" count="1" selected="0">
            <x v="3"/>
          </reference>
          <reference field="7" count="1" selected="0">
            <x v="2"/>
          </reference>
          <reference field="8" count="1" selected="0">
            <x v="16"/>
          </reference>
          <reference field="15" count="2">
            <x v="271"/>
            <x v="272"/>
          </reference>
        </references>
      </pivotArea>
    </format>
    <format dxfId="5889">
      <pivotArea dataOnly="0" labelOnly="1" fieldPosition="0">
        <references count="5">
          <reference field="4" count="1" selected="0">
            <x v="18"/>
          </reference>
          <reference field="6" count="1" selected="0">
            <x v="3"/>
          </reference>
          <reference field="7" count="1" selected="0">
            <x v="2"/>
          </reference>
          <reference field="8" count="1" selected="0">
            <x v="17"/>
          </reference>
          <reference field="15" count="3">
            <x v="286"/>
            <x v="287"/>
            <x v="288"/>
          </reference>
        </references>
      </pivotArea>
    </format>
    <format dxfId="5888">
      <pivotArea dataOnly="0" labelOnly="1" fieldPosition="0">
        <references count="5">
          <reference field="4" count="1" selected="0">
            <x v="19"/>
          </reference>
          <reference field="6" count="1" selected="0">
            <x v="3"/>
          </reference>
          <reference field="7" count="1" selected="0">
            <x v="6"/>
          </reference>
          <reference field="8" count="1" selected="0">
            <x v="29"/>
          </reference>
          <reference field="15" count="24">
            <x v="4"/>
            <x v="168"/>
            <x v="169"/>
            <x v="170"/>
            <x v="171"/>
            <x v="172"/>
            <x v="173"/>
            <x v="174"/>
            <x v="183"/>
            <x v="184"/>
            <x v="185"/>
            <x v="186"/>
            <x v="187"/>
            <x v="188"/>
            <x v="194"/>
            <x v="195"/>
            <x v="196"/>
            <x v="197"/>
            <x v="198"/>
            <x v="199"/>
            <x v="203"/>
            <x v="204"/>
            <x v="223"/>
            <x v="258"/>
          </reference>
        </references>
      </pivotArea>
    </format>
    <format dxfId="5887">
      <pivotArea dataOnly="0" labelOnly="1" fieldPosition="0">
        <references count="5">
          <reference field="4" count="1" selected="0">
            <x v="20"/>
          </reference>
          <reference field="6" count="1" selected="0">
            <x v="1"/>
          </reference>
          <reference field="7" count="1" selected="0">
            <x v="24"/>
          </reference>
          <reference field="8" count="1" selected="0">
            <x v="106"/>
          </reference>
          <reference field="15" count="2">
            <x v="239"/>
            <x v="240"/>
          </reference>
        </references>
      </pivotArea>
    </format>
    <format dxfId="5886">
      <pivotArea dataOnly="0" labelOnly="1" outline="0" fieldPosition="0">
        <references count="1">
          <reference field="4294967294" count="2">
            <x v="7"/>
            <x v="8"/>
          </reference>
        </references>
      </pivotArea>
    </format>
    <format dxfId="5885">
      <pivotArea dataOnly="0" labelOnly="1" outline="0" fieldPosition="0">
        <references count="1">
          <reference field="2" count="0"/>
        </references>
      </pivotArea>
    </format>
    <format dxfId="5884">
      <pivotArea outline="0" collapsedLevelsAreSubtotals="1" fieldPosition="0"/>
    </format>
    <format dxfId="5883">
      <pivotArea dataOnly="0" labelOnly="1" outline="0" fieldPosition="0">
        <references count="1">
          <reference field="2" count="1">
            <x v="3"/>
          </reference>
        </references>
      </pivotArea>
    </format>
    <format dxfId="5882">
      <pivotArea dataOnly="0" labelOnly="1" outline="0" fieldPosition="0">
        <references count="1">
          <reference field="4294967294" count="9">
            <x v="0"/>
            <x v="1"/>
            <x v="2"/>
            <x v="3"/>
            <x v="4"/>
            <x v="5"/>
            <x v="6"/>
            <x v="7"/>
            <x v="8"/>
          </reference>
        </references>
      </pivotArea>
    </format>
    <format dxfId="5881">
      <pivotArea outline="0" collapsedLevelsAreSubtotals="1" fieldPosition="0">
        <references count="1">
          <reference field="4294967294" count="2" selected="0">
            <x v="7"/>
            <x v="8"/>
          </reference>
        </references>
      </pivotArea>
    </format>
    <format dxfId="5880">
      <pivotArea dataOnly="0" labelOnly="1" outline="0" fieldPosition="0">
        <references count="1">
          <reference field="4294967294" count="2">
            <x v="7"/>
            <x v="8"/>
          </reference>
        </references>
      </pivotArea>
    </format>
    <format dxfId="5879">
      <pivotArea field="2" type="button" dataOnly="0" labelOnly="1" outline="0" axis="axisPage" fieldPosition="0"/>
    </format>
    <format dxfId="5878">
      <pivotArea field="4" type="button" dataOnly="0" labelOnly="1" outline="0" axis="axisRow" fieldPosition="0"/>
    </format>
    <format dxfId="5877">
      <pivotArea dataOnly="0" labelOnly="1" fieldPosition="0">
        <references count="1">
          <reference field="4" count="1">
            <x v="3"/>
          </reference>
        </references>
      </pivotArea>
    </format>
    <format dxfId="5876">
      <pivotArea dataOnly="0" labelOnly="1" grandRow="1" outline="0" fieldPosition="0"/>
    </format>
    <format dxfId="5875">
      <pivotArea dataOnly="0" labelOnly="1" fieldPosition="0">
        <references count="2">
          <reference field="4" count="1" selected="0">
            <x v="3"/>
          </reference>
          <reference field="6" count="1">
            <x v="3"/>
          </reference>
        </references>
      </pivotArea>
    </format>
    <format dxfId="5874">
      <pivotArea dataOnly="0" labelOnly="1" fieldPosition="0">
        <references count="3">
          <reference field="4" count="1" selected="0">
            <x v="3"/>
          </reference>
          <reference field="6" count="1" selected="0">
            <x v="3"/>
          </reference>
          <reference field="7" count="1">
            <x v="6"/>
          </reference>
        </references>
      </pivotArea>
    </format>
    <format dxfId="5873">
      <pivotArea dataOnly="0" labelOnly="1" fieldPosition="0">
        <references count="4">
          <reference field="4" count="1" selected="0">
            <x v="3"/>
          </reference>
          <reference field="6" count="1" selected="0">
            <x v="3"/>
          </reference>
          <reference field="7" count="1" selected="0">
            <x v="6"/>
          </reference>
          <reference field="8" count="1">
            <x v="29"/>
          </reference>
        </references>
      </pivotArea>
    </format>
    <format dxfId="5872">
      <pivotArea dataOnly="0" labelOnly="1" fieldPosition="0">
        <references count="5">
          <reference field="4" count="1" selected="0">
            <x v="3"/>
          </reference>
          <reference field="6" count="1" selected="0">
            <x v="3"/>
          </reference>
          <reference field="7" count="1" selected="0">
            <x v="6"/>
          </reference>
          <reference field="8" count="1" selected="0">
            <x v="29"/>
          </reference>
          <reference field="15" count="41">
            <x v="0"/>
            <x v="1"/>
            <x v="167"/>
            <x v="175"/>
            <x v="176"/>
            <x v="177"/>
            <x v="178"/>
            <x v="179"/>
            <x v="180"/>
            <x v="181"/>
            <x v="182"/>
            <x v="201"/>
            <x v="202"/>
            <x v="205"/>
            <x v="206"/>
            <x v="207"/>
            <x v="208"/>
            <x v="209"/>
            <x v="210"/>
            <x v="211"/>
            <x v="212"/>
            <x v="213"/>
            <x v="214"/>
            <x v="215"/>
            <x v="216"/>
            <x v="217"/>
            <x v="218"/>
            <x v="219"/>
            <x v="220"/>
            <x v="221"/>
            <x v="224"/>
            <x v="225"/>
            <x v="226"/>
            <x v="227"/>
            <x v="228"/>
            <x v="393"/>
            <x v="394"/>
            <x v="396"/>
            <x v="397"/>
            <x v="398"/>
            <x v="39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7" cacheId="2" applyNumberFormats="0" applyBorderFormats="0" applyFontFormats="0" applyPatternFormats="0" applyAlignmentFormats="0" applyWidthHeightFormats="1" dataCaption="Valores" grandTotalCaption="TOTAL " updatedVersion="8" minRefreshableVersion="3" useAutoFormatting="1" itemPrintTitles="1" createdVersion="8" indent="0" outline="1" outlineData="1" multipleFieldFilters="0" rowHeaderCaption="UNIDAD EJECUTORA">
  <location ref="A3:J67" firstHeaderRow="0" firstDataRow="1" firstDataCol="1" rowPageCount="1" colPageCount="1"/>
  <pivotFields count="33">
    <pivotField showAll="0"/>
    <pivotField showAll="0"/>
    <pivotField axis="axisPage" showAll="0">
      <items count="22">
        <item x="4"/>
        <item x="3"/>
        <item x="14"/>
        <item x="0"/>
        <item x="13"/>
        <item x="17"/>
        <item x="7"/>
        <item x="9"/>
        <item x="15"/>
        <item x="8"/>
        <item x="1"/>
        <item x="16"/>
        <item x="12"/>
        <item x="20"/>
        <item x="5"/>
        <item x="10"/>
        <item x="6"/>
        <item x="11"/>
        <item x="19"/>
        <item x="2"/>
        <item x="18"/>
        <item t="default"/>
      </items>
    </pivotField>
    <pivotField showAll="0"/>
    <pivotField axis="axisRow" showAll="0">
      <items count="22">
        <item x="4"/>
        <item x="3"/>
        <item x="14"/>
        <item x="0"/>
        <item x="13"/>
        <item x="17"/>
        <item x="7"/>
        <item x="9"/>
        <item x="15"/>
        <item x="8"/>
        <item x="1"/>
        <item x="16"/>
        <item x="12"/>
        <item x="20"/>
        <item x="5"/>
        <item x="10"/>
        <item x="6"/>
        <item x="11"/>
        <item x="19"/>
        <item x="2"/>
        <item x="18"/>
        <item t="default"/>
      </items>
    </pivotField>
    <pivotField numFmtId="1" showAll="0"/>
    <pivotField axis="axisRow" showAll="0">
      <items count="6">
        <item x="1"/>
        <item x="2"/>
        <item x="3"/>
        <item x="0"/>
        <item x="4"/>
        <item t="default"/>
      </items>
    </pivotField>
    <pivotField axis="axisRow" showAll="0">
      <items count="34">
        <item x="19"/>
        <item x="27"/>
        <item x="1"/>
        <item x="2"/>
        <item x="8"/>
        <item x="30"/>
        <item x="0"/>
        <item x="32"/>
        <item x="25"/>
        <item x="29"/>
        <item x="12"/>
        <item x="15"/>
        <item x="13"/>
        <item x="28"/>
        <item x="23"/>
        <item x="31"/>
        <item x="16"/>
        <item x="10"/>
        <item x="18"/>
        <item x="3"/>
        <item x="14"/>
        <item x="20"/>
        <item x="17"/>
        <item x="9"/>
        <item x="6"/>
        <item x="7"/>
        <item x="4"/>
        <item x="5"/>
        <item x="24"/>
        <item x="11"/>
        <item x="21"/>
        <item x="26"/>
        <item x="22"/>
        <item t="default"/>
      </items>
    </pivotField>
    <pivotField axis="axisRow" showAll="0">
      <items count="161">
        <item x="62"/>
        <item x="155"/>
        <item x="112"/>
        <item x="156"/>
        <item x="118"/>
        <item x="154"/>
        <item x="140"/>
        <item x="60"/>
        <item x="153"/>
        <item x="102"/>
        <item x="7"/>
        <item x="2"/>
        <item x="52"/>
        <item x="1"/>
        <item x="22"/>
        <item x="151"/>
        <item x="105"/>
        <item x="114"/>
        <item x="82"/>
        <item x="3"/>
        <item x="15"/>
        <item x="49"/>
        <item x="135"/>
        <item x="134"/>
        <item x="139"/>
        <item x="142"/>
        <item x="138"/>
        <item x="141"/>
        <item x="128"/>
        <item x="0"/>
        <item x="103"/>
        <item x="159"/>
        <item x="150"/>
        <item x="86"/>
        <item x="152"/>
        <item x="137"/>
        <item x="110"/>
        <item x="79"/>
        <item x="80"/>
        <item x="83"/>
        <item x="126"/>
        <item x="131"/>
        <item x="132"/>
        <item x="129"/>
        <item x="28"/>
        <item x="27"/>
        <item x="29"/>
        <item x="26"/>
        <item x="43"/>
        <item x="42"/>
        <item x="32"/>
        <item x="122"/>
        <item x="124"/>
        <item x="123"/>
        <item x="111"/>
        <item x="69"/>
        <item x="136"/>
        <item x="55"/>
        <item x="119"/>
        <item x="46"/>
        <item x="50"/>
        <item x="117"/>
        <item x="45"/>
        <item x="127"/>
        <item x="106"/>
        <item x="53"/>
        <item x="147"/>
        <item x="146"/>
        <item x="38"/>
        <item x="20"/>
        <item x="144"/>
        <item x="145"/>
        <item x="74"/>
        <item x="89"/>
        <item x="57"/>
        <item x="59"/>
        <item x="88"/>
        <item x="108"/>
        <item x="85"/>
        <item x="5"/>
        <item x="4"/>
        <item x="81"/>
        <item x="35"/>
        <item x="36"/>
        <item x="37"/>
        <item x="98"/>
        <item x="67"/>
        <item x="63"/>
        <item x="116"/>
        <item x="125"/>
        <item x="157"/>
        <item x="101"/>
        <item x="66"/>
        <item x="149"/>
        <item x="51"/>
        <item x="90"/>
        <item x="91"/>
        <item x="97"/>
        <item x="21"/>
        <item x="94"/>
        <item x="93"/>
        <item x="95"/>
        <item x="18"/>
        <item x="92"/>
        <item x="96"/>
        <item x="11"/>
        <item x="87"/>
        <item x="61"/>
        <item x="48"/>
        <item x="47"/>
        <item x="58"/>
        <item x="130"/>
        <item x="39"/>
        <item x="33"/>
        <item x="100"/>
        <item x="16"/>
        <item x="30"/>
        <item x="44"/>
        <item x="34"/>
        <item x="31"/>
        <item x="41"/>
        <item x="19"/>
        <item x="17"/>
        <item x="14"/>
        <item x="99"/>
        <item x="12"/>
        <item x="8"/>
        <item x="78"/>
        <item x="13"/>
        <item x="133"/>
        <item x="148"/>
        <item x="6"/>
        <item x="9"/>
        <item x="10"/>
        <item x="77"/>
        <item x="54"/>
        <item x="40"/>
        <item x="56"/>
        <item x="104"/>
        <item x="76"/>
        <item x="25"/>
        <item x="109"/>
        <item x="113"/>
        <item x="115"/>
        <item x="24"/>
        <item x="23"/>
        <item x="70"/>
        <item x="64"/>
        <item x="73"/>
        <item x="71"/>
        <item x="75"/>
        <item x="158"/>
        <item x="65"/>
        <item x="72"/>
        <item x="107"/>
        <item x="84"/>
        <item x="121"/>
        <item x="120"/>
        <item x="143"/>
        <item x="68"/>
        <item t="default"/>
      </items>
    </pivotField>
    <pivotField showAll="0"/>
    <pivotField showAll="0"/>
    <pivotField showAll="0"/>
    <pivotField showAll="0"/>
    <pivotField showAll="0"/>
    <pivotField showAll="0"/>
    <pivotField axis="axisRow" showAll="0">
      <items count="402">
        <item x="1"/>
        <item x="0"/>
        <item x="3"/>
        <item x="2"/>
        <item x="4"/>
        <item x="5"/>
        <item x="6"/>
        <item x="8"/>
        <item x="7"/>
        <item x="9"/>
        <item x="11"/>
        <item x="10"/>
        <item x="12"/>
        <item x="13"/>
        <item x="16"/>
        <item x="15"/>
        <item x="14"/>
        <item x="18"/>
        <item x="17"/>
        <item x="19"/>
        <item x="20"/>
        <item x="21"/>
        <item x="22"/>
        <item x="23"/>
        <item x="25"/>
        <item x="24"/>
        <item x="27"/>
        <item x="26"/>
        <item x="28"/>
        <item x="29"/>
        <item x="30"/>
        <item x="31"/>
        <item x="32"/>
        <item x="33"/>
        <item x="34"/>
        <item x="35"/>
        <item x="36"/>
        <item x="37"/>
        <item x="38"/>
        <item x="39"/>
        <item x="40"/>
        <item x="41"/>
        <item x="42"/>
        <item x="43"/>
        <item x="44"/>
        <item x="45"/>
        <item x="46"/>
        <item x="47"/>
        <item x="48"/>
        <item x="49"/>
        <item x="50"/>
        <item x="51"/>
        <item x="52"/>
        <item x="53"/>
        <item x="54"/>
        <item x="55"/>
        <item x="56"/>
        <item x="58"/>
        <item x="57"/>
        <item x="59"/>
        <item x="60"/>
        <item x="61"/>
        <item x="62"/>
        <item x="63"/>
        <item x="65"/>
        <item x="64"/>
        <item x="66"/>
        <item x="67"/>
        <item x="68"/>
        <item x="69"/>
        <item x="70"/>
        <item x="71"/>
        <item x="72"/>
        <item x="74"/>
        <item x="73"/>
        <item x="75"/>
        <item x="76"/>
        <item x="77"/>
        <item x="78"/>
        <item x="79"/>
        <item x="80"/>
        <item x="81"/>
        <item x="82"/>
        <item x="83"/>
        <item x="84"/>
        <item x="85"/>
        <item x="86"/>
        <item x="87"/>
        <item x="88"/>
        <item x="89"/>
        <item x="90"/>
        <item x="91"/>
        <item x="92"/>
        <item x="93"/>
        <item x="95"/>
        <item x="94"/>
        <item x="96"/>
        <item x="97"/>
        <item x="98"/>
        <item x="99"/>
        <item x="101"/>
        <item x="100"/>
        <item x="103"/>
        <item x="102"/>
        <item x="104"/>
        <item x="105"/>
        <item x="106"/>
        <item x="107"/>
        <item x="108"/>
        <item x="109"/>
        <item x="110"/>
        <item x="111"/>
        <item x="112"/>
        <item x="114"/>
        <item x="113"/>
        <item x="115"/>
        <item x="116"/>
        <item x="117"/>
        <item x="118"/>
        <item x="119"/>
        <item x="122"/>
        <item x="120"/>
        <item x="121"/>
        <item x="123"/>
        <item x="124"/>
        <item x="125"/>
        <item x="126"/>
        <item x="127"/>
        <item x="129"/>
        <item x="128"/>
        <item x="130"/>
        <item x="131"/>
        <item x="132"/>
        <item x="133"/>
        <item x="134"/>
        <item x="135"/>
        <item x="136"/>
        <item x="137"/>
        <item x="138"/>
        <item x="139"/>
        <item x="140"/>
        <item x="141"/>
        <item x="142"/>
        <item x="143"/>
        <item x="144"/>
        <item x="145"/>
        <item x="146"/>
        <item x="147"/>
        <item x="148"/>
        <item x="149"/>
        <item x="151"/>
        <item x="150"/>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3"/>
        <item x="192"/>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4"/>
        <item x="233"/>
        <item x="235"/>
        <item x="236"/>
        <item x="237"/>
        <item x="238"/>
        <item x="239"/>
        <item x="240"/>
        <item x="241"/>
        <item x="242"/>
        <item x="243"/>
        <item x="244"/>
        <item x="246"/>
        <item x="245"/>
        <item x="247"/>
        <item x="248"/>
        <item x="249"/>
        <item x="250"/>
        <item x="251"/>
        <item x="252"/>
        <item x="253"/>
        <item x="254"/>
        <item x="255"/>
        <item x="256"/>
        <item x="257"/>
        <item x="258"/>
        <item x="259"/>
        <item x="260"/>
        <item x="261"/>
        <item x="262"/>
        <item x="263"/>
        <item x="264"/>
        <item x="265"/>
        <item x="266"/>
        <item x="268"/>
        <item x="267"/>
        <item x="269"/>
        <item x="270"/>
        <item x="271"/>
        <item x="272"/>
        <item x="273"/>
        <item x="274"/>
        <item x="275"/>
        <item x="277"/>
        <item x="276"/>
        <item x="278"/>
        <item x="279"/>
        <item x="280"/>
        <item x="281"/>
        <item x="282"/>
        <item x="283"/>
        <item x="285"/>
        <item x="284"/>
        <item x="288"/>
        <item x="286"/>
        <item x="287"/>
        <item x="289"/>
        <item x="290"/>
        <item x="291"/>
        <item x="292"/>
        <item x="293"/>
        <item x="294"/>
        <item x="295"/>
        <item x="297"/>
        <item x="296"/>
        <item x="298"/>
        <item x="299"/>
        <item x="300"/>
        <item x="301"/>
        <item x="302"/>
        <item x="303"/>
        <item x="304"/>
        <item x="305"/>
        <item x="306"/>
        <item x="307"/>
        <item x="308"/>
        <item x="309"/>
        <item x="310"/>
        <item x="311"/>
        <item x="312"/>
        <item x="313"/>
        <item x="314"/>
        <item x="316"/>
        <item x="315"/>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7"/>
        <item x="346"/>
        <item x="348"/>
        <item x="349"/>
        <item x="350"/>
        <item x="351"/>
        <item x="352"/>
        <item x="353"/>
        <item x="354"/>
        <item x="355"/>
        <item x="357"/>
        <item x="356"/>
        <item x="358"/>
        <item x="360"/>
        <item x="359"/>
        <item x="361"/>
        <item x="362"/>
        <item x="363"/>
        <item x="364"/>
        <item x="365"/>
        <item x="366"/>
        <item x="368"/>
        <item x="367"/>
        <item x="369"/>
        <item x="370"/>
        <item x="371"/>
        <item x="372"/>
        <item x="373"/>
        <item x="374"/>
        <item x="376"/>
        <item x="375"/>
        <item x="377"/>
        <item x="378"/>
        <item x="379"/>
        <item x="380"/>
        <item x="381"/>
        <item x="382"/>
        <item x="383"/>
        <item x="384"/>
        <item x="385"/>
        <item x="386"/>
        <item x="387"/>
        <item x="389"/>
        <item x="388"/>
        <item x="390"/>
        <item x="391"/>
        <item x="392"/>
        <item x="393"/>
        <item x="394"/>
        <item x="395"/>
        <item x="396"/>
        <item x="397"/>
        <item x="398"/>
        <item x="399"/>
        <item x="400"/>
        <item t="default"/>
      </items>
    </pivotField>
    <pivotField showAll="0"/>
    <pivotField showAll="0"/>
    <pivotField dataField="1" numFmtId="43" showAll="0"/>
    <pivotField numFmtId="43" showAll="0"/>
    <pivotField dataField="1" numFmtId="43" showAll="0"/>
    <pivotField numFmtId="43" showAll="0"/>
    <pivotField numFmtId="43" showAll="0"/>
    <pivotField dataField="1" numFmtId="43" showAll="0"/>
    <pivotField numFmtId="43" showAll="0"/>
    <pivotField dataField="1" numFmtId="43" showAll="0"/>
    <pivotField numFmtId="43" showAll="0"/>
    <pivotField numFmtId="43" showAll="0"/>
    <pivotField dataField="1" numFmtId="43" showAl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5">
    <field x="4"/>
    <field x="6"/>
    <field x="7"/>
    <field x="8"/>
    <field x="15"/>
  </rowFields>
  <rowItems count="64">
    <i>
      <x v="4"/>
    </i>
    <i r="1">
      <x/>
    </i>
    <i r="2">
      <x v="21"/>
    </i>
    <i r="3">
      <x v="87"/>
    </i>
    <i r="4">
      <x v="126"/>
    </i>
    <i r="4">
      <x v="293"/>
    </i>
    <i r="4">
      <x v="305"/>
    </i>
    <i r="4">
      <x v="306"/>
    </i>
    <i r="4">
      <x v="317"/>
    </i>
    <i r="4">
      <x v="388"/>
    </i>
    <i r="4">
      <x v="389"/>
    </i>
    <i r="4">
      <x v="390"/>
    </i>
    <i r="3">
      <x v="88"/>
    </i>
    <i r="4">
      <x v="291"/>
    </i>
    <i r="4">
      <x v="292"/>
    </i>
    <i r="4">
      <x v="301"/>
    </i>
    <i r="3">
      <x v="89"/>
    </i>
    <i r="4">
      <x v="310"/>
    </i>
    <i r="3">
      <x v="90"/>
    </i>
    <i r="4">
      <x v="385"/>
    </i>
    <i r="3">
      <x v="91"/>
    </i>
    <i r="4">
      <x v="264"/>
    </i>
    <i r="4">
      <x v="265"/>
    </i>
    <i r="1">
      <x v="1"/>
    </i>
    <i r="2">
      <x v="24"/>
    </i>
    <i r="3">
      <x v="114"/>
    </i>
    <i r="4">
      <x v="263"/>
    </i>
    <i r="1">
      <x v="2"/>
    </i>
    <i r="2">
      <x v="29"/>
    </i>
    <i r="3">
      <x v="142"/>
    </i>
    <i r="4">
      <x v="283"/>
    </i>
    <i r="3">
      <x v="143"/>
    </i>
    <i r="4">
      <x v="289"/>
    </i>
    <i r="4">
      <x v="314"/>
    </i>
    <i r="3">
      <x v="151"/>
    </i>
    <i r="4">
      <x v="387"/>
    </i>
    <i r="2">
      <x v="31"/>
    </i>
    <i r="3">
      <x v="155"/>
    </i>
    <i r="4">
      <x v="235"/>
    </i>
    <i r="4">
      <x v="303"/>
    </i>
    <i r="4">
      <x v="374"/>
    </i>
    <i r="4">
      <x v="386"/>
    </i>
    <i r="3">
      <x v="156"/>
    </i>
    <i r="4">
      <x v="304"/>
    </i>
    <i r="3">
      <x v="157"/>
    </i>
    <i r="4">
      <x v="302"/>
    </i>
    <i r="1">
      <x v="3"/>
    </i>
    <i r="2">
      <x/>
    </i>
    <i r="3">
      <x/>
    </i>
    <i r="4">
      <x v="125"/>
    </i>
    <i r="4">
      <x v="269"/>
    </i>
    <i r="3">
      <x v="1"/>
    </i>
    <i r="4">
      <x v="382"/>
    </i>
    <i r="2">
      <x v="1"/>
    </i>
    <i r="3">
      <x v="2"/>
    </i>
    <i r="4">
      <x v="282"/>
    </i>
    <i r="3">
      <x v="3"/>
    </i>
    <i r="4">
      <x v="384"/>
    </i>
    <i r="3">
      <x v="4"/>
    </i>
    <i r="4">
      <x v="298"/>
    </i>
    <i r="3">
      <x v="5"/>
    </i>
    <i r="4">
      <x v="381"/>
    </i>
    <i r="4">
      <x v="383"/>
    </i>
    <i t="grand">
      <x/>
    </i>
  </rowItems>
  <colFields count="1">
    <field x="-2"/>
  </colFields>
  <colItems count="9">
    <i>
      <x/>
    </i>
    <i i="1">
      <x v="1"/>
    </i>
    <i i="2">
      <x v="2"/>
    </i>
    <i i="3">
      <x v="3"/>
    </i>
    <i i="4">
      <x v="4"/>
    </i>
    <i i="5">
      <x v="5"/>
    </i>
    <i i="6">
      <x v="6"/>
    </i>
    <i i="7">
      <x v="7"/>
    </i>
    <i i="8">
      <x v="8"/>
    </i>
  </colItems>
  <pageFields count="1">
    <pageField fld="2" item="4" hier="-1"/>
  </pageFields>
  <dataFields count="9">
    <dataField name="PPTO INICIAL" fld="18" baseField="4" baseItem="0"/>
    <dataField name="PPTO VIGENTE" fld="20" baseField="4" baseItem="0"/>
    <dataField name="COMPROMISOS." fld="23" baseField="4" baseItem="0"/>
    <dataField name="GIROS." fld="25" baseField="4" baseItem="0"/>
    <dataField name="PAGOS " fld="28" baseField="4" baseItem="0"/>
    <dataField name=" SALDO APROPIACIÓN CDP" fld="29" baseField="4" baseItem="0" numFmtId="43"/>
    <dataField name="SALDO APROPIACIÓN RP" fld="30" baseField="4" baseItem="0" numFmtId="43"/>
    <dataField name="Suma de % CDP" fld="31" baseField="0" baseItem="0" numFmtId="43"/>
    <dataField name="Suma de % RP" fld="32" baseField="0" baseItem="0" numFmtId="43"/>
  </dataFields>
  <formats count="346">
    <format dxfId="5871">
      <pivotArea dataOnly="0" labelOnly="1" fieldPosition="0">
        <references count="1">
          <reference field="4" count="0"/>
        </references>
      </pivotArea>
    </format>
    <format dxfId="5870">
      <pivotArea dataOnly="0" labelOnly="1" fieldPosition="0">
        <references count="1">
          <reference field="4" count="1">
            <x v="0"/>
          </reference>
        </references>
      </pivotArea>
    </format>
    <format dxfId="5869">
      <pivotArea dataOnly="0" labelOnly="1" fieldPosition="0">
        <references count="1">
          <reference field="6" count="0"/>
        </references>
      </pivotArea>
    </format>
    <format dxfId="5868">
      <pivotArea dataOnly="0" labelOnly="1" fieldPosition="0">
        <references count="1">
          <reference field="7" count="0"/>
        </references>
      </pivotArea>
    </format>
    <format dxfId="5867">
      <pivotArea dataOnly="0" labelOnly="1" fieldPosition="0">
        <references count="1">
          <reference field="7" count="0"/>
        </references>
      </pivotArea>
    </format>
    <format dxfId="5866">
      <pivotArea dataOnly="0" labelOnly="1" fieldPosition="0">
        <references count="1">
          <reference field="8" count="0"/>
        </references>
      </pivotArea>
    </format>
    <format dxfId="5865">
      <pivotArea outline="0" collapsedLevelsAreSubtotals="1" fieldPosition="0"/>
    </format>
    <format dxfId="5864">
      <pivotArea dataOnly="0" labelOnly="1" outline="0" fieldPosition="0">
        <references count="1">
          <reference field="2" count="0"/>
        </references>
      </pivotArea>
    </format>
    <format dxfId="5863">
      <pivotArea dataOnly="0" labelOnly="1" outline="0" fieldPosition="0">
        <references count="1">
          <reference field="4294967294" count="9">
            <x v="0"/>
            <x v="1"/>
            <x v="2"/>
            <x v="3"/>
            <x v="4"/>
            <x v="5"/>
            <x v="6"/>
            <x v="7"/>
            <x v="8"/>
          </reference>
        </references>
      </pivotArea>
    </format>
    <format dxfId="5862">
      <pivotArea field="2" type="button" dataOnly="0" labelOnly="1" outline="0" axis="axisPage" fieldPosition="0"/>
    </format>
    <format dxfId="5861">
      <pivotArea field="4" type="button" dataOnly="0" labelOnly="1" outline="0" axis="axisRow" fieldPosition="0"/>
    </format>
    <format dxfId="5860">
      <pivotArea dataOnly="0" labelOnly="1" fieldPosition="0">
        <references count="1">
          <reference field="4" count="0"/>
        </references>
      </pivotArea>
    </format>
    <format dxfId="5859">
      <pivotArea dataOnly="0" labelOnly="1" grandRow="1" outline="0" fieldPosition="0"/>
    </format>
    <format dxfId="5858">
      <pivotArea dataOnly="0" labelOnly="1" fieldPosition="0">
        <references count="2">
          <reference field="4" count="1" selected="0">
            <x v="0"/>
          </reference>
          <reference field="6" count="2">
            <x v="0"/>
            <x v="1"/>
          </reference>
        </references>
      </pivotArea>
    </format>
    <format dxfId="5857">
      <pivotArea dataOnly="0" labelOnly="1" fieldPosition="0">
        <references count="2">
          <reference field="4" count="1" selected="0">
            <x v="1"/>
          </reference>
          <reference field="6" count="3">
            <x v="0"/>
            <x v="3"/>
            <x v="4"/>
          </reference>
        </references>
      </pivotArea>
    </format>
    <format dxfId="5856">
      <pivotArea dataOnly="0" labelOnly="1" fieldPosition="0">
        <references count="2">
          <reference field="4" count="1" selected="0">
            <x v="2"/>
          </reference>
          <reference field="6" count="3">
            <x v="2"/>
            <x v="3"/>
            <x v="4"/>
          </reference>
        </references>
      </pivotArea>
    </format>
    <format dxfId="5855">
      <pivotArea dataOnly="0" labelOnly="1" fieldPosition="0">
        <references count="2">
          <reference field="4" count="1" selected="0">
            <x v="3"/>
          </reference>
          <reference field="6" count="1">
            <x v="3"/>
          </reference>
        </references>
      </pivotArea>
    </format>
    <format dxfId="5854">
      <pivotArea dataOnly="0" labelOnly="1" fieldPosition="0">
        <references count="2">
          <reference field="4" count="1" selected="0">
            <x v="4"/>
          </reference>
          <reference field="6" count="4">
            <x v="0"/>
            <x v="1"/>
            <x v="2"/>
            <x v="3"/>
          </reference>
        </references>
      </pivotArea>
    </format>
    <format dxfId="5853">
      <pivotArea dataOnly="0" labelOnly="1" fieldPosition="0">
        <references count="2">
          <reference field="4" count="1" selected="0">
            <x v="5"/>
          </reference>
          <reference field="6" count="2">
            <x v="0"/>
            <x v="4"/>
          </reference>
        </references>
      </pivotArea>
    </format>
    <format dxfId="5852">
      <pivotArea dataOnly="0" labelOnly="1" fieldPosition="0">
        <references count="2">
          <reference field="4" count="1" selected="0">
            <x v="6"/>
          </reference>
          <reference field="6" count="1">
            <x v="1"/>
          </reference>
        </references>
      </pivotArea>
    </format>
    <format dxfId="5851">
      <pivotArea dataOnly="0" labelOnly="1" fieldPosition="0">
        <references count="2">
          <reference field="4" count="1" selected="0">
            <x v="7"/>
          </reference>
          <reference field="6" count="4">
            <x v="0"/>
            <x v="2"/>
            <x v="3"/>
            <x v="4"/>
          </reference>
        </references>
      </pivotArea>
    </format>
    <format dxfId="5850">
      <pivotArea dataOnly="0" labelOnly="1" fieldPosition="0">
        <references count="2">
          <reference field="4" count="1" selected="0">
            <x v="8"/>
          </reference>
          <reference field="6" count="4">
            <x v="0"/>
            <x v="1"/>
            <x v="2"/>
            <x v="3"/>
          </reference>
        </references>
      </pivotArea>
    </format>
    <format dxfId="5849">
      <pivotArea dataOnly="0" labelOnly="1" fieldPosition="0">
        <references count="2">
          <reference field="4" count="1" selected="0">
            <x v="9"/>
          </reference>
          <reference field="6" count="1">
            <x v="1"/>
          </reference>
        </references>
      </pivotArea>
    </format>
    <format dxfId="5848">
      <pivotArea dataOnly="0" labelOnly="1" fieldPosition="0">
        <references count="2">
          <reference field="4" count="1" selected="0">
            <x v="10"/>
          </reference>
          <reference field="6" count="1">
            <x v="3"/>
          </reference>
        </references>
      </pivotArea>
    </format>
    <format dxfId="5847">
      <pivotArea dataOnly="0" labelOnly="1" fieldPosition="0">
        <references count="2">
          <reference field="4" count="1" selected="0">
            <x v="11"/>
          </reference>
          <reference field="6" count="1">
            <x v="0"/>
          </reference>
        </references>
      </pivotArea>
    </format>
    <format dxfId="5846">
      <pivotArea dataOnly="0" labelOnly="1" fieldPosition="0">
        <references count="2">
          <reference field="4" count="1" selected="0">
            <x v="12"/>
          </reference>
          <reference field="6" count="1">
            <x v="0"/>
          </reference>
        </references>
      </pivotArea>
    </format>
    <format dxfId="5845">
      <pivotArea dataOnly="0" labelOnly="1" fieldPosition="0">
        <references count="2">
          <reference field="4" count="1" selected="0">
            <x v="13"/>
          </reference>
          <reference field="6" count="1">
            <x v="3"/>
          </reference>
        </references>
      </pivotArea>
    </format>
    <format dxfId="5844">
      <pivotArea dataOnly="0" labelOnly="1" fieldPosition="0">
        <references count="2">
          <reference field="4" count="1" selected="0">
            <x v="14"/>
          </reference>
          <reference field="6" count="1">
            <x v="1"/>
          </reference>
        </references>
      </pivotArea>
    </format>
    <format dxfId="5843">
      <pivotArea dataOnly="0" labelOnly="1" fieldPosition="0">
        <references count="2">
          <reference field="4" count="1" selected="0">
            <x v="15"/>
          </reference>
          <reference field="6" count="1">
            <x v="0"/>
          </reference>
        </references>
      </pivotArea>
    </format>
    <format dxfId="5842">
      <pivotArea dataOnly="0" labelOnly="1" fieldPosition="0">
        <references count="2">
          <reference field="4" count="1" selected="0">
            <x v="16"/>
          </reference>
          <reference field="6" count="3">
            <x v="1"/>
            <x v="3"/>
            <x v="4"/>
          </reference>
        </references>
      </pivotArea>
    </format>
    <format dxfId="5841">
      <pivotArea dataOnly="0" labelOnly="1" fieldPosition="0">
        <references count="2">
          <reference field="4" count="1" selected="0">
            <x v="17"/>
          </reference>
          <reference field="6" count="1">
            <x v="0"/>
          </reference>
        </references>
      </pivotArea>
    </format>
    <format dxfId="5840">
      <pivotArea dataOnly="0" labelOnly="1" fieldPosition="0">
        <references count="2">
          <reference field="4" count="1" selected="0">
            <x v="18"/>
          </reference>
          <reference field="6" count="1">
            <x v="3"/>
          </reference>
        </references>
      </pivotArea>
    </format>
    <format dxfId="5839">
      <pivotArea dataOnly="0" labelOnly="1" fieldPosition="0">
        <references count="2">
          <reference field="4" count="1" selected="0">
            <x v="19"/>
          </reference>
          <reference field="6" count="1">
            <x v="3"/>
          </reference>
        </references>
      </pivotArea>
    </format>
    <format dxfId="5838">
      <pivotArea dataOnly="0" labelOnly="1" fieldPosition="0">
        <references count="2">
          <reference field="4" count="1" selected="0">
            <x v="20"/>
          </reference>
          <reference field="6" count="1">
            <x v="1"/>
          </reference>
        </references>
      </pivotArea>
    </format>
    <format dxfId="5837">
      <pivotArea dataOnly="0" labelOnly="1" fieldPosition="0">
        <references count="3">
          <reference field="4" count="1" selected="0">
            <x v="0"/>
          </reference>
          <reference field="6" count="1" selected="0">
            <x v="0"/>
          </reference>
          <reference field="7" count="2">
            <x v="17"/>
            <x v="19"/>
          </reference>
        </references>
      </pivotArea>
    </format>
    <format dxfId="5836">
      <pivotArea dataOnly="0" labelOnly="1" fieldPosition="0">
        <references count="3">
          <reference field="4" count="1" selected="0">
            <x v="0"/>
          </reference>
          <reference field="6" count="1" selected="0">
            <x v="1"/>
          </reference>
          <reference field="7" count="2">
            <x v="23"/>
            <x v="26"/>
          </reference>
        </references>
      </pivotArea>
    </format>
    <format dxfId="5835">
      <pivotArea dataOnly="0" labelOnly="1" fieldPosition="0">
        <references count="3">
          <reference field="4" count="1" selected="0">
            <x v="1"/>
          </reference>
          <reference field="6" count="1" selected="0">
            <x v="0"/>
          </reference>
          <reference field="7" count="1">
            <x v="19"/>
          </reference>
        </references>
      </pivotArea>
    </format>
    <format dxfId="5834">
      <pivotArea dataOnly="0" labelOnly="1" fieldPosition="0">
        <references count="3">
          <reference field="4" count="1" selected="0">
            <x v="1"/>
          </reference>
          <reference field="6" count="1" selected="0">
            <x v="3"/>
          </reference>
          <reference field="7" count="3">
            <x v="2"/>
            <x v="3"/>
            <x v="4"/>
          </reference>
        </references>
      </pivotArea>
    </format>
    <format dxfId="5833">
      <pivotArea dataOnly="0" labelOnly="1" fieldPosition="0">
        <references count="3">
          <reference field="4" count="1" selected="0">
            <x v="1"/>
          </reference>
          <reference field="6" count="1" selected="0">
            <x v="4"/>
          </reference>
          <reference field="7" count="1">
            <x v="8"/>
          </reference>
        </references>
      </pivotArea>
    </format>
    <format dxfId="5832">
      <pivotArea dataOnly="0" labelOnly="1" fieldPosition="0">
        <references count="3">
          <reference field="4" count="1" selected="0">
            <x v="2"/>
          </reference>
          <reference field="6" count="1" selected="0">
            <x v="2"/>
          </reference>
          <reference field="7" count="2">
            <x v="29"/>
            <x v="30"/>
          </reference>
        </references>
      </pivotArea>
    </format>
    <format dxfId="5831">
      <pivotArea dataOnly="0" labelOnly="1" fieldPosition="0">
        <references count="3">
          <reference field="4" count="1" selected="0">
            <x v="2"/>
          </reference>
          <reference field="6" count="1" selected="0">
            <x v="3"/>
          </reference>
          <reference field="7" count="2">
            <x v="5"/>
            <x v="7"/>
          </reference>
        </references>
      </pivotArea>
    </format>
    <format dxfId="5830">
      <pivotArea dataOnly="0" labelOnly="1" fieldPosition="0">
        <references count="3">
          <reference field="4" count="1" selected="0">
            <x v="2"/>
          </reference>
          <reference field="6" count="1" selected="0">
            <x v="4"/>
          </reference>
          <reference field="7" count="1">
            <x v="8"/>
          </reference>
        </references>
      </pivotArea>
    </format>
    <format dxfId="5829">
      <pivotArea dataOnly="0" labelOnly="1" fieldPosition="0">
        <references count="3">
          <reference field="4" count="1" selected="0">
            <x v="3"/>
          </reference>
          <reference field="6" count="1" selected="0">
            <x v="3"/>
          </reference>
          <reference field="7" count="1">
            <x v="6"/>
          </reference>
        </references>
      </pivotArea>
    </format>
    <format dxfId="5828">
      <pivotArea dataOnly="0" labelOnly="1" fieldPosition="0">
        <references count="3">
          <reference field="4" count="1" selected="0">
            <x v="4"/>
          </reference>
          <reference field="6" count="1" selected="0">
            <x v="0"/>
          </reference>
          <reference field="7" count="1">
            <x v="21"/>
          </reference>
        </references>
      </pivotArea>
    </format>
    <format dxfId="5827">
      <pivotArea dataOnly="0" labelOnly="1" fieldPosition="0">
        <references count="3">
          <reference field="4" count="1" selected="0">
            <x v="4"/>
          </reference>
          <reference field="6" count="1" selected="0">
            <x v="1"/>
          </reference>
          <reference field="7" count="1">
            <x v="24"/>
          </reference>
        </references>
      </pivotArea>
    </format>
    <format dxfId="5826">
      <pivotArea dataOnly="0" labelOnly="1" fieldPosition="0">
        <references count="3">
          <reference field="4" count="1" selected="0">
            <x v="4"/>
          </reference>
          <reference field="6" count="1" selected="0">
            <x v="2"/>
          </reference>
          <reference field="7" count="2">
            <x v="29"/>
            <x v="31"/>
          </reference>
        </references>
      </pivotArea>
    </format>
    <format dxfId="5825">
      <pivotArea dataOnly="0" labelOnly="1" fieldPosition="0">
        <references count="3">
          <reference field="4" count="1" selected="0">
            <x v="4"/>
          </reference>
          <reference field="6" count="1" selected="0">
            <x v="3"/>
          </reference>
          <reference field="7" count="2">
            <x v="0"/>
            <x v="1"/>
          </reference>
        </references>
      </pivotArea>
    </format>
    <format dxfId="5824">
      <pivotArea dataOnly="0" labelOnly="1" fieldPosition="0">
        <references count="3">
          <reference field="4" count="1" selected="0">
            <x v="5"/>
          </reference>
          <reference field="6" count="1" selected="0">
            <x v="0"/>
          </reference>
          <reference field="7" count="2">
            <x v="18"/>
            <x v="22"/>
          </reference>
        </references>
      </pivotArea>
    </format>
    <format dxfId="5823">
      <pivotArea dataOnly="0" labelOnly="1" fieldPosition="0">
        <references count="3">
          <reference field="4" count="1" selected="0">
            <x v="5"/>
          </reference>
          <reference field="6" count="1" selected="0">
            <x v="4"/>
          </reference>
          <reference field="7" count="1">
            <x v="8"/>
          </reference>
        </references>
      </pivotArea>
    </format>
    <format dxfId="5822">
      <pivotArea dataOnly="0" labelOnly="1" fieldPosition="0">
        <references count="3">
          <reference field="4" count="1" selected="0">
            <x v="6"/>
          </reference>
          <reference field="6" count="1" selected="0">
            <x v="1"/>
          </reference>
          <reference field="7" count="1">
            <x v="24"/>
          </reference>
        </references>
      </pivotArea>
    </format>
    <format dxfId="5821">
      <pivotArea dataOnly="0" labelOnly="1" fieldPosition="0">
        <references count="3">
          <reference field="4" count="1" selected="0">
            <x v="7"/>
          </reference>
          <reference field="6" count="1" selected="0">
            <x v="0"/>
          </reference>
          <reference field="7" count="1">
            <x v="16"/>
          </reference>
        </references>
      </pivotArea>
    </format>
    <format dxfId="5820">
      <pivotArea dataOnly="0" labelOnly="1" fieldPosition="0">
        <references count="3">
          <reference field="4" count="1" selected="0">
            <x v="7"/>
          </reference>
          <reference field="6" count="1" selected="0">
            <x v="2"/>
          </reference>
          <reference field="7" count="2">
            <x v="29"/>
            <x v="30"/>
          </reference>
        </references>
      </pivotArea>
    </format>
    <format dxfId="5819">
      <pivotArea dataOnly="0" labelOnly="1" fieldPosition="0">
        <references count="3">
          <reference field="4" count="1" selected="0">
            <x v="7"/>
          </reference>
          <reference field="6" count="1" selected="0">
            <x v="3"/>
          </reference>
          <reference field="7" count="1">
            <x v="6"/>
          </reference>
        </references>
      </pivotArea>
    </format>
    <format dxfId="5818">
      <pivotArea dataOnly="0" labelOnly="1" fieldPosition="0">
        <references count="3">
          <reference field="4" count="1" selected="0">
            <x v="7"/>
          </reference>
          <reference field="6" count="1" selected="0">
            <x v="4"/>
          </reference>
          <reference field="7" count="8">
            <x v="8"/>
            <x v="9"/>
            <x v="10"/>
            <x v="11"/>
            <x v="12"/>
            <x v="13"/>
            <x v="14"/>
            <x v="15"/>
          </reference>
        </references>
      </pivotArea>
    </format>
    <format dxfId="5817">
      <pivotArea dataOnly="0" labelOnly="1" fieldPosition="0">
        <references count="3">
          <reference field="4" count="1" selected="0">
            <x v="8"/>
          </reference>
          <reference field="6" count="1" selected="0">
            <x v="0"/>
          </reference>
          <reference field="7" count="2">
            <x v="18"/>
            <x v="22"/>
          </reference>
        </references>
      </pivotArea>
    </format>
    <format dxfId="5816">
      <pivotArea dataOnly="0" labelOnly="1" fieldPosition="0">
        <references count="3">
          <reference field="4" count="1" selected="0">
            <x v="8"/>
          </reference>
          <reference field="6" count="1" selected="0">
            <x v="1"/>
          </reference>
          <reference field="7" count="1">
            <x v="28"/>
          </reference>
        </references>
      </pivotArea>
    </format>
    <format dxfId="5815">
      <pivotArea dataOnly="0" labelOnly="1" fieldPosition="0">
        <references count="3">
          <reference field="4" count="1" selected="0">
            <x v="8"/>
          </reference>
          <reference field="6" count="1" selected="0">
            <x v="2"/>
          </reference>
          <reference field="7" count="1">
            <x v="32"/>
          </reference>
        </references>
      </pivotArea>
    </format>
    <format dxfId="5814">
      <pivotArea dataOnly="0" labelOnly="1" fieldPosition="0">
        <references count="3">
          <reference field="4" count="1" selected="0">
            <x v="8"/>
          </reference>
          <reference field="6" count="1" selected="0">
            <x v="3"/>
          </reference>
          <reference field="7" count="1">
            <x v="6"/>
          </reference>
        </references>
      </pivotArea>
    </format>
    <format dxfId="5813">
      <pivotArea dataOnly="0" labelOnly="1" fieldPosition="0">
        <references count="3">
          <reference field="4" count="1" selected="0">
            <x v="9"/>
          </reference>
          <reference field="6" count="1" selected="0">
            <x v="1"/>
          </reference>
          <reference field="7" count="1">
            <x v="25"/>
          </reference>
        </references>
      </pivotArea>
    </format>
    <format dxfId="5812">
      <pivotArea dataOnly="0" labelOnly="1" fieldPosition="0">
        <references count="3">
          <reference field="4" count="1" selected="0">
            <x v="10"/>
          </reference>
          <reference field="6" count="1" selected="0">
            <x v="3"/>
          </reference>
          <reference field="7" count="1">
            <x v="6"/>
          </reference>
        </references>
      </pivotArea>
    </format>
    <format dxfId="5811">
      <pivotArea dataOnly="0" labelOnly="1" fieldPosition="0">
        <references count="3">
          <reference field="4" count="1" selected="0">
            <x v="11"/>
          </reference>
          <reference field="6" count="1" selected="0">
            <x v="0"/>
          </reference>
          <reference field="7" count="1">
            <x v="17"/>
          </reference>
        </references>
      </pivotArea>
    </format>
    <format dxfId="5810">
      <pivotArea dataOnly="0" labelOnly="1" fieldPosition="0">
        <references count="3">
          <reference field="4" count="1" selected="0">
            <x v="12"/>
          </reference>
          <reference field="6" count="1" selected="0">
            <x v="0"/>
          </reference>
          <reference field="7" count="1">
            <x v="18"/>
          </reference>
        </references>
      </pivotArea>
    </format>
    <format dxfId="5809">
      <pivotArea dataOnly="0" labelOnly="1" fieldPosition="0">
        <references count="3">
          <reference field="4" count="1" selected="0">
            <x v="13"/>
          </reference>
          <reference field="6" count="1" selected="0">
            <x v="3"/>
          </reference>
          <reference field="7" count="2">
            <x v="1"/>
            <x v="5"/>
          </reference>
        </references>
      </pivotArea>
    </format>
    <format dxfId="5808">
      <pivotArea dataOnly="0" labelOnly="1" fieldPosition="0">
        <references count="3">
          <reference field="4" count="1" selected="0">
            <x v="14"/>
          </reference>
          <reference field="6" count="1" selected="0">
            <x v="1"/>
          </reference>
          <reference field="7" count="1">
            <x v="26"/>
          </reference>
        </references>
      </pivotArea>
    </format>
    <format dxfId="5807">
      <pivotArea dataOnly="0" labelOnly="1" fieldPosition="0">
        <references count="3">
          <reference field="4" count="1" selected="0">
            <x v="15"/>
          </reference>
          <reference field="6" count="1" selected="0">
            <x v="0"/>
          </reference>
          <reference field="7" count="1">
            <x v="20"/>
          </reference>
        </references>
      </pivotArea>
    </format>
    <format dxfId="5806">
      <pivotArea dataOnly="0" labelOnly="1" fieldPosition="0">
        <references count="3">
          <reference field="4" count="1" selected="0">
            <x v="16"/>
          </reference>
          <reference field="6" count="1" selected="0">
            <x v="1"/>
          </reference>
          <reference field="7" count="1">
            <x v="27"/>
          </reference>
        </references>
      </pivotArea>
    </format>
    <format dxfId="5805">
      <pivotArea dataOnly="0" labelOnly="1" fieldPosition="0">
        <references count="3">
          <reference field="4" count="1" selected="0">
            <x v="16"/>
          </reference>
          <reference field="6" count="1" selected="0">
            <x v="3"/>
          </reference>
          <reference field="7" count="1">
            <x v="1"/>
          </reference>
        </references>
      </pivotArea>
    </format>
    <format dxfId="5804">
      <pivotArea dataOnly="0" labelOnly="1" fieldPosition="0">
        <references count="3">
          <reference field="4" count="1" selected="0">
            <x v="16"/>
          </reference>
          <reference field="6" count="1" selected="0">
            <x v="4"/>
          </reference>
          <reference field="7" count="2">
            <x v="8"/>
            <x v="11"/>
          </reference>
        </references>
      </pivotArea>
    </format>
    <format dxfId="5803">
      <pivotArea dataOnly="0" labelOnly="1" fieldPosition="0">
        <references count="3">
          <reference field="4" count="1" selected="0">
            <x v="17"/>
          </reference>
          <reference field="6" count="1" selected="0">
            <x v="0"/>
          </reference>
          <reference field="7" count="2">
            <x v="16"/>
            <x v="22"/>
          </reference>
        </references>
      </pivotArea>
    </format>
    <format dxfId="5802">
      <pivotArea dataOnly="0" labelOnly="1" fieldPosition="0">
        <references count="3">
          <reference field="4" count="1" selected="0">
            <x v="18"/>
          </reference>
          <reference field="6" count="1" selected="0">
            <x v="3"/>
          </reference>
          <reference field="7" count="1">
            <x v="2"/>
          </reference>
        </references>
      </pivotArea>
    </format>
    <format dxfId="5801">
      <pivotArea dataOnly="0" labelOnly="1" fieldPosition="0">
        <references count="3">
          <reference field="4" count="1" selected="0">
            <x v="19"/>
          </reference>
          <reference field="6" count="1" selected="0">
            <x v="3"/>
          </reference>
          <reference field="7" count="1">
            <x v="6"/>
          </reference>
        </references>
      </pivotArea>
    </format>
    <format dxfId="5800">
      <pivotArea dataOnly="0" labelOnly="1" fieldPosition="0">
        <references count="3">
          <reference field="4" count="1" selected="0">
            <x v="20"/>
          </reference>
          <reference field="6" count="1" selected="0">
            <x v="1"/>
          </reference>
          <reference field="7" count="1">
            <x v="24"/>
          </reference>
        </references>
      </pivotArea>
    </format>
    <format dxfId="5799">
      <pivotArea dataOnly="0" labelOnly="1" fieldPosition="0">
        <references count="4">
          <reference field="4" count="1" selected="0">
            <x v="0"/>
          </reference>
          <reference field="6" count="1" selected="0">
            <x v="0"/>
          </reference>
          <reference field="7" count="1" selected="0">
            <x v="17"/>
          </reference>
          <reference field="8" count="5">
            <x v="65"/>
            <x v="66"/>
            <x v="67"/>
            <x v="68"/>
            <x v="69"/>
          </reference>
        </references>
      </pivotArea>
    </format>
    <format dxfId="5798">
      <pivotArea dataOnly="0" labelOnly="1" fieldPosition="0">
        <references count="4">
          <reference field="4" count="1" selected="0">
            <x v="0"/>
          </reference>
          <reference field="6" count="1" selected="0">
            <x v="0"/>
          </reference>
          <reference field="7" count="1" selected="0">
            <x v="19"/>
          </reference>
          <reference field="8" count="3">
            <x v="78"/>
            <x v="79"/>
            <x v="80"/>
          </reference>
        </references>
      </pivotArea>
    </format>
    <format dxfId="5797">
      <pivotArea dataOnly="0" labelOnly="1" fieldPosition="0">
        <references count="4">
          <reference field="4" count="1" selected="0">
            <x v="0"/>
          </reference>
          <reference field="6" count="1" selected="0">
            <x v="1"/>
          </reference>
          <reference field="7" count="1" selected="0">
            <x v="23"/>
          </reference>
          <reference field="8" count="10">
            <x v="95"/>
            <x v="96"/>
            <x v="97"/>
            <x v="98"/>
            <x v="99"/>
            <x v="100"/>
            <x v="101"/>
            <x v="102"/>
            <x v="103"/>
            <x v="104"/>
          </reference>
        </references>
      </pivotArea>
    </format>
    <format dxfId="5796">
      <pivotArea dataOnly="0" labelOnly="1" fieldPosition="0">
        <references count="4">
          <reference field="4" count="1" selected="0">
            <x v="0"/>
          </reference>
          <reference field="6" count="1" selected="0">
            <x v="1"/>
          </reference>
          <reference field="7" count="1" selected="0">
            <x v="26"/>
          </reference>
          <reference field="8" count="1">
            <x v="131"/>
          </reference>
        </references>
      </pivotArea>
    </format>
    <format dxfId="5795">
      <pivotArea dataOnly="0" labelOnly="1" fieldPosition="0">
        <references count="4">
          <reference field="4" count="1" selected="0">
            <x v="1"/>
          </reference>
          <reference field="6" count="1" selected="0">
            <x v="0"/>
          </reference>
          <reference field="7" count="1" selected="0">
            <x v="19"/>
          </reference>
          <reference field="8" count="1">
            <x v="81"/>
          </reference>
        </references>
      </pivotArea>
    </format>
    <format dxfId="5794">
      <pivotArea dataOnly="0" labelOnly="1" fieldPosition="0">
        <references count="4">
          <reference field="4" count="1" selected="0">
            <x v="1"/>
          </reference>
          <reference field="6" count="1" selected="0">
            <x v="3"/>
          </reference>
          <reference field="7" count="1" selected="0">
            <x v="2"/>
          </reference>
          <reference field="8" count="7">
            <x v="7"/>
            <x v="10"/>
            <x v="11"/>
            <x v="12"/>
            <x v="13"/>
            <x v="14"/>
            <x v="15"/>
          </reference>
        </references>
      </pivotArea>
    </format>
    <format dxfId="5793">
      <pivotArea dataOnly="0" labelOnly="1" fieldPosition="0">
        <references count="4">
          <reference field="4" count="1" selected="0">
            <x v="1"/>
          </reference>
          <reference field="6" count="1" selected="0">
            <x v="3"/>
          </reference>
          <reference field="7" count="1" selected="0">
            <x v="3"/>
          </reference>
          <reference field="8" count="2">
            <x v="18"/>
            <x v="19"/>
          </reference>
        </references>
      </pivotArea>
    </format>
    <format dxfId="5792">
      <pivotArea dataOnly="0" labelOnly="1" fieldPosition="0">
        <references count="4">
          <reference field="4" count="1" selected="0">
            <x v="1"/>
          </reference>
          <reference field="6" count="1" selected="0">
            <x v="3"/>
          </reference>
          <reference field="7" count="1" selected="0">
            <x v="4"/>
          </reference>
          <reference field="8" count="2">
            <x v="20"/>
            <x v="21"/>
          </reference>
        </references>
      </pivotArea>
    </format>
    <format dxfId="5791">
      <pivotArea dataOnly="0" labelOnly="1" fieldPosition="0">
        <references count="4">
          <reference field="4" count="1" selected="0">
            <x v="1"/>
          </reference>
          <reference field="6" count="1" selected="0">
            <x v="4"/>
          </reference>
          <reference field="7" count="1" selected="0">
            <x v="8"/>
          </reference>
          <reference field="8" count="3">
            <x v="33"/>
            <x v="34"/>
            <x v="39"/>
          </reference>
        </references>
      </pivotArea>
    </format>
    <format dxfId="5790">
      <pivotArea dataOnly="0" labelOnly="1" fieldPosition="0">
        <references count="4">
          <reference field="4" count="1" selected="0">
            <x v="2"/>
          </reference>
          <reference field="6" count="1" selected="0">
            <x v="2"/>
          </reference>
          <reference field="7" count="1" selected="0">
            <x v="29"/>
          </reference>
          <reference field="8" count="6">
            <x v="145"/>
            <x v="146"/>
            <x v="147"/>
            <x v="148"/>
            <x v="149"/>
            <x v="150"/>
          </reference>
        </references>
      </pivotArea>
    </format>
    <format dxfId="5789">
      <pivotArea dataOnly="0" labelOnly="1" fieldPosition="0">
        <references count="4">
          <reference field="4" count="1" selected="0">
            <x v="2"/>
          </reference>
          <reference field="6" count="1" selected="0">
            <x v="2"/>
          </reference>
          <reference field="7" count="1" selected="0">
            <x v="30"/>
          </reference>
          <reference field="8" count="2">
            <x v="152"/>
            <x v="153"/>
          </reference>
        </references>
      </pivotArea>
    </format>
    <format dxfId="5788">
      <pivotArea dataOnly="0" labelOnly="1" fieldPosition="0">
        <references count="4">
          <reference field="4" count="1" selected="0">
            <x v="2"/>
          </reference>
          <reference field="6" count="1" selected="0">
            <x v="3"/>
          </reference>
          <reference field="7" count="1" selected="0">
            <x v="5"/>
          </reference>
          <reference field="8" count="1">
            <x v="24"/>
          </reference>
        </references>
      </pivotArea>
    </format>
    <format dxfId="5787">
      <pivotArea dataOnly="0" labelOnly="1" fieldPosition="0">
        <references count="4">
          <reference field="4" count="1" selected="0">
            <x v="2"/>
          </reference>
          <reference field="6" count="1" selected="0">
            <x v="3"/>
          </reference>
          <reference field="7" count="1" selected="0">
            <x v="7"/>
          </reference>
          <reference field="8" count="2">
            <x v="31"/>
            <x v="32"/>
          </reference>
        </references>
      </pivotArea>
    </format>
    <format dxfId="5786">
      <pivotArea dataOnly="0" labelOnly="1" fieldPosition="0">
        <references count="4">
          <reference field="4" count="1" selected="0">
            <x v="2"/>
          </reference>
          <reference field="6" count="1" selected="0">
            <x v="4"/>
          </reference>
          <reference field="7" count="1" selected="0">
            <x v="8"/>
          </reference>
          <reference field="8" count="2">
            <x v="36"/>
            <x v="39"/>
          </reference>
        </references>
      </pivotArea>
    </format>
    <format dxfId="5785">
      <pivotArea dataOnly="0" labelOnly="1" fieldPosition="0">
        <references count="4">
          <reference field="4" count="1" selected="0">
            <x v="3"/>
          </reference>
          <reference field="6" count="1" selected="0">
            <x v="3"/>
          </reference>
          <reference field="7" count="1" selected="0">
            <x v="6"/>
          </reference>
          <reference field="8" count="1">
            <x v="29"/>
          </reference>
        </references>
      </pivotArea>
    </format>
    <format dxfId="5784">
      <pivotArea dataOnly="0" labelOnly="1" fieldPosition="0">
        <references count="4">
          <reference field="4" count="1" selected="0">
            <x v="4"/>
          </reference>
          <reference field="6" count="1" selected="0">
            <x v="0"/>
          </reference>
          <reference field="7" count="1" selected="0">
            <x v="21"/>
          </reference>
          <reference field="8" count="5">
            <x v="87"/>
            <x v="88"/>
            <x v="89"/>
            <x v="90"/>
            <x v="91"/>
          </reference>
        </references>
      </pivotArea>
    </format>
    <format dxfId="5783">
      <pivotArea dataOnly="0" labelOnly="1" fieldPosition="0">
        <references count="4">
          <reference field="4" count="1" selected="0">
            <x v="4"/>
          </reference>
          <reference field="6" count="1" selected="0">
            <x v="1"/>
          </reference>
          <reference field="7" count="1" selected="0">
            <x v="24"/>
          </reference>
          <reference field="8" count="1">
            <x v="114"/>
          </reference>
        </references>
      </pivotArea>
    </format>
    <format dxfId="5782">
      <pivotArea dataOnly="0" labelOnly="1" fieldPosition="0">
        <references count="4">
          <reference field="4" count="1" selected="0">
            <x v="4"/>
          </reference>
          <reference field="6" count="1" selected="0">
            <x v="2"/>
          </reference>
          <reference field="7" count="1" selected="0">
            <x v="29"/>
          </reference>
          <reference field="8" count="3">
            <x v="142"/>
            <x v="143"/>
            <x v="151"/>
          </reference>
        </references>
      </pivotArea>
    </format>
    <format dxfId="5781">
      <pivotArea dataOnly="0" labelOnly="1" fieldPosition="0">
        <references count="4">
          <reference field="4" count="1" selected="0">
            <x v="4"/>
          </reference>
          <reference field="6" count="1" selected="0">
            <x v="2"/>
          </reference>
          <reference field="7" count="1" selected="0">
            <x v="31"/>
          </reference>
          <reference field="8" count="3">
            <x v="155"/>
            <x v="156"/>
            <x v="157"/>
          </reference>
        </references>
      </pivotArea>
    </format>
    <format dxfId="5780">
      <pivotArea dataOnly="0" labelOnly="1" fieldPosition="0">
        <references count="4">
          <reference field="4" count="1" selected="0">
            <x v="4"/>
          </reference>
          <reference field="6" count="1" selected="0">
            <x v="3"/>
          </reference>
          <reference field="7" count="1" selected="0">
            <x v="0"/>
          </reference>
          <reference field="8" count="2">
            <x v="0"/>
            <x v="1"/>
          </reference>
        </references>
      </pivotArea>
    </format>
    <format dxfId="5779">
      <pivotArea dataOnly="0" labelOnly="1" fieldPosition="0">
        <references count="4">
          <reference field="4" count="1" selected="0">
            <x v="4"/>
          </reference>
          <reference field="6" count="1" selected="0">
            <x v="3"/>
          </reference>
          <reference field="7" count="1" selected="0">
            <x v="1"/>
          </reference>
          <reference field="8" count="4">
            <x v="2"/>
            <x v="3"/>
            <x v="4"/>
            <x v="5"/>
          </reference>
        </references>
      </pivotArea>
    </format>
    <format dxfId="5778">
      <pivotArea dataOnly="0" labelOnly="1" fieldPosition="0">
        <references count="4">
          <reference field="4" count="1" selected="0">
            <x v="5"/>
          </reference>
          <reference field="6" count="1" selected="0">
            <x v="0"/>
          </reference>
          <reference field="7" count="1" selected="0">
            <x v="18"/>
          </reference>
          <reference field="8" count="3">
            <x v="73"/>
            <x v="74"/>
            <x v="77"/>
          </reference>
        </references>
      </pivotArea>
    </format>
    <format dxfId="5777">
      <pivotArea dataOnly="0" labelOnly="1" fieldPosition="0">
        <references count="4">
          <reference field="4" count="1" selected="0">
            <x v="5"/>
          </reference>
          <reference field="6" count="1" selected="0">
            <x v="0"/>
          </reference>
          <reference field="7" count="1" selected="0">
            <x v="22"/>
          </reference>
          <reference field="8" count="1">
            <x v="94"/>
          </reference>
        </references>
      </pivotArea>
    </format>
    <format dxfId="5776">
      <pivotArea dataOnly="0" labelOnly="1" fieldPosition="0">
        <references count="4">
          <reference field="4" count="1" selected="0">
            <x v="5"/>
          </reference>
          <reference field="6" count="1" selected="0">
            <x v="4"/>
          </reference>
          <reference field="7" count="1" selected="0">
            <x v="8"/>
          </reference>
          <reference field="8" count="1">
            <x v="37"/>
          </reference>
        </references>
      </pivotArea>
    </format>
    <format dxfId="5775">
      <pivotArea dataOnly="0" labelOnly="1" fieldPosition="0">
        <references count="4">
          <reference field="4" count="1" selected="0">
            <x v="6"/>
          </reference>
          <reference field="6" count="1" selected="0">
            <x v="1"/>
          </reference>
          <reference field="7" count="1" selected="0">
            <x v="24"/>
          </reference>
          <reference field="8" count="8">
            <x v="105"/>
            <x v="107"/>
            <x v="108"/>
            <x v="109"/>
            <x v="110"/>
            <x v="111"/>
            <x v="112"/>
            <x v="113"/>
          </reference>
        </references>
      </pivotArea>
    </format>
    <format dxfId="5774">
      <pivotArea dataOnly="0" labelOnly="1" fieldPosition="0">
        <references count="4">
          <reference field="4" count="1" selected="0">
            <x v="7"/>
          </reference>
          <reference field="6" count="1" selected="0">
            <x v="0"/>
          </reference>
          <reference field="7" count="1" selected="0">
            <x v="16"/>
          </reference>
          <reference field="8" count="1">
            <x v="64"/>
          </reference>
        </references>
      </pivotArea>
    </format>
    <format dxfId="5773">
      <pivotArea dataOnly="0" labelOnly="1" fieldPosition="0">
        <references count="4">
          <reference field="4" count="1" selected="0">
            <x v="7"/>
          </reference>
          <reference field="6" count="1" selected="0">
            <x v="2"/>
          </reference>
          <reference field="7" count="1" selected="0">
            <x v="29"/>
          </reference>
          <reference field="8" count="4">
            <x v="140"/>
            <x v="141"/>
            <x v="144"/>
            <x v="145"/>
          </reference>
        </references>
      </pivotArea>
    </format>
    <format dxfId="5772">
      <pivotArea dataOnly="0" labelOnly="1" fieldPosition="0">
        <references count="4">
          <reference field="4" count="1" selected="0">
            <x v="7"/>
          </reference>
          <reference field="6" count="1" selected="0">
            <x v="2"/>
          </reference>
          <reference field="7" count="1" selected="0">
            <x v="30"/>
          </reference>
          <reference field="8" count="1">
            <x v="154"/>
          </reference>
        </references>
      </pivotArea>
    </format>
    <format dxfId="5771">
      <pivotArea dataOnly="0" labelOnly="1" fieldPosition="0">
        <references count="4">
          <reference field="4" count="1" selected="0">
            <x v="7"/>
          </reference>
          <reference field="6" count="1" selected="0">
            <x v="3"/>
          </reference>
          <reference field="7" count="1" selected="0">
            <x v="6"/>
          </reference>
          <reference field="8" count="1">
            <x v="28"/>
          </reference>
        </references>
      </pivotArea>
    </format>
    <format dxfId="5770">
      <pivotArea dataOnly="0" labelOnly="1" fieldPosition="0">
        <references count="4">
          <reference field="4" count="1" selected="0">
            <x v="7"/>
          </reference>
          <reference field="6" count="1" selected="0">
            <x v="4"/>
          </reference>
          <reference field="7" count="1" selected="0">
            <x v="8"/>
          </reference>
          <reference field="8" count="2">
            <x v="35"/>
            <x v="36"/>
          </reference>
        </references>
      </pivotArea>
    </format>
    <format dxfId="5769">
      <pivotArea dataOnly="0" labelOnly="1" fieldPosition="0">
        <references count="4">
          <reference field="4" count="1" selected="0">
            <x v="7"/>
          </reference>
          <reference field="6" count="1" selected="0">
            <x v="4"/>
          </reference>
          <reference field="7" count="1" selected="0">
            <x v="9"/>
          </reference>
          <reference field="8" count="4">
            <x v="40"/>
            <x v="41"/>
            <x v="42"/>
            <x v="43"/>
          </reference>
        </references>
      </pivotArea>
    </format>
    <format dxfId="5768">
      <pivotArea dataOnly="0" labelOnly="1" fieldPosition="0">
        <references count="4">
          <reference field="4" count="1" selected="0">
            <x v="7"/>
          </reference>
          <reference field="6" count="1" selected="0">
            <x v="4"/>
          </reference>
          <reference field="7" count="1" selected="0">
            <x v="10"/>
          </reference>
          <reference field="8" count="4">
            <x v="44"/>
            <x v="45"/>
            <x v="46"/>
            <x v="47"/>
          </reference>
        </references>
      </pivotArea>
    </format>
    <format dxfId="5767">
      <pivotArea dataOnly="0" labelOnly="1" fieldPosition="0">
        <references count="4">
          <reference field="4" count="1" selected="0">
            <x v="7"/>
          </reference>
          <reference field="6" count="1" selected="0">
            <x v="4"/>
          </reference>
          <reference field="7" count="1" selected="0">
            <x v="11"/>
          </reference>
          <reference field="8" count="2">
            <x v="48"/>
            <x v="49"/>
          </reference>
        </references>
      </pivotArea>
    </format>
    <format dxfId="5766">
      <pivotArea dataOnly="0" labelOnly="1" fieldPosition="0">
        <references count="4">
          <reference field="4" count="1" selected="0">
            <x v="7"/>
          </reference>
          <reference field="6" count="1" selected="0">
            <x v="4"/>
          </reference>
          <reference field="7" count="1" selected="0">
            <x v="12"/>
          </reference>
          <reference field="8" count="1">
            <x v="50"/>
          </reference>
        </references>
      </pivotArea>
    </format>
    <format dxfId="5765">
      <pivotArea dataOnly="0" labelOnly="1" fieldPosition="0">
        <references count="4">
          <reference field="4" count="1" selected="0">
            <x v="7"/>
          </reference>
          <reference field="6" count="1" selected="0">
            <x v="4"/>
          </reference>
          <reference field="7" count="1" selected="0">
            <x v="13"/>
          </reference>
          <reference field="8" count="3">
            <x v="51"/>
            <x v="52"/>
            <x v="53"/>
          </reference>
        </references>
      </pivotArea>
    </format>
    <format dxfId="5764">
      <pivotArea dataOnly="0" labelOnly="1" fieldPosition="0">
        <references count="4">
          <reference field="4" count="1" selected="0">
            <x v="7"/>
          </reference>
          <reference field="6" count="1" selected="0">
            <x v="4"/>
          </reference>
          <reference field="7" count="1" selected="0">
            <x v="14"/>
          </reference>
          <reference field="8" count="2">
            <x v="54"/>
            <x v="55"/>
          </reference>
        </references>
      </pivotArea>
    </format>
    <format dxfId="5763">
      <pivotArea dataOnly="0" labelOnly="1" fieldPosition="0">
        <references count="4">
          <reference field="4" count="1" selected="0">
            <x v="7"/>
          </reference>
          <reference field="6" count="1" selected="0">
            <x v="4"/>
          </reference>
          <reference field="7" count="1" selected="0">
            <x v="15"/>
          </reference>
          <reference field="8" count="1">
            <x v="56"/>
          </reference>
        </references>
      </pivotArea>
    </format>
    <format dxfId="5762">
      <pivotArea dataOnly="0" labelOnly="1" fieldPosition="0">
        <references count="4">
          <reference field="4" count="1" selected="0">
            <x v="8"/>
          </reference>
          <reference field="6" count="1" selected="0">
            <x v="0"/>
          </reference>
          <reference field="7" count="1" selected="0">
            <x v="18"/>
          </reference>
          <reference field="8" count="1">
            <x v="77"/>
          </reference>
        </references>
      </pivotArea>
    </format>
    <format dxfId="5761">
      <pivotArea dataOnly="0" labelOnly="1" fieldPosition="0">
        <references count="4">
          <reference field="4" count="1" selected="0">
            <x v="8"/>
          </reference>
          <reference field="6" count="1" selected="0">
            <x v="0"/>
          </reference>
          <reference field="7" count="1" selected="0">
            <x v="22"/>
          </reference>
          <reference field="8" count="3">
            <x v="92"/>
            <x v="93"/>
            <x v="94"/>
          </reference>
        </references>
      </pivotArea>
    </format>
    <format dxfId="5760">
      <pivotArea dataOnly="0" labelOnly="1" fieldPosition="0">
        <references count="4">
          <reference field="4" count="1" selected="0">
            <x v="8"/>
          </reference>
          <reference field="6" count="1" selected="0">
            <x v="1"/>
          </reference>
          <reference field="7" count="1" selected="0">
            <x v="28"/>
          </reference>
          <reference field="8" count="2">
            <x v="138"/>
            <x v="139"/>
          </reference>
        </references>
      </pivotArea>
    </format>
    <format dxfId="5759">
      <pivotArea dataOnly="0" labelOnly="1" fieldPosition="0">
        <references count="4">
          <reference field="4" count="1" selected="0">
            <x v="8"/>
          </reference>
          <reference field="6" count="1" selected="0">
            <x v="2"/>
          </reference>
          <reference field="7" count="1" selected="0">
            <x v="32"/>
          </reference>
          <reference field="8" count="2">
            <x v="158"/>
            <x v="159"/>
          </reference>
        </references>
      </pivotArea>
    </format>
    <format dxfId="5758">
      <pivotArea dataOnly="0" labelOnly="1" fieldPosition="0">
        <references count="4">
          <reference field="4" count="1" selected="0">
            <x v="8"/>
          </reference>
          <reference field="6" count="1" selected="0">
            <x v="3"/>
          </reference>
          <reference field="7" count="1" selected="0">
            <x v="6"/>
          </reference>
          <reference field="8" count="2">
            <x v="29"/>
            <x v="30"/>
          </reference>
        </references>
      </pivotArea>
    </format>
    <format dxfId="5757">
      <pivotArea dataOnly="0" labelOnly="1" fieldPosition="0">
        <references count="4">
          <reference field="4" count="1" selected="0">
            <x v="9"/>
          </reference>
          <reference field="6" count="1" selected="0">
            <x v="1"/>
          </reference>
          <reference field="7" count="1" selected="0">
            <x v="25"/>
          </reference>
          <reference field="8" count="10">
            <x v="115"/>
            <x v="116"/>
            <x v="117"/>
            <x v="118"/>
            <x v="119"/>
            <x v="120"/>
            <x v="121"/>
            <x v="122"/>
            <x v="123"/>
            <x v="124"/>
          </reference>
        </references>
      </pivotArea>
    </format>
    <format dxfId="5756">
      <pivotArea dataOnly="0" labelOnly="1" fieldPosition="0">
        <references count="4">
          <reference field="4" count="1" selected="0">
            <x v="10"/>
          </reference>
          <reference field="6" count="1" selected="0">
            <x v="3"/>
          </reference>
          <reference field="7" count="1" selected="0">
            <x v="6"/>
          </reference>
          <reference field="8" count="1">
            <x v="29"/>
          </reference>
        </references>
      </pivotArea>
    </format>
    <format dxfId="5755">
      <pivotArea dataOnly="0" labelOnly="1" fieldPosition="0">
        <references count="4">
          <reference field="4" count="1" selected="0">
            <x v="11"/>
          </reference>
          <reference field="6" count="1" selected="0">
            <x v="0"/>
          </reference>
          <reference field="7" count="1" selected="0">
            <x v="17"/>
          </reference>
          <reference field="8" count="3">
            <x v="70"/>
            <x v="71"/>
            <x v="72"/>
          </reference>
        </references>
      </pivotArea>
    </format>
    <format dxfId="5754">
      <pivotArea dataOnly="0" labelOnly="1" fieldPosition="0">
        <references count="4">
          <reference field="4" count="1" selected="0">
            <x v="12"/>
          </reference>
          <reference field="6" count="1" selected="0">
            <x v="0"/>
          </reference>
          <reference field="7" count="1" selected="0">
            <x v="18"/>
          </reference>
          <reference field="8" count="3">
            <x v="74"/>
            <x v="75"/>
            <x v="76"/>
          </reference>
        </references>
      </pivotArea>
    </format>
    <format dxfId="5753">
      <pivotArea dataOnly="0" labelOnly="1" fieldPosition="0">
        <references count="4">
          <reference field="4" count="1" selected="0">
            <x v="13"/>
          </reference>
          <reference field="6" count="1" selected="0">
            <x v="3"/>
          </reference>
          <reference field="7" count="1" selected="0">
            <x v="1"/>
          </reference>
          <reference field="8" count="1">
            <x v="6"/>
          </reference>
        </references>
      </pivotArea>
    </format>
    <format dxfId="5752">
      <pivotArea dataOnly="0" labelOnly="1" fieldPosition="0">
        <references count="4">
          <reference field="4" count="1" selected="0">
            <x v="13"/>
          </reference>
          <reference field="6" count="1" selected="0">
            <x v="3"/>
          </reference>
          <reference field="7" count="1" selected="0">
            <x v="5"/>
          </reference>
          <reference field="8" count="6">
            <x v="22"/>
            <x v="23"/>
            <x v="24"/>
            <x v="25"/>
            <x v="26"/>
            <x v="27"/>
          </reference>
        </references>
      </pivotArea>
    </format>
    <format dxfId="5751">
      <pivotArea dataOnly="0" labelOnly="1" fieldPosition="0">
        <references count="4">
          <reference field="4" count="1" selected="0">
            <x v="14"/>
          </reference>
          <reference field="6" count="1" selected="0">
            <x v="1"/>
          </reference>
          <reference field="7" count="1" selected="0">
            <x v="26"/>
          </reference>
          <reference field="8" count="7">
            <x v="125"/>
            <x v="126"/>
            <x v="127"/>
            <x v="128"/>
            <x v="129"/>
            <x v="130"/>
            <x v="131"/>
          </reference>
        </references>
      </pivotArea>
    </format>
    <format dxfId="5750">
      <pivotArea dataOnly="0" labelOnly="1" fieldPosition="0">
        <references count="4">
          <reference field="4" count="1" selected="0">
            <x v="15"/>
          </reference>
          <reference field="6" count="1" selected="0">
            <x v="0"/>
          </reference>
          <reference field="7" count="1" selected="0">
            <x v="20"/>
          </reference>
          <reference field="8" count="5">
            <x v="82"/>
            <x v="83"/>
            <x v="84"/>
            <x v="85"/>
            <x v="86"/>
          </reference>
        </references>
      </pivotArea>
    </format>
    <format dxfId="5749">
      <pivotArea dataOnly="0" labelOnly="1" fieldPosition="0">
        <references count="4">
          <reference field="4" count="1" selected="0">
            <x v="16"/>
          </reference>
          <reference field="6" count="1" selected="0">
            <x v="1"/>
          </reference>
          <reference field="7" count="1" selected="0">
            <x v="27"/>
          </reference>
          <reference field="8" count="6">
            <x v="132"/>
            <x v="133"/>
            <x v="134"/>
            <x v="135"/>
            <x v="136"/>
            <x v="137"/>
          </reference>
        </references>
      </pivotArea>
    </format>
    <format dxfId="5748">
      <pivotArea dataOnly="0" labelOnly="1" fieldPosition="0">
        <references count="4">
          <reference field="4" count="1" selected="0">
            <x v="16"/>
          </reference>
          <reference field="6" count="1" selected="0">
            <x v="3"/>
          </reference>
          <reference field="7" count="1" selected="0">
            <x v="1"/>
          </reference>
          <reference field="8" count="1">
            <x v="6"/>
          </reference>
        </references>
      </pivotArea>
    </format>
    <format dxfId="5747">
      <pivotArea dataOnly="0" labelOnly="1" fieldPosition="0">
        <references count="4">
          <reference field="4" count="1" selected="0">
            <x v="16"/>
          </reference>
          <reference field="6" count="1" selected="0">
            <x v="4"/>
          </reference>
          <reference field="7" count="1" selected="0">
            <x v="8"/>
          </reference>
          <reference field="8" count="1">
            <x v="38"/>
          </reference>
        </references>
      </pivotArea>
    </format>
    <format dxfId="5746">
      <pivotArea dataOnly="0" labelOnly="1" fieldPosition="0">
        <references count="4">
          <reference field="4" count="1" selected="0">
            <x v="16"/>
          </reference>
          <reference field="6" count="1" selected="0">
            <x v="4"/>
          </reference>
          <reference field="7" count="1" selected="0">
            <x v="11"/>
          </reference>
          <reference field="8" count="1">
            <x v="48"/>
          </reference>
        </references>
      </pivotArea>
    </format>
    <format dxfId="5745">
      <pivotArea dataOnly="0" labelOnly="1" fieldPosition="0">
        <references count="4">
          <reference field="4" count="1" selected="0">
            <x v="17"/>
          </reference>
          <reference field="6" count="1" selected="0">
            <x v="0"/>
          </reference>
          <reference field="7" count="1" selected="0">
            <x v="16"/>
          </reference>
          <reference field="8" count="7">
            <x v="57"/>
            <x v="58"/>
            <x v="59"/>
            <x v="60"/>
            <x v="61"/>
            <x v="62"/>
            <x v="63"/>
          </reference>
        </references>
      </pivotArea>
    </format>
    <format dxfId="5744">
      <pivotArea dataOnly="0" labelOnly="1" fieldPosition="0">
        <references count="4">
          <reference field="4" count="1" selected="0">
            <x v="17"/>
          </reference>
          <reference field="6" count="1" selected="0">
            <x v="0"/>
          </reference>
          <reference field="7" count="1" selected="0">
            <x v="22"/>
          </reference>
          <reference field="8" count="1">
            <x v="94"/>
          </reference>
        </references>
      </pivotArea>
    </format>
    <format dxfId="5743">
      <pivotArea dataOnly="0" labelOnly="1" fieldPosition="0">
        <references count="4">
          <reference field="4" count="1" selected="0">
            <x v="18"/>
          </reference>
          <reference field="6" count="1" selected="0">
            <x v="3"/>
          </reference>
          <reference field="7" count="1" selected="0">
            <x v="2"/>
          </reference>
          <reference field="8" count="4">
            <x v="8"/>
            <x v="9"/>
            <x v="16"/>
            <x v="17"/>
          </reference>
        </references>
      </pivotArea>
    </format>
    <format dxfId="5742">
      <pivotArea dataOnly="0" labelOnly="1" fieldPosition="0">
        <references count="4">
          <reference field="4" count="1" selected="0">
            <x v="19"/>
          </reference>
          <reference field="6" count="1" selected="0">
            <x v="3"/>
          </reference>
          <reference field="7" count="1" selected="0">
            <x v="6"/>
          </reference>
          <reference field="8" count="1">
            <x v="29"/>
          </reference>
        </references>
      </pivotArea>
    </format>
    <format dxfId="5741">
      <pivotArea dataOnly="0" labelOnly="1" fieldPosition="0">
        <references count="4">
          <reference field="4" count="1" selected="0">
            <x v="20"/>
          </reference>
          <reference field="6" count="1" selected="0">
            <x v="1"/>
          </reference>
          <reference field="7" count="1" selected="0">
            <x v="24"/>
          </reference>
          <reference field="8" count="1">
            <x v="106"/>
          </reference>
        </references>
      </pivotArea>
    </format>
    <format dxfId="5740">
      <pivotArea dataOnly="0" labelOnly="1" fieldPosition="0">
        <references count="5">
          <reference field="4" count="1" selected="0">
            <x v="0"/>
          </reference>
          <reference field="6" count="1" selected="0">
            <x v="0"/>
          </reference>
          <reference field="7" count="1" selected="0">
            <x v="17"/>
          </reference>
          <reference field="8" count="1" selected="0">
            <x v="65"/>
          </reference>
          <reference field="15" count="1">
            <x v="108"/>
          </reference>
        </references>
      </pivotArea>
    </format>
    <format dxfId="5739">
      <pivotArea dataOnly="0" labelOnly="1" fieldPosition="0">
        <references count="5">
          <reference field="4" count="1" selected="0">
            <x v="0"/>
          </reference>
          <reference field="6" count="1" selected="0">
            <x v="0"/>
          </reference>
          <reference field="7" count="1" selected="0">
            <x v="17"/>
          </reference>
          <reference field="8" count="1" selected="0">
            <x v="66"/>
          </reference>
          <reference field="15" count="2">
            <x v="365"/>
            <x v="366"/>
          </reference>
        </references>
      </pivotArea>
    </format>
    <format dxfId="5738">
      <pivotArea dataOnly="0" labelOnly="1" fieldPosition="0">
        <references count="5">
          <reference field="4" count="1" selected="0">
            <x v="0"/>
          </reference>
          <reference field="6" count="1" selected="0">
            <x v="0"/>
          </reference>
          <reference field="7" count="1" selected="0">
            <x v="17"/>
          </reference>
          <reference field="8" count="1" selected="0">
            <x v="67"/>
          </reference>
          <reference field="15" count="2">
            <x v="364"/>
            <x v="370"/>
          </reference>
        </references>
      </pivotArea>
    </format>
    <format dxfId="5737">
      <pivotArea dataOnly="0" labelOnly="1" fieldPosition="0">
        <references count="5">
          <reference field="4" count="1" selected="0">
            <x v="0"/>
          </reference>
          <reference field="6" count="1" selected="0">
            <x v="0"/>
          </reference>
          <reference field="7" count="1" selected="0">
            <x v="17"/>
          </reference>
          <reference field="8" count="1" selected="0">
            <x v="68"/>
          </reference>
          <reference field="15" count="1">
            <x v="79"/>
          </reference>
        </references>
      </pivotArea>
    </format>
    <format dxfId="5736">
      <pivotArea dataOnly="0" labelOnly="1" fieldPosition="0">
        <references count="5">
          <reference field="4" count="1" selected="0">
            <x v="0"/>
          </reference>
          <reference field="6" count="1" selected="0">
            <x v="0"/>
          </reference>
          <reference field="7" count="1" selected="0">
            <x v="17"/>
          </reference>
          <reference field="8" count="1" selected="0">
            <x v="69"/>
          </reference>
          <reference field="15" count="1">
            <x v="42"/>
          </reference>
        </references>
      </pivotArea>
    </format>
    <format dxfId="5735">
      <pivotArea dataOnly="0" labelOnly="1" fieldPosition="0">
        <references count="5">
          <reference field="4" count="1" selected="0">
            <x v="0"/>
          </reference>
          <reference field="6" count="1" selected="0">
            <x v="0"/>
          </reference>
          <reference field="7" count="1" selected="0">
            <x v="19"/>
          </reference>
          <reference field="8" count="1" selected="0">
            <x v="78"/>
          </reference>
          <reference field="15" count="1">
            <x v="236"/>
          </reference>
        </references>
      </pivotArea>
    </format>
    <format dxfId="5734">
      <pivotArea dataOnly="0" labelOnly="1" fieldPosition="0">
        <references count="5">
          <reference field="4" count="1" selected="0">
            <x v="0"/>
          </reference>
          <reference field="6" count="1" selected="0">
            <x v="0"/>
          </reference>
          <reference field="7" count="1" selected="0">
            <x v="19"/>
          </reference>
          <reference field="8" count="1" selected="0">
            <x v="79"/>
          </reference>
          <reference field="15" count="1">
            <x v="12"/>
          </reference>
        </references>
      </pivotArea>
    </format>
    <format dxfId="5733">
      <pivotArea dataOnly="0" labelOnly="1" fieldPosition="0">
        <references count="5">
          <reference field="4" count="1" selected="0">
            <x v="0"/>
          </reference>
          <reference field="6" count="1" selected="0">
            <x v="0"/>
          </reference>
          <reference field="7" count="1" selected="0">
            <x v="19"/>
          </reference>
          <reference field="8" count="1" selected="0">
            <x v="80"/>
          </reference>
          <reference field="15" count="2">
            <x v="10"/>
            <x v="11"/>
          </reference>
        </references>
      </pivotArea>
    </format>
    <format dxfId="5732">
      <pivotArea dataOnly="0" labelOnly="1" fieldPosition="0">
        <references count="5">
          <reference field="4" count="1" selected="0">
            <x v="0"/>
          </reference>
          <reference field="6" count="1" selected="0">
            <x v="1"/>
          </reference>
          <reference field="7" count="1" selected="0">
            <x v="23"/>
          </reference>
          <reference field="8" count="1" selected="0">
            <x v="95"/>
          </reference>
          <reference field="15" count="1">
            <x v="250"/>
          </reference>
        </references>
      </pivotArea>
    </format>
    <format dxfId="5731">
      <pivotArea dataOnly="0" labelOnly="1" fieldPosition="0">
        <references count="5">
          <reference field="4" count="1" selected="0">
            <x v="0"/>
          </reference>
          <reference field="6" count="1" selected="0">
            <x v="1"/>
          </reference>
          <reference field="7" count="1" selected="0">
            <x v="23"/>
          </reference>
          <reference field="8" count="1" selected="0">
            <x v="96"/>
          </reference>
          <reference field="15" count="2">
            <x v="251"/>
            <x v="358"/>
          </reference>
        </references>
      </pivotArea>
    </format>
    <format dxfId="5730">
      <pivotArea dataOnly="0" labelOnly="1" fieldPosition="0">
        <references count="5">
          <reference field="4" count="1" selected="0">
            <x v="0"/>
          </reference>
          <reference field="6" count="1" selected="0">
            <x v="1"/>
          </reference>
          <reference field="7" count="1" selected="0">
            <x v="23"/>
          </reference>
          <reference field="8" count="1" selected="0">
            <x v="97"/>
          </reference>
          <reference field="15" count="1">
            <x v="257"/>
          </reference>
        </references>
      </pivotArea>
    </format>
    <format dxfId="5729">
      <pivotArea dataOnly="0" labelOnly="1" fieldPosition="0">
        <references count="5">
          <reference field="4" count="1" selected="0">
            <x v="0"/>
          </reference>
          <reference field="6" count="1" selected="0">
            <x v="1"/>
          </reference>
          <reference field="7" count="1" selected="0">
            <x v="23"/>
          </reference>
          <reference field="8" count="1" selected="0">
            <x v="98"/>
          </reference>
          <reference field="15" count="1">
            <x v="43"/>
          </reference>
        </references>
      </pivotArea>
    </format>
    <format dxfId="5728">
      <pivotArea dataOnly="0" labelOnly="1" fieldPosition="0">
        <references count="5">
          <reference field="4" count="1" selected="0">
            <x v="0"/>
          </reference>
          <reference field="6" count="1" selected="0">
            <x v="1"/>
          </reference>
          <reference field="7" count="1" selected="0">
            <x v="23"/>
          </reference>
          <reference field="8" count="1" selected="0">
            <x v="99"/>
          </reference>
          <reference field="15" count="1">
            <x v="254"/>
          </reference>
        </references>
      </pivotArea>
    </format>
    <format dxfId="5727">
      <pivotArea dataOnly="0" labelOnly="1" fieldPosition="0">
        <references count="5">
          <reference field="4" count="1" selected="0">
            <x v="0"/>
          </reference>
          <reference field="6" count="1" selected="0">
            <x v="1"/>
          </reference>
          <reference field="7" count="1" selected="0">
            <x v="23"/>
          </reference>
          <reference field="8" count="1" selected="0">
            <x v="100"/>
          </reference>
          <reference field="15" count="1">
            <x v="253"/>
          </reference>
        </references>
      </pivotArea>
    </format>
    <format dxfId="5726">
      <pivotArea dataOnly="0" labelOnly="1" fieldPosition="0">
        <references count="5">
          <reference field="4" count="1" selected="0">
            <x v="0"/>
          </reference>
          <reference field="6" count="1" selected="0">
            <x v="1"/>
          </reference>
          <reference field="7" count="1" selected="0">
            <x v="23"/>
          </reference>
          <reference field="8" count="1" selected="0">
            <x v="101"/>
          </reference>
          <reference field="15" count="1">
            <x v="255"/>
          </reference>
        </references>
      </pivotArea>
    </format>
    <format dxfId="5725">
      <pivotArea dataOnly="0" labelOnly="1" fieldPosition="0">
        <references count="5">
          <reference field="4" count="1" selected="0">
            <x v="0"/>
          </reference>
          <reference field="6" count="1" selected="0">
            <x v="1"/>
          </reference>
          <reference field="7" count="1" selected="0">
            <x v="23"/>
          </reference>
          <reference field="8" count="1" selected="0">
            <x v="102"/>
          </reference>
          <reference field="15" count="1">
            <x v="40"/>
          </reference>
        </references>
      </pivotArea>
    </format>
    <format dxfId="5724">
      <pivotArea dataOnly="0" labelOnly="1" fieldPosition="0">
        <references count="5">
          <reference field="4" count="1" selected="0">
            <x v="0"/>
          </reference>
          <reference field="6" count="1" selected="0">
            <x v="1"/>
          </reference>
          <reference field="7" count="1" selected="0">
            <x v="23"/>
          </reference>
          <reference field="8" count="1" selected="0">
            <x v="103"/>
          </reference>
          <reference field="15" count="1">
            <x v="252"/>
          </reference>
        </references>
      </pivotArea>
    </format>
    <format dxfId="5723">
      <pivotArea dataOnly="0" labelOnly="1" fieldPosition="0">
        <references count="5">
          <reference field="4" count="1" selected="0">
            <x v="0"/>
          </reference>
          <reference field="6" count="1" selected="0">
            <x v="1"/>
          </reference>
          <reference field="7" count="1" selected="0">
            <x v="23"/>
          </reference>
          <reference field="8" count="1" selected="0">
            <x v="104"/>
          </reference>
          <reference field="15" count="1">
            <x v="256"/>
          </reference>
        </references>
      </pivotArea>
    </format>
    <format dxfId="5722">
      <pivotArea dataOnly="0" labelOnly="1" fieldPosition="0">
        <references count="5">
          <reference field="4" count="1" selected="0">
            <x v="0"/>
          </reference>
          <reference field="6" count="1" selected="0">
            <x v="1"/>
          </reference>
          <reference field="7" count="1" selected="0">
            <x v="26"/>
          </reference>
          <reference field="8" count="1" selected="0">
            <x v="131"/>
          </reference>
          <reference field="15" count="1">
            <x v="13"/>
          </reference>
        </references>
      </pivotArea>
    </format>
    <format dxfId="5721">
      <pivotArea dataOnly="0" labelOnly="1" fieldPosition="0">
        <references count="5">
          <reference field="4" count="1" selected="0">
            <x v="1"/>
          </reference>
          <reference field="6" count="1" selected="0">
            <x v="0"/>
          </reference>
          <reference field="7" count="1" selected="0">
            <x v="19"/>
          </reference>
          <reference field="8" count="1" selected="0">
            <x v="81"/>
          </reference>
          <reference field="15" count="1">
            <x v="231"/>
          </reference>
        </references>
      </pivotArea>
    </format>
    <format dxfId="5720">
      <pivotArea dataOnly="0" labelOnly="1" fieldPosition="0">
        <references count="5">
          <reference field="4" count="1" selected="0">
            <x v="1"/>
          </reference>
          <reference field="6" count="1" selected="0">
            <x v="3"/>
          </reference>
          <reference field="7" count="1" selected="0">
            <x v="2"/>
          </reference>
          <reference field="8" count="1" selected="0">
            <x v="7"/>
          </reference>
          <reference field="15" count="5">
            <x v="117"/>
            <x v="124"/>
            <x v="131"/>
            <x v="380"/>
            <x v="400"/>
          </reference>
        </references>
      </pivotArea>
    </format>
    <format dxfId="5719">
      <pivotArea dataOnly="0" labelOnly="1" fieldPosition="0">
        <references count="5">
          <reference field="4" count="1" selected="0">
            <x v="1"/>
          </reference>
          <reference field="6" count="1" selected="0">
            <x v="3"/>
          </reference>
          <reference field="7" count="1" selected="0">
            <x v="2"/>
          </reference>
          <reference field="8" count="1" selected="0">
            <x v="10"/>
          </reference>
          <reference field="15" count="2">
            <x v="17"/>
            <x v="18"/>
          </reference>
        </references>
      </pivotArea>
    </format>
    <format dxfId="5718">
      <pivotArea dataOnly="0" labelOnly="1" fieldPosition="0">
        <references count="5">
          <reference field="4" count="1" selected="0">
            <x v="1"/>
          </reference>
          <reference field="6" count="1" selected="0">
            <x v="3"/>
          </reference>
          <reference field="7" count="1" selected="0">
            <x v="2"/>
          </reference>
          <reference field="8" count="1" selected="0">
            <x v="11"/>
          </reference>
          <reference field="15" count="2">
            <x v="7"/>
            <x v="8"/>
          </reference>
        </references>
      </pivotArea>
    </format>
    <format dxfId="5717">
      <pivotArea dataOnly="0" labelOnly="1" fieldPosition="0">
        <references count="5">
          <reference field="4" count="1" selected="0">
            <x v="1"/>
          </reference>
          <reference field="6" count="1" selected="0">
            <x v="3"/>
          </reference>
          <reference field="7" count="1" selected="0">
            <x v="2"/>
          </reference>
          <reference field="8" count="1" selected="0">
            <x v="12"/>
          </reference>
          <reference field="15" count="1">
            <x v="107"/>
          </reference>
        </references>
      </pivotArea>
    </format>
    <format dxfId="5716">
      <pivotArea dataOnly="0" labelOnly="1" fieldPosition="0">
        <references count="5">
          <reference field="4" count="1" selected="0">
            <x v="1"/>
          </reference>
          <reference field="6" count="1" selected="0">
            <x v="3"/>
          </reference>
          <reference field="7" count="1" selected="0">
            <x v="2"/>
          </reference>
          <reference field="8" count="1" selected="0">
            <x v="13"/>
          </reference>
          <reference field="15" count="1">
            <x v="6"/>
          </reference>
        </references>
      </pivotArea>
    </format>
    <format dxfId="5715">
      <pivotArea dataOnly="0" labelOnly="1" fieldPosition="0">
        <references count="5">
          <reference field="4" count="1" selected="0">
            <x v="1"/>
          </reference>
          <reference field="6" count="1" selected="0">
            <x v="3"/>
          </reference>
          <reference field="7" count="1" selected="0">
            <x v="2"/>
          </reference>
          <reference field="8" count="1" selected="0">
            <x v="14"/>
          </reference>
          <reference field="15" count="2">
            <x v="46"/>
            <x v="47"/>
          </reference>
        </references>
      </pivotArea>
    </format>
    <format dxfId="5714">
      <pivotArea dataOnly="0" labelOnly="1" fieldPosition="0">
        <references count="5">
          <reference field="4" count="1" selected="0">
            <x v="1"/>
          </reference>
          <reference field="6" count="1" selected="0">
            <x v="3"/>
          </reference>
          <reference field="7" count="1" selected="0">
            <x v="2"/>
          </reference>
          <reference field="8" count="1" selected="0">
            <x v="15"/>
          </reference>
          <reference field="15" count="1">
            <x v="372"/>
          </reference>
        </references>
      </pivotArea>
    </format>
    <format dxfId="5713">
      <pivotArea dataOnly="0" labelOnly="1" fieldPosition="0">
        <references count="5">
          <reference field="4" count="1" selected="0">
            <x v="1"/>
          </reference>
          <reference field="6" count="1" selected="0">
            <x v="3"/>
          </reference>
          <reference field="7" count="1" selected="0">
            <x v="3"/>
          </reference>
          <reference field="8" count="1" selected="0">
            <x v="18"/>
          </reference>
          <reference field="15" count="1">
            <x v="232"/>
          </reference>
        </references>
      </pivotArea>
    </format>
    <format dxfId="5712">
      <pivotArea dataOnly="0" labelOnly="1" fieldPosition="0">
        <references count="5">
          <reference field="4" count="1" selected="0">
            <x v="1"/>
          </reference>
          <reference field="6" count="1" selected="0">
            <x v="3"/>
          </reference>
          <reference field="7" count="1" selected="0">
            <x v="3"/>
          </reference>
          <reference field="8" count="1" selected="0">
            <x v="19"/>
          </reference>
          <reference field="15" count="1">
            <x v="9"/>
          </reference>
        </references>
      </pivotArea>
    </format>
    <format dxfId="5711">
      <pivotArea dataOnly="0" labelOnly="1" fieldPosition="0">
        <references count="5">
          <reference field="4" count="1" selected="0">
            <x v="1"/>
          </reference>
          <reference field="6" count="1" selected="0">
            <x v="3"/>
          </reference>
          <reference field="7" count="1" selected="0">
            <x v="4"/>
          </reference>
          <reference field="8" count="1" selected="0">
            <x v="20"/>
          </reference>
          <reference field="15" count="1">
            <x v="34"/>
          </reference>
        </references>
      </pivotArea>
    </format>
    <format dxfId="5710">
      <pivotArea dataOnly="0" labelOnly="1" fieldPosition="0">
        <references count="5">
          <reference field="4" count="1" selected="0">
            <x v="1"/>
          </reference>
          <reference field="6" count="1" selected="0">
            <x v="3"/>
          </reference>
          <reference field="7" count="1" selected="0">
            <x v="4"/>
          </reference>
          <reference field="8" count="1" selected="0">
            <x v="21"/>
          </reference>
          <reference field="15" count="1">
            <x v="98"/>
          </reference>
        </references>
      </pivotArea>
    </format>
    <format dxfId="5709">
      <pivotArea dataOnly="0" labelOnly="1" fieldPosition="0">
        <references count="5">
          <reference field="4" count="1" selected="0">
            <x v="1"/>
          </reference>
          <reference field="6" count="1" selected="0">
            <x v="4"/>
          </reference>
          <reference field="7" count="1" selected="0">
            <x v="8"/>
          </reference>
          <reference field="8" count="1" selected="0">
            <x v="33"/>
          </reference>
          <reference field="15" count="1">
            <x v="237"/>
          </reference>
        </references>
      </pivotArea>
    </format>
    <format dxfId="5708">
      <pivotArea dataOnly="0" labelOnly="1" fieldPosition="0">
        <references count="5">
          <reference field="4" count="1" selected="0">
            <x v="1"/>
          </reference>
          <reference field="6" count="1" selected="0">
            <x v="4"/>
          </reference>
          <reference field="7" count="1" selected="0">
            <x v="8"/>
          </reference>
          <reference field="8" count="1" selected="0">
            <x v="34"/>
          </reference>
          <reference field="15" count="1">
            <x v="373"/>
          </reference>
        </references>
      </pivotArea>
    </format>
    <format dxfId="5707">
      <pivotArea dataOnly="0" labelOnly="1" fieldPosition="0">
        <references count="5">
          <reference field="4" count="1" selected="0">
            <x v="1"/>
          </reference>
          <reference field="6" count="1" selected="0">
            <x v="4"/>
          </reference>
          <reference field="7" count="1" selected="0">
            <x v="8"/>
          </reference>
          <reference field="8" count="1" selected="0">
            <x v="39"/>
          </reference>
          <reference field="15" count="2">
            <x v="233"/>
            <x v="234"/>
          </reference>
        </references>
      </pivotArea>
    </format>
    <format dxfId="5706">
      <pivotArea dataOnly="0" labelOnly="1" fieldPosition="0">
        <references count="5">
          <reference field="4" count="1" selected="0">
            <x v="2"/>
          </reference>
          <reference field="6" count="1" selected="0">
            <x v="2"/>
          </reference>
          <reference field="7" count="1" selected="0">
            <x v="29"/>
          </reference>
          <reference field="8" count="1" selected="0">
            <x v="145"/>
          </reference>
          <reference field="15" count="1">
            <x v="377"/>
          </reference>
        </references>
      </pivotArea>
    </format>
    <format dxfId="5705">
      <pivotArea dataOnly="0" labelOnly="1" fieldPosition="0">
        <references count="5">
          <reference field="4" count="1" selected="0">
            <x v="2"/>
          </reference>
          <reference field="6" count="1" selected="0">
            <x v="2"/>
          </reference>
          <reference field="7" count="1" selected="0">
            <x v="29"/>
          </reference>
          <reference field="8" count="1" selected="0">
            <x v="146"/>
          </reference>
          <reference field="15" count="1">
            <x v="139"/>
          </reference>
        </references>
      </pivotArea>
    </format>
    <format dxfId="5704">
      <pivotArea dataOnly="0" labelOnly="1" fieldPosition="0">
        <references count="5">
          <reference field="4" count="1" selected="0">
            <x v="2"/>
          </reference>
          <reference field="6" count="1" selected="0">
            <x v="2"/>
          </reference>
          <reference field="7" count="1" selected="0">
            <x v="29"/>
          </reference>
          <reference field="8" count="1" selected="0">
            <x v="147"/>
          </reference>
          <reference field="15" count="1">
            <x v="127"/>
          </reference>
        </references>
      </pivotArea>
    </format>
    <format dxfId="5703">
      <pivotArea dataOnly="0" labelOnly="1" fieldPosition="0">
        <references count="5">
          <reference field="4" count="1" selected="0">
            <x v="2"/>
          </reference>
          <reference field="6" count="1" selected="0">
            <x v="2"/>
          </reference>
          <reference field="7" count="1" selected="0">
            <x v="29"/>
          </reference>
          <reference field="8" count="1" selected="0">
            <x v="148"/>
          </reference>
          <reference field="15" count="1">
            <x v="142"/>
          </reference>
        </references>
      </pivotArea>
    </format>
    <format dxfId="5702">
      <pivotArea dataOnly="0" labelOnly="1" fieldPosition="0">
        <references count="5">
          <reference field="4" count="1" selected="0">
            <x v="2"/>
          </reference>
          <reference field="6" count="1" selected="0">
            <x v="2"/>
          </reference>
          <reference field="7" count="1" selected="0">
            <x v="29"/>
          </reference>
          <reference field="8" count="1" selected="0">
            <x v="149"/>
          </reference>
          <reference field="15" count="1">
            <x v="140"/>
          </reference>
        </references>
      </pivotArea>
    </format>
    <format dxfId="5701">
      <pivotArea dataOnly="0" labelOnly="1" fieldPosition="0">
        <references count="5">
          <reference field="4" count="1" selected="0">
            <x v="2"/>
          </reference>
          <reference field="6" count="1" selected="0">
            <x v="2"/>
          </reference>
          <reference field="7" count="1" selected="0">
            <x v="29"/>
          </reference>
          <reference field="8" count="1" selected="0">
            <x v="150"/>
          </reference>
          <reference field="15" count="1">
            <x v="144"/>
          </reference>
        </references>
      </pivotArea>
    </format>
    <format dxfId="5700">
      <pivotArea dataOnly="0" labelOnly="1" fieldPosition="0">
        <references count="5">
          <reference field="4" count="1" selected="0">
            <x v="2"/>
          </reference>
          <reference field="6" count="1" selected="0">
            <x v="2"/>
          </reference>
          <reference field="7" count="1" selected="0">
            <x v="30"/>
          </reference>
          <reference field="8" count="1" selected="0">
            <x v="152"/>
          </reference>
          <reference field="15" count="2">
            <x v="128"/>
            <x v="129"/>
          </reference>
        </references>
      </pivotArea>
    </format>
    <format dxfId="5699">
      <pivotArea dataOnly="0" labelOnly="1" fieldPosition="0">
        <references count="5">
          <reference field="4" count="1" selected="0">
            <x v="2"/>
          </reference>
          <reference field="6" count="1" selected="0">
            <x v="2"/>
          </reference>
          <reference field="7" count="1" selected="0">
            <x v="30"/>
          </reference>
          <reference field="8" count="1" selected="0">
            <x v="153"/>
          </reference>
          <reference field="15" count="1">
            <x v="141"/>
          </reference>
        </references>
      </pivotArea>
    </format>
    <format dxfId="5698">
      <pivotArea dataOnly="0" labelOnly="1" fieldPosition="0">
        <references count="5">
          <reference field="4" count="1" selected="0">
            <x v="2"/>
          </reference>
          <reference field="6" count="1" selected="0">
            <x v="3"/>
          </reference>
          <reference field="7" count="1" selected="0">
            <x v="5"/>
          </reference>
          <reference field="8" count="1" selected="0">
            <x v="24"/>
          </reference>
          <reference field="15" count="1">
            <x v="339"/>
          </reference>
        </references>
      </pivotArea>
    </format>
    <format dxfId="5697">
      <pivotArea dataOnly="0" labelOnly="1" fieldPosition="0">
        <references count="5">
          <reference field="4" count="1" selected="0">
            <x v="2"/>
          </reference>
          <reference field="6" count="1" selected="0">
            <x v="3"/>
          </reference>
          <reference field="7" count="1" selected="0">
            <x v="7"/>
          </reference>
          <reference field="8" count="1" selected="0">
            <x v="31"/>
          </reference>
          <reference field="15" count="2">
            <x v="391"/>
            <x v="392"/>
          </reference>
        </references>
      </pivotArea>
    </format>
    <format dxfId="5696">
      <pivotArea dataOnly="0" labelOnly="1" fieldPosition="0">
        <references count="5">
          <reference field="4" count="1" selected="0">
            <x v="2"/>
          </reference>
          <reference field="6" count="1" selected="0">
            <x v="3"/>
          </reference>
          <reference field="7" count="1" selected="0">
            <x v="7"/>
          </reference>
          <reference field="8" count="1" selected="0">
            <x v="32"/>
          </reference>
          <reference field="15" count="1">
            <x v="371"/>
          </reference>
        </references>
      </pivotArea>
    </format>
    <format dxfId="5695">
      <pivotArea dataOnly="0" labelOnly="1" fieldPosition="0">
        <references count="5">
          <reference field="4" count="1" selected="0">
            <x v="2"/>
          </reference>
          <reference field="6" count="1" selected="0">
            <x v="4"/>
          </reference>
          <reference field="7" count="1" selected="0">
            <x v="8"/>
          </reference>
          <reference field="8" count="1" selected="0">
            <x v="36"/>
          </reference>
          <reference field="15" count="1">
            <x v="379"/>
          </reference>
        </references>
      </pivotArea>
    </format>
    <format dxfId="5694">
      <pivotArea dataOnly="0" labelOnly="1" fieldPosition="0">
        <references count="5">
          <reference field="4" count="1" selected="0">
            <x v="2"/>
          </reference>
          <reference field="6" count="1" selected="0">
            <x v="4"/>
          </reference>
          <reference field="7" count="1" selected="0">
            <x v="8"/>
          </reference>
          <reference field="8" count="1" selected="0">
            <x v="39"/>
          </reference>
          <reference field="15" count="1">
            <x v="378"/>
          </reference>
        </references>
      </pivotArea>
    </format>
    <format dxfId="5693">
      <pivotArea dataOnly="0" labelOnly="1" fieldPosition="0">
        <references count="5">
          <reference field="4" count="1" selected="0">
            <x v="3"/>
          </reference>
          <reference field="6" count="1" selected="0">
            <x v="3"/>
          </reference>
          <reference field="7" count="1" selected="0">
            <x v="6"/>
          </reference>
          <reference field="8" count="1" selected="0">
            <x v="29"/>
          </reference>
          <reference field="15" count="41">
            <x v="0"/>
            <x v="1"/>
            <x v="167"/>
            <x v="175"/>
            <x v="176"/>
            <x v="177"/>
            <x v="178"/>
            <x v="179"/>
            <x v="180"/>
            <x v="181"/>
            <x v="182"/>
            <x v="201"/>
            <x v="202"/>
            <x v="205"/>
            <x v="206"/>
            <x v="207"/>
            <x v="208"/>
            <x v="209"/>
            <x v="210"/>
            <x v="211"/>
            <x v="212"/>
            <x v="213"/>
            <x v="214"/>
            <x v="215"/>
            <x v="216"/>
            <x v="217"/>
            <x v="218"/>
            <x v="219"/>
            <x v="220"/>
            <x v="221"/>
            <x v="224"/>
            <x v="225"/>
            <x v="226"/>
            <x v="227"/>
            <x v="228"/>
            <x v="393"/>
            <x v="394"/>
            <x v="396"/>
            <x v="397"/>
            <x v="398"/>
            <x v="399"/>
          </reference>
        </references>
      </pivotArea>
    </format>
    <format dxfId="5692">
      <pivotArea dataOnly="0" labelOnly="1" fieldPosition="0">
        <references count="5">
          <reference field="4" count="1" selected="0">
            <x v="4"/>
          </reference>
          <reference field="6" count="1" selected="0">
            <x v="0"/>
          </reference>
          <reference field="7" count="1" selected="0">
            <x v="21"/>
          </reference>
          <reference field="8" count="1" selected="0">
            <x v="87"/>
          </reference>
          <reference field="15" count="8">
            <x v="126"/>
            <x v="293"/>
            <x v="305"/>
            <x v="306"/>
            <x v="317"/>
            <x v="388"/>
            <x v="389"/>
            <x v="390"/>
          </reference>
        </references>
      </pivotArea>
    </format>
    <format dxfId="5691">
      <pivotArea dataOnly="0" labelOnly="1" fieldPosition="0">
        <references count="5">
          <reference field="4" count="1" selected="0">
            <x v="4"/>
          </reference>
          <reference field="6" count="1" selected="0">
            <x v="0"/>
          </reference>
          <reference field="7" count="1" selected="0">
            <x v="21"/>
          </reference>
          <reference field="8" count="1" selected="0">
            <x v="88"/>
          </reference>
          <reference field="15" count="3">
            <x v="291"/>
            <x v="292"/>
            <x v="301"/>
          </reference>
        </references>
      </pivotArea>
    </format>
    <format dxfId="5690">
      <pivotArea dataOnly="0" labelOnly="1" fieldPosition="0">
        <references count="5">
          <reference field="4" count="1" selected="0">
            <x v="4"/>
          </reference>
          <reference field="6" count="1" selected="0">
            <x v="0"/>
          </reference>
          <reference field="7" count="1" selected="0">
            <x v="21"/>
          </reference>
          <reference field="8" count="1" selected="0">
            <x v="89"/>
          </reference>
          <reference field="15" count="1">
            <x v="310"/>
          </reference>
        </references>
      </pivotArea>
    </format>
    <format dxfId="5689">
      <pivotArea dataOnly="0" labelOnly="1" fieldPosition="0">
        <references count="5">
          <reference field="4" count="1" selected="0">
            <x v="4"/>
          </reference>
          <reference field="6" count="1" selected="0">
            <x v="0"/>
          </reference>
          <reference field="7" count="1" selected="0">
            <x v="21"/>
          </reference>
          <reference field="8" count="1" selected="0">
            <x v="90"/>
          </reference>
          <reference field="15" count="1">
            <x v="385"/>
          </reference>
        </references>
      </pivotArea>
    </format>
    <format dxfId="5688">
      <pivotArea dataOnly="0" labelOnly="1" fieldPosition="0">
        <references count="5">
          <reference field="4" count="1" selected="0">
            <x v="4"/>
          </reference>
          <reference field="6" count="1" selected="0">
            <x v="0"/>
          </reference>
          <reference field="7" count="1" selected="0">
            <x v="21"/>
          </reference>
          <reference field="8" count="1" selected="0">
            <x v="91"/>
          </reference>
          <reference field="15" count="2">
            <x v="264"/>
            <x v="265"/>
          </reference>
        </references>
      </pivotArea>
    </format>
    <format dxfId="5687">
      <pivotArea dataOnly="0" labelOnly="1" fieldPosition="0">
        <references count="5">
          <reference field="4" count="1" selected="0">
            <x v="4"/>
          </reference>
          <reference field="6" count="1" selected="0">
            <x v="1"/>
          </reference>
          <reference field="7" count="1" selected="0">
            <x v="24"/>
          </reference>
          <reference field="8" count="1" selected="0">
            <x v="114"/>
          </reference>
          <reference field="15" count="1">
            <x v="263"/>
          </reference>
        </references>
      </pivotArea>
    </format>
    <format dxfId="5686">
      <pivotArea dataOnly="0" labelOnly="1" fieldPosition="0">
        <references count="5">
          <reference field="4" count="1" selected="0">
            <x v="4"/>
          </reference>
          <reference field="6" count="1" selected="0">
            <x v="2"/>
          </reference>
          <reference field="7" count="1" selected="0">
            <x v="29"/>
          </reference>
          <reference field="8" count="1" selected="0">
            <x v="142"/>
          </reference>
          <reference field="15" count="1">
            <x v="283"/>
          </reference>
        </references>
      </pivotArea>
    </format>
    <format dxfId="5685">
      <pivotArea dataOnly="0" labelOnly="1" fieldPosition="0">
        <references count="5">
          <reference field="4" count="1" selected="0">
            <x v="4"/>
          </reference>
          <reference field="6" count="1" selected="0">
            <x v="2"/>
          </reference>
          <reference field="7" count="1" selected="0">
            <x v="29"/>
          </reference>
          <reference field="8" count="1" selected="0">
            <x v="143"/>
          </reference>
          <reference field="15" count="2">
            <x v="289"/>
            <x v="314"/>
          </reference>
        </references>
      </pivotArea>
    </format>
    <format dxfId="5684">
      <pivotArea dataOnly="0" labelOnly="1" fieldPosition="0">
        <references count="5">
          <reference field="4" count="1" selected="0">
            <x v="4"/>
          </reference>
          <reference field="6" count="1" selected="0">
            <x v="2"/>
          </reference>
          <reference field="7" count="1" selected="0">
            <x v="29"/>
          </reference>
          <reference field="8" count="1" selected="0">
            <x v="151"/>
          </reference>
          <reference field="15" count="1">
            <x v="387"/>
          </reference>
        </references>
      </pivotArea>
    </format>
    <format dxfId="5683">
      <pivotArea dataOnly="0" labelOnly="1" fieldPosition="0">
        <references count="5">
          <reference field="4" count="1" selected="0">
            <x v="4"/>
          </reference>
          <reference field="6" count="1" selected="0">
            <x v="2"/>
          </reference>
          <reference field="7" count="1" selected="0">
            <x v="31"/>
          </reference>
          <reference field="8" count="1" selected="0">
            <x v="155"/>
          </reference>
          <reference field="15" count="4">
            <x v="235"/>
            <x v="303"/>
            <x v="374"/>
            <x v="386"/>
          </reference>
        </references>
      </pivotArea>
    </format>
    <format dxfId="5682">
      <pivotArea dataOnly="0" labelOnly="1" fieldPosition="0">
        <references count="5">
          <reference field="4" count="1" selected="0">
            <x v="4"/>
          </reference>
          <reference field="6" count="1" selected="0">
            <x v="2"/>
          </reference>
          <reference field="7" count="1" selected="0">
            <x v="31"/>
          </reference>
          <reference field="8" count="1" selected="0">
            <x v="156"/>
          </reference>
          <reference field="15" count="1">
            <x v="304"/>
          </reference>
        </references>
      </pivotArea>
    </format>
    <format dxfId="5681">
      <pivotArea dataOnly="0" labelOnly="1" fieldPosition="0">
        <references count="5">
          <reference field="4" count="1" selected="0">
            <x v="4"/>
          </reference>
          <reference field="6" count="1" selected="0">
            <x v="2"/>
          </reference>
          <reference field="7" count="1" selected="0">
            <x v="31"/>
          </reference>
          <reference field="8" count="1" selected="0">
            <x v="157"/>
          </reference>
          <reference field="15" count="1">
            <x v="302"/>
          </reference>
        </references>
      </pivotArea>
    </format>
    <format dxfId="5680">
      <pivotArea dataOnly="0" labelOnly="1" fieldPosition="0">
        <references count="5">
          <reference field="4" count="1" selected="0">
            <x v="4"/>
          </reference>
          <reference field="6" count="1" selected="0">
            <x v="3"/>
          </reference>
          <reference field="7" count="1" selected="0">
            <x v="0"/>
          </reference>
          <reference field="8" count="1" selected="0">
            <x v="0"/>
          </reference>
          <reference field="15" count="2">
            <x v="125"/>
            <x v="269"/>
          </reference>
        </references>
      </pivotArea>
    </format>
    <format dxfId="5679">
      <pivotArea dataOnly="0" labelOnly="1" fieldPosition="0">
        <references count="5">
          <reference field="4" count="1" selected="0">
            <x v="4"/>
          </reference>
          <reference field="6" count="1" selected="0">
            <x v="3"/>
          </reference>
          <reference field="7" count="1" selected="0">
            <x v="0"/>
          </reference>
          <reference field="8" count="1" selected="0">
            <x v="1"/>
          </reference>
          <reference field="15" count="1">
            <x v="382"/>
          </reference>
        </references>
      </pivotArea>
    </format>
    <format dxfId="5678">
      <pivotArea dataOnly="0" labelOnly="1" fieldPosition="0">
        <references count="5">
          <reference field="4" count="1" selected="0">
            <x v="4"/>
          </reference>
          <reference field="6" count="1" selected="0">
            <x v="3"/>
          </reference>
          <reference field="7" count="1" selected="0">
            <x v="1"/>
          </reference>
          <reference field="8" count="1" selected="0">
            <x v="2"/>
          </reference>
          <reference field="15" count="1">
            <x v="282"/>
          </reference>
        </references>
      </pivotArea>
    </format>
    <format dxfId="5677">
      <pivotArea dataOnly="0" labelOnly="1" fieldPosition="0">
        <references count="5">
          <reference field="4" count="1" selected="0">
            <x v="4"/>
          </reference>
          <reference field="6" count="1" selected="0">
            <x v="3"/>
          </reference>
          <reference field="7" count="1" selected="0">
            <x v="1"/>
          </reference>
          <reference field="8" count="1" selected="0">
            <x v="3"/>
          </reference>
          <reference field="15" count="1">
            <x v="384"/>
          </reference>
        </references>
      </pivotArea>
    </format>
    <format dxfId="5676">
      <pivotArea dataOnly="0" labelOnly="1" fieldPosition="0">
        <references count="5">
          <reference field="4" count="1" selected="0">
            <x v="4"/>
          </reference>
          <reference field="6" count="1" selected="0">
            <x v="3"/>
          </reference>
          <reference field="7" count="1" selected="0">
            <x v="1"/>
          </reference>
          <reference field="8" count="1" selected="0">
            <x v="4"/>
          </reference>
          <reference field="15" count="1">
            <x v="298"/>
          </reference>
        </references>
      </pivotArea>
    </format>
    <format dxfId="5675">
      <pivotArea dataOnly="0" labelOnly="1" fieldPosition="0">
        <references count="5">
          <reference field="4" count="1" selected="0">
            <x v="4"/>
          </reference>
          <reference field="6" count="1" selected="0">
            <x v="3"/>
          </reference>
          <reference field="7" count="1" selected="0">
            <x v="1"/>
          </reference>
          <reference field="8" count="1" selected="0">
            <x v="5"/>
          </reference>
          <reference field="15" count="2">
            <x v="381"/>
            <x v="383"/>
          </reference>
        </references>
      </pivotArea>
    </format>
    <format dxfId="5674">
      <pivotArea dataOnly="0" labelOnly="1" fieldPosition="0">
        <references count="5">
          <reference field="4" count="1" selected="0">
            <x v="5"/>
          </reference>
          <reference field="6" count="1" selected="0">
            <x v="0"/>
          </reference>
          <reference field="7" count="1" selected="0">
            <x v="18"/>
          </reference>
          <reference field="8" count="1" selected="0">
            <x v="73"/>
          </reference>
          <reference field="15" count="3">
            <x v="245"/>
            <x v="246"/>
            <x v="313"/>
          </reference>
        </references>
      </pivotArea>
    </format>
    <format dxfId="5673">
      <pivotArea dataOnly="0" labelOnly="1" fieldPosition="0">
        <references count="5">
          <reference field="4" count="1" selected="0">
            <x v="5"/>
          </reference>
          <reference field="6" count="1" selected="0">
            <x v="0"/>
          </reference>
          <reference field="7" count="1" selected="0">
            <x v="18"/>
          </reference>
          <reference field="8" count="1" selected="0">
            <x v="74"/>
          </reference>
          <reference field="15" count="1">
            <x v="230"/>
          </reference>
        </references>
      </pivotArea>
    </format>
    <format dxfId="5672">
      <pivotArea dataOnly="0" labelOnly="1" fieldPosition="0">
        <references count="5">
          <reference field="4" count="1" selected="0">
            <x v="5"/>
          </reference>
          <reference field="6" count="1" selected="0">
            <x v="0"/>
          </reference>
          <reference field="7" count="1" selected="0">
            <x v="18"/>
          </reference>
          <reference field="8" count="1" selected="0">
            <x v="77"/>
          </reference>
          <reference field="15" count="2">
            <x v="276"/>
            <x v="277"/>
          </reference>
        </references>
      </pivotArea>
    </format>
    <format dxfId="5671">
      <pivotArea dataOnly="0" labelOnly="1" fieldPosition="0">
        <references count="5">
          <reference field="4" count="1" selected="0">
            <x v="5"/>
          </reference>
          <reference field="6" count="1" selected="0">
            <x v="0"/>
          </reference>
          <reference field="7" count="1" selected="0">
            <x v="22"/>
          </reference>
          <reference field="8" count="1" selected="0">
            <x v="94"/>
          </reference>
          <reference field="15" count="1">
            <x v="164"/>
          </reference>
        </references>
      </pivotArea>
    </format>
    <format dxfId="5670">
      <pivotArea dataOnly="0" labelOnly="1" fieldPosition="0">
        <references count="5">
          <reference field="4" count="1" selected="0">
            <x v="5"/>
          </reference>
          <reference field="6" count="1" selected="0">
            <x v="4"/>
          </reference>
          <reference field="7" count="1" selected="0">
            <x v="8"/>
          </reference>
          <reference field="8" count="1" selected="0">
            <x v="37"/>
          </reference>
          <reference field="15" count="1">
            <x v="222"/>
          </reference>
        </references>
      </pivotArea>
    </format>
    <format dxfId="5669">
      <pivotArea dataOnly="0" labelOnly="1" fieldPosition="0">
        <references count="5">
          <reference field="4" count="1" selected="0">
            <x v="6"/>
          </reference>
          <reference field="6" count="1" selected="0">
            <x v="1"/>
          </reference>
          <reference field="7" count="1" selected="0">
            <x v="24"/>
          </reference>
          <reference field="8" count="1" selected="0">
            <x v="105"/>
          </reference>
          <reference field="15" count="13">
            <x v="24"/>
            <x v="25"/>
            <x v="31"/>
            <x v="37"/>
            <x v="44"/>
            <x v="45"/>
            <x v="48"/>
            <x v="49"/>
            <x v="50"/>
            <x v="56"/>
            <x v="66"/>
            <x v="100"/>
            <x v="101"/>
          </reference>
        </references>
      </pivotArea>
    </format>
    <format dxfId="5668">
      <pivotArea dataOnly="0" labelOnly="1" fieldPosition="0">
        <references count="5">
          <reference field="4" count="1" selected="0">
            <x v="6"/>
          </reference>
          <reference field="6" count="1" selected="0">
            <x v="1"/>
          </reference>
          <reference field="7" count="1" selected="0">
            <x v="24"/>
          </reference>
          <reference field="8" count="1" selected="0">
            <x v="107"/>
          </reference>
          <reference field="15" count="3">
            <x v="118"/>
            <x v="123"/>
            <x v="165"/>
          </reference>
        </references>
      </pivotArea>
    </format>
    <format dxfId="5667">
      <pivotArea dataOnly="0" labelOnly="1" fieldPosition="0">
        <references count="5">
          <reference field="4" count="1" selected="0">
            <x v="6"/>
          </reference>
          <reference field="6" count="1" selected="0">
            <x v="1"/>
          </reference>
          <reference field="7" count="1" selected="0">
            <x v="24"/>
          </reference>
          <reference field="8" count="1" selected="0">
            <x v="108"/>
          </reference>
          <reference field="15" count="2">
            <x v="97"/>
            <x v="119"/>
          </reference>
        </references>
      </pivotArea>
    </format>
    <format dxfId="5666">
      <pivotArea dataOnly="0" labelOnly="1" fieldPosition="0">
        <references count="5">
          <reference field="4" count="1" selected="0">
            <x v="6"/>
          </reference>
          <reference field="6" count="1" selected="0">
            <x v="1"/>
          </reference>
          <reference field="7" count="1" selected="0">
            <x v="24"/>
          </reference>
          <reference field="8" count="1" selected="0">
            <x v="109"/>
          </reference>
          <reference field="15" count="2">
            <x v="96"/>
            <x v="327"/>
          </reference>
        </references>
      </pivotArea>
    </format>
    <format dxfId="5665">
      <pivotArea dataOnly="0" labelOnly="1" fieldPosition="0">
        <references count="5">
          <reference field="4" count="1" selected="0">
            <x v="6"/>
          </reference>
          <reference field="6" count="1" selected="0">
            <x v="1"/>
          </reference>
          <reference field="7" count="1" selected="0">
            <x v="24"/>
          </reference>
          <reference field="8" count="1" selected="0">
            <x v="110"/>
          </reference>
          <reference field="15" count="2">
            <x v="115"/>
            <x v="324"/>
          </reference>
        </references>
      </pivotArea>
    </format>
    <format dxfId="5664">
      <pivotArea dataOnly="0" labelOnly="1" fieldPosition="0">
        <references count="5">
          <reference field="4" count="1" selected="0">
            <x v="6"/>
          </reference>
          <reference field="6" count="1" selected="0">
            <x v="1"/>
          </reference>
          <reference field="7" count="1" selected="0">
            <x v="24"/>
          </reference>
          <reference field="8" count="1" selected="0">
            <x v="111"/>
          </reference>
          <reference field="15" count="1">
            <x v="326"/>
          </reference>
        </references>
      </pivotArea>
    </format>
    <format dxfId="5663">
      <pivotArea dataOnly="0" labelOnly="1" fieldPosition="0">
        <references count="5">
          <reference field="4" count="1" selected="0">
            <x v="6"/>
          </reference>
          <reference field="6" count="1" selected="0">
            <x v="1"/>
          </reference>
          <reference field="7" count="1" selected="0">
            <x v="24"/>
          </reference>
          <reference field="8" count="1" selected="0">
            <x v="112"/>
          </reference>
          <reference field="15" count="5">
            <x v="80"/>
            <x v="120"/>
            <x v="121"/>
            <x v="122"/>
            <x v="135"/>
          </reference>
        </references>
      </pivotArea>
    </format>
    <format dxfId="5662">
      <pivotArea dataOnly="0" labelOnly="1" fieldPosition="0">
        <references count="5">
          <reference field="4" count="1" selected="0">
            <x v="6"/>
          </reference>
          <reference field="6" count="1" selected="0">
            <x v="1"/>
          </reference>
          <reference field="7" count="1" selected="0">
            <x v="24"/>
          </reference>
          <reference field="8" count="1" selected="0">
            <x v="113"/>
          </reference>
          <reference field="15" count="3">
            <x v="67"/>
            <x v="84"/>
            <x v="166"/>
          </reference>
        </references>
      </pivotArea>
    </format>
    <format dxfId="5661">
      <pivotArea dataOnly="0" labelOnly="1" fieldPosition="0">
        <references count="5">
          <reference field="4" count="1" selected="0">
            <x v="7"/>
          </reference>
          <reference field="6" count="1" selected="0">
            <x v="0"/>
          </reference>
          <reference field="7" count="1" selected="0">
            <x v="16"/>
          </reference>
          <reference field="8" count="1" selected="0">
            <x v="64"/>
          </reference>
          <reference field="15" count="3">
            <x v="274"/>
            <x v="278"/>
            <x v="325"/>
          </reference>
        </references>
      </pivotArea>
    </format>
    <format dxfId="5660">
      <pivotArea dataOnly="0" labelOnly="1" fieldPosition="0">
        <references count="5">
          <reference field="4" count="1" selected="0">
            <x v="7"/>
          </reference>
          <reference field="6" count="1" selected="0">
            <x v="2"/>
          </reference>
          <reference field="7" count="1" selected="0">
            <x v="29"/>
          </reference>
          <reference field="8" count="1" selected="0">
            <x v="140"/>
          </reference>
          <reference field="15" count="1">
            <x v="53"/>
          </reference>
        </references>
      </pivotArea>
    </format>
    <format dxfId="5659">
      <pivotArea dataOnly="0" labelOnly="1" fieldPosition="0">
        <references count="5">
          <reference field="4" count="1" selected="0">
            <x v="7"/>
          </reference>
          <reference field="6" count="1" selected="0">
            <x v="2"/>
          </reference>
          <reference field="7" count="1" selected="0">
            <x v="29"/>
          </reference>
          <reference field="8" count="1" selected="0">
            <x v="141"/>
          </reference>
          <reference field="15" count="1">
            <x v="279"/>
          </reference>
        </references>
      </pivotArea>
    </format>
    <format dxfId="5658">
      <pivotArea dataOnly="0" labelOnly="1" fieldPosition="0">
        <references count="5">
          <reference field="4" count="1" selected="0">
            <x v="7"/>
          </reference>
          <reference field="6" count="1" selected="0">
            <x v="2"/>
          </reference>
          <reference field="7" count="1" selected="0">
            <x v="29"/>
          </reference>
          <reference field="8" count="1" selected="0">
            <x v="144"/>
          </reference>
          <reference field="15" count="1">
            <x v="52"/>
          </reference>
        </references>
      </pivotArea>
    </format>
    <format dxfId="5657">
      <pivotArea dataOnly="0" labelOnly="1" fieldPosition="0">
        <references count="5">
          <reference field="4" count="1" selected="0">
            <x v="7"/>
          </reference>
          <reference field="6" count="1" selected="0">
            <x v="2"/>
          </reference>
          <reference field="7" count="1" selected="0">
            <x v="29"/>
          </reference>
          <reference field="8" count="1" selected="0">
            <x v="145"/>
          </reference>
          <reference field="15" count="1">
            <x v="51"/>
          </reference>
        </references>
      </pivotArea>
    </format>
    <format dxfId="5656">
      <pivotArea dataOnly="0" labelOnly="1" fieldPosition="0">
        <references count="5">
          <reference field="4" count="1" selected="0">
            <x v="7"/>
          </reference>
          <reference field="6" count="1" selected="0">
            <x v="2"/>
          </reference>
          <reference field="7" count="1" selected="0">
            <x v="30"/>
          </reference>
          <reference field="8" count="1" selected="0">
            <x v="154"/>
          </reference>
          <reference field="15" count="1">
            <x v="275"/>
          </reference>
        </references>
      </pivotArea>
    </format>
    <format dxfId="5655">
      <pivotArea dataOnly="0" labelOnly="1" fieldPosition="0">
        <references count="5">
          <reference field="4" count="1" selected="0">
            <x v="7"/>
          </reference>
          <reference field="6" count="1" selected="0">
            <x v="3"/>
          </reference>
          <reference field="7" count="1" selected="0">
            <x v="6"/>
          </reference>
          <reference field="8" count="1" selected="0">
            <x v="28"/>
          </reference>
          <reference field="15" count="3">
            <x v="318"/>
            <x v="319"/>
            <x v="320"/>
          </reference>
        </references>
      </pivotArea>
    </format>
    <format dxfId="5654">
      <pivotArea dataOnly="0" labelOnly="1" fieldPosition="0">
        <references count="5">
          <reference field="4" count="1" selected="0">
            <x v="7"/>
          </reference>
          <reference field="6" count="1" selected="0">
            <x v="4"/>
          </reference>
          <reference field="7" count="1" selected="0">
            <x v="8"/>
          </reference>
          <reference field="8" count="1" selected="0">
            <x v="35"/>
          </reference>
          <reference field="15" count="1">
            <x v="337"/>
          </reference>
        </references>
      </pivotArea>
    </format>
    <format dxfId="5653">
      <pivotArea dataOnly="0" labelOnly="1" fieldPosition="0">
        <references count="5">
          <reference field="4" count="1" selected="0">
            <x v="7"/>
          </reference>
          <reference field="6" count="1" selected="0">
            <x v="4"/>
          </reference>
          <reference field="7" count="1" selected="0">
            <x v="8"/>
          </reference>
          <reference field="8" count="1" selected="0">
            <x v="36"/>
          </reference>
          <reference field="15" count="1">
            <x v="280"/>
          </reference>
        </references>
      </pivotArea>
    </format>
    <format dxfId="5652">
      <pivotArea dataOnly="0" labelOnly="1" fieldPosition="0">
        <references count="5">
          <reference field="4" count="1" selected="0">
            <x v="7"/>
          </reference>
          <reference field="6" count="1" selected="0">
            <x v="4"/>
          </reference>
          <reference field="7" count="1" selected="0">
            <x v="9"/>
          </reference>
          <reference field="8" count="1" selected="0">
            <x v="40"/>
          </reference>
          <reference field="15" count="3">
            <x v="311"/>
            <x v="312"/>
            <x v="334"/>
          </reference>
        </references>
      </pivotArea>
    </format>
    <format dxfId="5651">
      <pivotArea dataOnly="0" labelOnly="1" fieldPosition="0">
        <references count="5">
          <reference field="4" count="1" selected="0">
            <x v="7"/>
          </reference>
          <reference field="6" count="1" selected="0">
            <x v="4"/>
          </reference>
          <reference field="7" count="1" selected="0">
            <x v="9"/>
          </reference>
          <reference field="8" count="1" selected="0">
            <x v="41"/>
          </reference>
          <reference field="15" count="1">
            <x v="328"/>
          </reference>
        </references>
      </pivotArea>
    </format>
    <format dxfId="5650">
      <pivotArea dataOnly="0" labelOnly="1" fieldPosition="0">
        <references count="5">
          <reference field="4" count="1" selected="0">
            <x v="7"/>
          </reference>
          <reference field="6" count="1" selected="0">
            <x v="4"/>
          </reference>
          <reference field="7" count="1" selected="0">
            <x v="9"/>
          </reference>
          <reference field="8" count="1" selected="0">
            <x v="42"/>
          </reference>
          <reference field="15" count="1">
            <x v="329"/>
          </reference>
        </references>
      </pivotArea>
    </format>
    <format dxfId="5649">
      <pivotArea dataOnly="0" labelOnly="1" fieldPosition="0">
        <references count="5">
          <reference field="4" count="1" selected="0">
            <x v="7"/>
          </reference>
          <reference field="6" count="1" selected="0">
            <x v="4"/>
          </reference>
          <reference field="7" count="1" selected="0">
            <x v="9"/>
          </reference>
          <reference field="8" count="1" selected="0">
            <x v="43"/>
          </reference>
          <reference field="15" count="1">
            <x v="321"/>
          </reference>
        </references>
      </pivotArea>
    </format>
    <format dxfId="5648">
      <pivotArea dataOnly="0" labelOnly="1" fieldPosition="0">
        <references count="5">
          <reference field="4" count="1" selected="0">
            <x v="7"/>
          </reference>
          <reference field="6" count="1" selected="0">
            <x v="4"/>
          </reference>
          <reference field="7" count="1" selected="0">
            <x v="10"/>
          </reference>
          <reference field="8" count="1" selected="0">
            <x v="44"/>
          </reference>
          <reference field="15" count="2">
            <x v="57"/>
            <x v="58"/>
          </reference>
        </references>
      </pivotArea>
    </format>
    <format dxfId="5647">
      <pivotArea dataOnly="0" labelOnly="1" fieldPosition="0">
        <references count="5">
          <reference field="4" count="1" selected="0">
            <x v="7"/>
          </reference>
          <reference field="6" count="1" selected="0">
            <x v="4"/>
          </reference>
          <reference field="7" count="1" selected="0">
            <x v="10"/>
          </reference>
          <reference field="8" count="1" selected="0">
            <x v="45"/>
          </reference>
          <reference field="15" count="1">
            <x v="55"/>
          </reference>
        </references>
      </pivotArea>
    </format>
    <format dxfId="5646">
      <pivotArea dataOnly="0" labelOnly="1" fieldPosition="0">
        <references count="5">
          <reference field="4" count="1" selected="0">
            <x v="7"/>
          </reference>
          <reference field="6" count="1" selected="0">
            <x v="4"/>
          </reference>
          <reference field="7" count="1" selected="0">
            <x v="10"/>
          </reference>
          <reference field="8" count="1" selected="0">
            <x v="46"/>
          </reference>
          <reference field="15" count="1">
            <x v="59"/>
          </reference>
        </references>
      </pivotArea>
    </format>
    <format dxfId="5645">
      <pivotArea dataOnly="0" labelOnly="1" fieldPosition="0">
        <references count="5">
          <reference field="4" count="1" selected="0">
            <x v="7"/>
          </reference>
          <reference field="6" count="1" selected="0">
            <x v="4"/>
          </reference>
          <reference field="7" count="1" selected="0">
            <x v="10"/>
          </reference>
          <reference field="8" count="1" selected="0">
            <x v="47"/>
          </reference>
          <reference field="15" count="1">
            <x v="54"/>
          </reference>
        </references>
      </pivotArea>
    </format>
    <format dxfId="5644">
      <pivotArea dataOnly="0" labelOnly="1" fieldPosition="0">
        <references count="5">
          <reference field="4" count="1" selected="0">
            <x v="7"/>
          </reference>
          <reference field="6" count="1" selected="0">
            <x v="4"/>
          </reference>
          <reference field="7" count="1" selected="0">
            <x v="11"/>
          </reference>
          <reference field="8" count="1" selected="0">
            <x v="48"/>
          </reference>
          <reference field="15" count="1">
            <x v="88"/>
          </reference>
        </references>
      </pivotArea>
    </format>
    <format dxfId="5643">
      <pivotArea dataOnly="0" labelOnly="1" fieldPosition="0">
        <references count="5">
          <reference field="4" count="1" selected="0">
            <x v="7"/>
          </reference>
          <reference field="6" count="1" selected="0">
            <x v="4"/>
          </reference>
          <reference field="7" count="1" selected="0">
            <x v="11"/>
          </reference>
          <reference field="8" count="1" selected="0">
            <x v="49"/>
          </reference>
          <reference field="15" count="1">
            <x v="86"/>
          </reference>
        </references>
      </pivotArea>
    </format>
    <format dxfId="5642">
      <pivotArea dataOnly="0" labelOnly="1" fieldPosition="0">
        <references count="5">
          <reference field="4" count="1" selected="0">
            <x v="7"/>
          </reference>
          <reference field="6" count="1" selected="0">
            <x v="4"/>
          </reference>
          <reference field="7" count="1" selected="0">
            <x v="12"/>
          </reference>
          <reference field="8" count="1" selected="0">
            <x v="50"/>
          </reference>
          <reference field="15" count="3">
            <x v="64"/>
            <x v="65"/>
            <x v="136"/>
          </reference>
        </references>
      </pivotArea>
    </format>
    <format dxfId="5641">
      <pivotArea dataOnly="0" labelOnly="1" fieldPosition="0">
        <references count="5">
          <reference field="4" count="1" selected="0">
            <x v="7"/>
          </reference>
          <reference field="6" count="1" selected="0">
            <x v="4"/>
          </reference>
          <reference field="7" count="1" selected="0">
            <x v="13"/>
          </reference>
          <reference field="8" count="1" selected="0">
            <x v="51"/>
          </reference>
          <reference field="15" count="1">
            <x v="307"/>
          </reference>
        </references>
      </pivotArea>
    </format>
    <format dxfId="5640">
      <pivotArea dataOnly="0" labelOnly="1" fieldPosition="0">
        <references count="5">
          <reference field="4" count="1" selected="0">
            <x v="7"/>
          </reference>
          <reference field="6" count="1" selected="0">
            <x v="4"/>
          </reference>
          <reference field="7" count="1" selected="0">
            <x v="13"/>
          </reference>
          <reference field="8" count="1" selected="0">
            <x v="52"/>
          </reference>
          <reference field="15" count="1">
            <x v="309"/>
          </reference>
        </references>
      </pivotArea>
    </format>
    <format dxfId="5639">
      <pivotArea dataOnly="0" labelOnly="1" fieldPosition="0">
        <references count="5">
          <reference field="4" count="1" selected="0">
            <x v="7"/>
          </reference>
          <reference field="6" count="1" selected="0">
            <x v="4"/>
          </reference>
          <reference field="7" count="1" selected="0">
            <x v="13"/>
          </reference>
          <reference field="8" count="1" selected="0">
            <x v="53"/>
          </reference>
          <reference field="15" count="1">
            <x v="308"/>
          </reference>
        </references>
      </pivotArea>
    </format>
    <format dxfId="5638">
      <pivotArea dataOnly="0" labelOnly="1" fieldPosition="0">
        <references count="5">
          <reference field="4" count="1" selected="0">
            <x v="7"/>
          </reference>
          <reference field="6" count="1" selected="0">
            <x v="4"/>
          </reference>
          <reference field="7" count="1" selected="0">
            <x v="14"/>
          </reference>
          <reference field="8" count="1" selected="0">
            <x v="54"/>
          </reference>
          <reference field="15" count="1">
            <x v="281"/>
          </reference>
        </references>
      </pivotArea>
    </format>
    <format dxfId="5637">
      <pivotArea dataOnly="0" labelOnly="1" fieldPosition="0">
        <references count="5">
          <reference field="4" count="1" selected="0">
            <x v="7"/>
          </reference>
          <reference field="6" count="1" selected="0">
            <x v="4"/>
          </reference>
          <reference field="7" count="1" selected="0">
            <x v="14"/>
          </reference>
          <reference field="8" count="1" selected="0">
            <x v="55"/>
          </reference>
          <reference field="15" count="1">
            <x v="138"/>
          </reference>
        </references>
      </pivotArea>
    </format>
    <format dxfId="5636">
      <pivotArea dataOnly="0" labelOnly="1" fieldPosition="0">
        <references count="5">
          <reference field="4" count="1" selected="0">
            <x v="7"/>
          </reference>
          <reference field="6" count="1" selected="0">
            <x v="4"/>
          </reference>
          <reference field="7" count="1" selected="0">
            <x v="15"/>
          </reference>
          <reference field="8" count="1" selected="0">
            <x v="56"/>
          </reference>
          <reference field="15" count="2">
            <x v="335"/>
            <x v="336"/>
          </reference>
        </references>
      </pivotArea>
    </format>
    <format dxfId="5635">
      <pivotArea dataOnly="0" labelOnly="1" fieldPosition="0">
        <references count="5">
          <reference field="4" count="1" selected="0">
            <x v="8"/>
          </reference>
          <reference field="6" count="1" selected="0">
            <x v="0"/>
          </reference>
          <reference field="7" count="1" selected="0">
            <x v="18"/>
          </reference>
          <reference field="8" count="1" selected="0">
            <x v="77"/>
          </reference>
          <reference field="15" count="1">
            <x v="290"/>
          </reference>
        </references>
      </pivotArea>
    </format>
    <format dxfId="5634">
      <pivotArea dataOnly="0" labelOnly="1" fieldPosition="0">
        <references count="5">
          <reference field="4" count="1" selected="0">
            <x v="8"/>
          </reference>
          <reference field="6" count="1" selected="0">
            <x v="0"/>
          </reference>
          <reference field="7" count="1" selected="0">
            <x v="22"/>
          </reference>
          <reference field="8" count="1" selected="0">
            <x v="92"/>
          </reference>
          <reference field="15" count="4">
            <x v="130"/>
            <x v="359"/>
            <x v="360"/>
            <x v="361"/>
          </reference>
        </references>
      </pivotArea>
    </format>
    <format dxfId="5633">
      <pivotArea dataOnly="0" labelOnly="1" fieldPosition="0">
        <references count="5">
          <reference field="4" count="1" selected="0">
            <x v="8"/>
          </reference>
          <reference field="6" count="1" selected="0">
            <x v="0"/>
          </reference>
          <reference field="7" count="1" selected="0">
            <x v="22"/>
          </reference>
          <reference field="8" count="1" selected="0">
            <x v="93"/>
          </reference>
          <reference field="15" count="1">
            <x v="369"/>
          </reference>
        </references>
      </pivotArea>
    </format>
    <format dxfId="5632">
      <pivotArea dataOnly="0" labelOnly="1" fieldPosition="0">
        <references count="5">
          <reference field="4" count="1" selected="0">
            <x v="8"/>
          </reference>
          <reference field="6" count="1" selected="0">
            <x v="0"/>
          </reference>
          <reference field="7" count="1" selected="0">
            <x v="22"/>
          </reference>
          <reference field="8" count="1" selected="0">
            <x v="94"/>
          </reference>
          <reference field="15" count="1">
            <x v="273"/>
          </reference>
        </references>
      </pivotArea>
    </format>
    <format dxfId="5631">
      <pivotArea dataOnly="0" labelOnly="1" fieldPosition="0">
        <references count="5">
          <reference field="4" count="1" selected="0">
            <x v="8"/>
          </reference>
          <reference field="6" count="1" selected="0">
            <x v="1"/>
          </reference>
          <reference field="7" count="1" selected="0">
            <x v="28"/>
          </reference>
          <reference field="8" count="1" selected="0">
            <x v="138"/>
          </reference>
          <reference field="15" count="3">
            <x v="270"/>
            <x v="343"/>
            <x v="355"/>
          </reference>
        </references>
      </pivotArea>
    </format>
    <format dxfId="5630">
      <pivotArea dataOnly="0" labelOnly="1" fieldPosition="0">
        <references count="5">
          <reference field="4" count="1" selected="0">
            <x v="8"/>
          </reference>
          <reference field="6" count="1" selected="0">
            <x v="1"/>
          </reference>
          <reference field="7" count="1" selected="0">
            <x v="28"/>
          </reference>
          <reference field="8" count="1" selected="0">
            <x v="139"/>
          </reference>
          <reference field="15" count="1">
            <x v="147"/>
          </reference>
        </references>
      </pivotArea>
    </format>
    <format dxfId="5629">
      <pivotArea dataOnly="0" labelOnly="1" fieldPosition="0">
        <references count="5">
          <reference field="4" count="1" selected="0">
            <x v="8"/>
          </reference>
          <reference field="6" count="1" selected="0">
            <x v="2"/>
          </reference>
          <reference field="7" count="1" selected="0">
            <x v="32"/>
          </reference>
          <reference field="8" count="1" selected="0">
            <x v="158"/>
          </reference>
          <reference field="15" count="1">
            <x v="344"/>
          </reference>
        </references>
      </pivotArea>
    </format>
    <format dxfId="5628">
      <pivotArea dataOnly="0" labelOnly="1" fieldPosition="0">
        <references count="5">
          <reference field="4" count="1" selected="0">
            <x v="8"/>
          </reference>
          <reference field="6" count="1" selected="0">
            <x v="2"/>
          </reference>
          <reference field="7" count="1" selected="0">
            <x v="32"/>
          </reference>
          <reference field="8" count="1" selected="0">
            <x v="159"/>
          </reference>
          <reference field="15" count="1">
            <x v="137"/>
          </reference>
        </references>
      </pivotArea>
    </format>
    <format dxfId="5627">
      <pivotArea dataOnly="0" labelOnly="1" fieldPosition="0">
        <references count="5">
          <reference field="4" count="1" selected="0">
            <x v="8"/>
          </reference>
          <reference field="6" count="1" selected="0">
            <x v="3"/>
          </reference>
          <reference field="7" count="1" selected="0">
            <x v="6"/>
          </reference>
          <reference field="8" count="1" selected="0">
            <x v="29"/>
          </reference>
          <reference field="15" count="4">
            <x v="145"/>
            <x v="146"/>
            <x v="356"/>
            <x v="357"/>
          </reference>
        </references>
      </pivotArea>
    </format>
    <format dxfId="5626">
      <pivotArea dataOnly="0" labelOnly="1" fieldPosition="0">
        <references count="5">
          <reference field="4" count="1" selected="0">
            <x v="8"/>
          </reference>
          <reference field="6" count="1" selected="0">
            <x v="3"/>
          </reference>
          <reference field="7" count="1" selected="0">
            <x v="6"/>
          </reference>
          <reference field="8" count="1" selected="0">
            <x v="30"/>
          </reference>
          <reference field="15" count="2">
            <x v="267"/>
            <x v="268"/>
          </reference>
        </references>
      </pivotArea>
    </format>
    <format dxfId="5625">
      <pivotArea dataOnly="0" labelOnly="1" fieldPosition="0">
        <references count="5">
          <reference field="4" count="1" selected="0">
            <x v="9"/>
          </reference>
          <reference field="6" count="1" selected="0">
            <x v="1"/>
          </reference>
          <reference field="7" count="1" selected="0">
            <x v="25"/>
          </reference>
          <reference field="8" count="1" selected="0">
            <x v="115"/>
          </reference>
          <reference field="15" count="13">
            <x v="35"/>
            <x v="36"/>
            <x v="63"/>
            <x v="72"/>
            <x v="77"/>
            <x v="238"/>
            <x v="241"/>
            <x v="242"/>
            <x v="243"/>
            <x v="247"/>
            <x v="248"/>
            <x v="260"/>
            <x v="262"/>
          </reference>
        </references>
      </pivotArea>
    </format>
    <format dxfId="5624">
      <pivotArea dataOnly="0" labelOnly="1" fieldPosition="0">
        <references count="5">
          <reference field="4" count="1" selected="0">
            <x v="9"/>
          </reference>
          <reference field="6" count="1" selected="0">
            <x v="1"/>
          </reference>
          <reference field="7" count="1" selected="0">
            <x v="25"/>
          </reference>
          <reference field="8" count="1" selected="0">
            <x v="116"/>
          </reference>
          <reference field="15" count="1">
            <x v="61"/>
          </reference>
        </references>
      </pivotArea>
    </format>
    <format dxfId="5623">
      <pivotArea dataOnly="0" labelOnly="1" fieldPosition="0">
        <references count="5">
          <reference field="4" count="1" selected="0">
            <x v="9"/>
          </reference>
          <reference field="6" count="1" selected="0">
            <x v="1"/>
          </reference>
          <reference field="7" count="1" selected="0">
            <x v="25"/>
          </reference>
          <reference field="8" count="1" selected="0">
            <x v="117"/>
          </reference>
          <reference field="15" count="2">
            <x v="92"/>
            <x v="249"/>
          </reference>
        </references>
      </pivotArea>
    </format>
    <format dxfId="5622">
      <pivotArea dataOnly="0" labelOnly="1" fieldPosition="0">
        <references count="5">
          <reference field="4" count="1" selected="0">
            <x v="9"/>
          </reference>
          <reference field="6" count="1" selected="0">
            <x v="1"/>
          </reference>
          <reference field="7" count="1" selected="0">
            <x v="25"/>
          </reference>
          <reference field="8" count="1" selected="0">
            <x v="118"/>
          </reference>
          <reference field="15" count="3">
            <x v="71"/>
            <x v="87"/>
            <x v="91"/>
          </reference>
        </references>
      </pivotArea>
    </format>
    <format dxfId="5621">
      <pivotArea dataOnly="0" labelOnly="1" fieldPosition="0">
        <references count="5">
          <reference field="4" count="1" selected="0">
            <x v="9"/>
          </reference>
          <reference field="6" count="1" selected="0">
            <x v="1"/>
          </reference>
          <reference field="7" count="1" selected="0">
            <x v="25"/>
          </reference>
          <reference field="8" count="1" selected="0">
            <x v="119"/>
          </reference>
          <reference field="15" count="4">
            <x v="62"/>
            <x v="68"/>
            <x v="69"/>
            <x v="70"/>
          </reference>
        </references>
      </pivotArea>
    </format>
    <format dxfId="5620">
      <pivotArea dataOnly="0" labelOnly="1" fieldPosition="0">
        <references count="5">
          <reference field="4" count="1" selected="0">
            <x v="9"/>
          </reference>
          <reference field="6" count="1" selected="0">
            <x v="1"/>
          </reference>
          <reference field="7" count="1" selected="0">
            <x v="25"/>
          </reference>
          <reference field="8" count="1" selected="0">
            <x v="120"/>
          </reference>
          <reference field="15" count="1">
            <x v="85"/>
          </reference>
        </references>
      </pivotArea>
    </format>
    <format dxfId="5619">
      <pivotArea dataOnly="0" labelOnly="1" fieldPosition="0">
        <references count="5">
          <reference field="4" count="1" selected="0">
            <x v="9"/>
          </reference>
          <reference field="6" count="1" selected="0">
            <x v="1"/>
          </reference>
          <reference field="7" count="1" selected="0">
            <x v="25"/>
          </reference>
          <reference field="8" count="1" selected="0">
            <x v="121"/>
          </reference>
          <reference field="15" count="2">
            <x v="41"/>
            <x v="78"/>
          </reference>
        </references>
      </pivotArea>
    </format>
    <format dxfId="5618">
      <pivotArea dataOnly="0" labelOnly="1" fieldPosition="0">
        <references count="5">
          <reference field="4" count="1" selected="0">
            <x v="9"/>
          </reference>
          <reference field="6" count="1" selected="0">
            <x v="1"/>
          </reference>
          <reference field="7" count="1" selected="0">
            <x v="25"/>
          </reference>
          <reference field="8" count="1" selected="0">
            <x v="122"/>
          </reference>
          <reference field="15" count="2">
            <x v="38"/>
            <x v="39"/>
          </reference>
        </references>
      </pivotArea>
    </format>
    <format dxfId="5617">
      <pivotArea dataOnly="0" labelOnly="1" fieldPosition="0">
        <references count="5">
          <reference field="4" count="1" selected="0">
            <x v="9"/>
          </reference>
          <reference field="6" count="1" selected="0">
            <x v="1"/>
          </reference>
          <reference field="7" count="1" selected="0">
            <x v="25"/>
          </reference>
          <reference field="8" count="1" selected="0">
            <x v="123"/>
          </reference>
          <reference field="15" count="7">
            <x v="32"/>
            <x v="33"/>
            <x v="60"/>
            <x v="82"/>
            <x v="83"/>
            <x v="89"/>
            <x v="90"/>
          </reference>
        </references>
      </pivotArea>
    </format>
    <format dxfId="5616">
      <pivotArea dataOnly="0" labelOnly="1" fieldPosition="0">
        <references count="5">
          <reference field="4" count="1" selected="0">
            <x v="9"/>
          </reference>
          <reference field="6" count="1" selected="0">
            <x v="1"/>
          </reference>
          <reference field="7" count="1" selected="0">
            <x v="25"/>
          </reference>
          <reference field="8" count="1" selected="0">
            <x v="124"/>
          </reference>
          <reference field="15" count="1">
            <x v="261"/>
          </reference>
        </references>
      </pivotArea>
    </format>
    <format dxfId="5615">
      <pivotArea dataOnly="0" labelOnly="1" fieldPosition="0">
        <references count="5">
          <reference field="4" count="1" selected="0">
            <x v="10"/>
          </reference>
          <reference field="6" count="1" selected="0">
            <x v="3"/>
          </reference>
          <reference field="7" count="1" selected="0">
            <x v="6"/>
          </reference>
          <reference field="8" count="1" selected="0">
            <x v="29"/>
          </reference>
          <reference field="15" count="21">
            <x v="2"/>
            <x v="3"/>
            <x v="5"/>
            <x v="152"/>
            <x v="153"/>
            <x v="154"/>
            <x v="155"/>
            <x v="156"/>
            <x v="157"/>
            <x v="158"/>
            <x v="159"/>
            <x v="160"/>
            <x v="161"/>
            <x v="162"/>
            <x v="163"/>
            <x v="189"/>
            <x v="190"/>
            <x v="191"/>
            <x v="192"/>
            <x v="193"/>
            <x v="395"/>
          </reference>
        </references>
      </pivotArea>
    </format>
    <format dxfId="5614">
      <pivotArea dataOnly="0" labelOnly="1" fieldPosition="0">
        <references count="5">
          <reference field="4" count="1" selected="0">
            <x v="11"/>
          </reference>
          <reference field="6" count="1" selected="0">
            <x v="0"/>
          </reference>
          <reference field="7" count="1" selected="0">
            <x v="17"/>
          </reference>
          <reference field="8" count="1" selected="0">
            <x v="70"/>
          </reference>
          <reference field="15" count="4">
            <x v="345"/>
            <x v="346"/>
            <x v="347"/>
            <x v="351"/>
          </reference>
        </references>
      </pivotArea>
    </format>
    <format dxfId="5613">
      <pivotArea dataOnly="0" labelOnly="1" fieldPosition="0">
        <references count="5">
          <reference field="4" count="1" selected="0">
            <x v="11"/>
          </reference>
          <reference field="6" count="1" selected="0">
            <x v="0"/>
          </reference>
          <reference field="7" count="1" selected="0">
            <x v="17"/>
          </reference>
          <reference field="8" count="1" selected="0">
            <x v="71"/>
          </reference>
          <reference field="15" count="3">
            <x v="348"/>
            <x v="352"/>
            <x v="353"/>
          </reference>
        </references>
      </pivotArea>
    </format>
    <format dxfId="5612">
      <pivotArea dataOnly="0" labelOnly="1" fieldPosition="0">
        <references count="5">
          <reference field="4" count="1" selected="0">
            <x v="11"/>
          </reference>
          <reference field="6" count="1" selected="0">
            <x v="0"/>
          </reference>
          <reference field="7" count="1" selected="0">
            <x v="17"/>
          </reference>
          <reference field="8" count="1" selected="0">
            <x v="72"/>
          </reference>
          <reference field="15" count="3">
            <x v="143"/>
            <x v="349"/>
            <x v="350"/>
          </reference>
        </references>
      </pivotArea>
    </format>
    <format dxfId="5611">
      <pivotArea dataOnly="0" labelOnly="1" fieldPosition="0">
        <references count="5">
          <reference field="4" count="1" selected="0">
            <x v="12"/>
          </reference>
          <reference field="6" count="1" selected="0">
            <x v="0"/>
          </reference>
          <reference field="7" count="1" selected="0">
            <x v="18"/>
          </reference>
          <reference field="8" count="1" selected="0">
            <x v="74"/>
          </reference>
          <reference field="15" count="2">
            <x v="113"/>
            <x v="114"/>
          </reference>
        </references>
      </pivotArea>
    </format>
    <format dxfId="5610">
      <pivotArea dataOnly="0" labelOnly="1" fieldPosition="0">
        <references count="5">
          <reference field="4" count="1" selected="0">
            <x v="12"/>
          </reference>
          <reference field="6" count="1" selected="0">
            <x v="0"/>
          </reference>
          <reference field="7" count="1" selected="0">
            <x v="18"/>
          </reference>
          <reference field="8" count="1" selected="0">
            <x v="75"/>
          </reference>
          <reference field="15" count="1">
            <x v="116"/>
          </reference>
        </references>
      </pivotArea>
    </format>
    <format dxfId="5609">
      <pivotArea dataOnly="0" labelOnly="1" fieldPosition="0">
        <references count="5">
          <reference field="4" count="1" selected="0">
            <x v="12"/>
          </reference>
          <reference field="6" count="1" selected="0">
            <x v="0"/>
          </reference>
          <reference field="7" count="1" selected="0">
            <x v="18"/>
          </reference>
          <reference field="8" count="1" selected="0">
            <x v="76"/>
          </reference>
          <reference field="15" count="1">
            <x v="244"/>
          </reference>
        </references>
      </pivotArea>
    </format>
    <format dxfId="5608">
      <pivotArea dataOnly="0" labelOnly="1" fieldPosition="0">
        <references count="5">
          <reference field="4" count="1" selected="0">
            <x v="13"/>
          </reference>
          <reference field="6" count="1" selected="0">
            <x v="3"/>
          </reference>
          <reference field="7" count="1" selected="0">
            <x v="1"/>
          </reference>
          <reference field="8" count="1" selected="0">
            <x v="6"/>
          </reference>
          <reference field="15" count="1">
            <x v="340"/>
          </reference>
        </references>
      </pivotArea>
    </format>
    <format dxfId="5607">
      <pivotArea dataOnly="0" labelOnly="1" fieldPosition="0">
        <references count="5">
          <reference field="4" count="1" selected="0">
            <x v="13"/>
          </reference>
          <reference field="6" count="1" selected="0">
            <x v="3"/>
          </reference>
          <reference field="7" count="1" selected="0">
            <x v="5"/>
          </reference>
          <reference field="8" count="1" selected="0">
            <x v="22"/>
          </reference>
          <reference field="15" count="1">
            <x v="333"/>
          </reference>
        </references>
      </pivotArea>
    </format>
    <format dxfId="5606">
      <pivotArea dataOnly="0" labelOnly="1" fieldPosition="0">
        <references count="5">
          <reference field="4" count="1" selected="0">
            <x v="13"/>
          </reference>
          <reference field="6" count="1" selected="0">
            <x v="3"/>
          </reference>
          <reference field="7" count="1" selected="0">
            <x v="5"/>
          </reference>
          <reference field="8" count="1" selected="0">
            <x v="23"/>
          </reference>
          <reference field="15" count="1">
            <x v="332"/>
          </reference>
        </references>
      </pivotArea>
    </format>
    <format dxfId="5605">
      <pivotArea dataOnly="0" labelOnly="1" fieldPosition="0">
        <references count="5">
          <reference field="4" count="1" selected="0">
            <x v="13"/>
          </reference>
          <reference field="6" count="1" selected="0">
            <x v="3"/>
          </reference>
          <reference field="7" count="1" selected="0">
            <x v="5"/>
          </reference>
          <reference field="8" count="1" selected="0">
            <x v="24"/>
          </reference>
          <reference field="15" count="1">
            <x v="339"/>
          </reference>
        </references>
      </pivotArea>
    </format>
    <format dxfId="5604">
      <pivotArea dataOnly="0" labelOnly="1" fieldPosition="0">
        <references count="5">
          <reference field="4" count="1" selected="0">
            <x v="13"/>
          </reference>
          <reference field="6" count="1" selected="0">
            <x v="3"/>
          </reference>
          <reference field="7" count="1" selected="0">
            <x v="5"/>
          </reference>
          <reference field="8" count="1" selected="0">
            <x v="25"/>
          </reference>
          <reference field="15" count="1">
            <x v="342"/>
          </reference>
        </references>
      </pivotArea>
    </format>
    <format dxfId="5603">
      <pivotArea dataOnly="0" labelOnly="1" fieldPosition="0">
        <references count="5">
          <reference field="4" count="1" selected="0">
            <x v="13"/>
          </reference>
          <reference field="6" count="1" selected="0">
            <x v="3"/>
          </reference>
          <reference field="7" count="1" selected="0">
            <x v="5"/>
          </reference>
          <reference field="8" count="1" selected="0">
            <x v="26"/>
          </reference>
          <reference field="15" count="1">
            <x v="338"/>
          </reference>
        </references>
      </pivotArea>
    </format>
    <format dxfId="5602">
      <pivotArea dataOnly="0" labelOnly="1" fieldPosition="0">
        <references count="5">
          <reference field="4" count="1" selected="0">
            <x v="13"/>
          </reference>
          <reference field="6" count="1" selected="0">
            <x v="3"/>
          </reference>
          <reference field="7" count="1" selected="0">
            <x v="5"/>
          </reference>
          <reference field="8" count="1" selected="0">
            <x v="27"/>
          </reference>
          <reference field="15" count="1">
            <x v="341"/>
          </reference>
        </references>
      </pivotArea>
    </format>
    <format dxfId="5601">
      <pivotArea dataOnly="0" labelOnly="1" fieldPosition="0">
        <references count="5">
          <reference field="4" count="1" selected="0">
            <x v="14"/>
          </reference>
          <reference field="6" count="1" selected="0">
            <x v="1"/>
          </reference>
          <reference field="7" count="1" selected="0">
            <x v="26"/>
          </reference>
          <reference field="8" count="1" selected="0">
            <x v="125"/>
          </reference>
          <reference field="15" count="4">
            <x v="26"/>
            <x v="27"/>
            <x v="28"/>
            <x v="99"/>
          </reference>
        </references>
      </pivotArea>
    </format>
    <format dxfId="5600">
      <pivotArea dataOnly="0" labelOnly="1" fieldPosition="0">
        <references count="5">
          <reference field="4" count="1" selected="0">
            <x v="14"/>
          </reference>
          <reference field="6" count="1" selected="0">
            <x v="1"/>
          </reference>
          <reference field="7" count="1" selected="0">
            <x v="26"/>
          </reference>
          <reference field="8" count="1" selected="0">
            <x v="126"/>
          </reference>
          <reference field="15" count="1">
            <x v="19"/>
          </reference>
        </references>
      </pivotArea>
    </format>
    <format dxfId="5599">
      <pivotArea dataOnly="0" labelOnly="1" fieldPosition="0">
        <references count="5">
          <reference field="4" count="1" selected="0">
            <x v="14"/>
          </reference>
          <reference field="6" count="1" selected="0">
            <x v="1"/>
          </reference>
          <reference field="7" count="1" selected="0">
            <x v="26"/>
          </reference>
          <reference field="8" count="1" selected="0">
            <x v="127"/>
          </reference>
          <reference field="15" count="2">
            <x v="150"/>
            <x v="151"/>
          </reference>
        </references>
      </pivotArea>
    </format>
    <format dxfId="5598">
      <pivotArea dataOnly="0" labelOnly="1" fieldPosition="0">
        <references count="5">
          <reference field="4" count="1" selected="0">
            <x v="14"/>
          </reference>
          <reference field="6" count="1" selected="0">
            <x v="1"/>
          </reference>
          <reference field="7" count="1" selected="0">
            <x v="26"/>
          </reference>
          <reference field="8" count="1" selected="0">
            <x v="128"/>
          </reference>
          <reference field="15" count="2">
            <x v="29"/>
            <x v="30"/>
          </reference>
        </references>
      </pivotArea>
    </format>
    <format dxfId="5597">
      <pivotArea dataOnly="0" labelOnly="1" fieldPosition="0">
        <references count="5">
          <reference field="4" count="1" selected="0">
            <x v="14"/>
          </reference>
          <reference field="6" count="1" selected="0">
            <x v="1"/>
          </reference>
          <reference field="7" count="1" selected="0">
            <x v="26"/>
          </reference>
          <reference field="8" count="1" selected="0">
            <x v="129"/>
          </reference>
          <reference field="15" count="2">
            <x v="330"/>
            <x v="331"/>
          </reference>
        </references>
      </pivotArea>
    </format>
    <format dxfId="5596">
      <pivotArea dataOnly="0" labelOnly="1" fieldPosition="0">
        <references count="5">
          <reference field="4" count="1" selected="0">
            <x v="14"/>
          </reference>
          <reference field="6" count="1" selected="0">
            <x v="1"/>
          </reference>
          <reference field="7" count="1" selected="0">
            <x v="26"/>
          </reference>
          <reference field="8" count="1" selected="0">
            <x v="130"/>
          </reference>
          <reference field="15" count="2">
            <x v="367"/>
            <x v="368"/>
          </reference>
        </references>
      </pivotArea>
    </format>
    <format dxfId="5595">
      <pivotArea dataOnly="0" labelOnly="1" fieldPosition="0">
        <references count="5">
          <reference field="4" count="1" selected="0">
            <x v="14"/>
          </reference>
          <reference field="6" count="1" selected="0">
            <x v="1"/>
          </reference>
          <reference field="7" count="1" selected="0">
            <x v="26"/>
          </reference>
          <reference field="8" count="1" selected="0">
            <x v="131"/>
          </reference>
          <reference field="15" count="3">
            <x v="14"/>
            <x v="15"/>
            <x v="16"/>
          </reference>
        </references>
      </pivotArea>
    </format>
    <format dxfId="5594">
      <pivotArea dataOnly="0" labelOnly="1" fieldPosition="0">
        <references count="5">
          <reference field="4" count="1" selected="0">
            <x v="15"/>
          </reference>
          <reference field="6" count="1" selected="0">
            <x v="0"/>
          </reference>
          <reference field="7" count="1" selected="0">
            <x v="20"/>
          </reference>
          <reference field="8" count="1" selected="0">
            <x v="82"/>
          </reference>
          <reference field="15" count="2">
            <x v="73"/>
            <x v="74"/>
          </reference>
        </references>
      </pivotArea>
    </format>
    <format dxfId="5593">
      <pivotArea dataOnly="0" labelOnly="1" fieldPosition="0">
        <references count="5">
          <reference field="4" count="1" selected="0">
            <x v="15"/>
          </reference>
          <reference field="6" count="1" selected="0">
            <x v="0"/>
          </reference>
          <reference field="7" count="1" selected="0">
            <x v="20"/>
          </reference>
          <reference field="8" count="1" selected="0">
            <x v="83"/>
          </reference>
          <reference field="15" count="1">
            <x v="75"/>
          </reference>
        </references>
      </pivotArea>
    </format>
    <format dxfId="5592">
      <pivotArea dataOnly="0" labelOnly="1" fieldPosition="0">
        <references count="5">
          <reference field="4" count="1" selected="0">
            <x v="15"/>
          </reference>
          <reference field="6" count="1" selected="0">
            <x v="0"/>
          </reference>
          <reference field="7" count="1" selected="0">
            <x v="20"/>
          </reference>
          <reference field="8" count="1" selected="0">
            <x v="84"/>
          </reference>
          <reference field="15" count="1">
            <x v="76"/>
          </reference>
        </references>
      </pivotArea>
    </format>
    <format dxfId="5591">
      <pivotArea dataOnly="0" labelOnly="1" fieldPosition="0">
        <references count="5">
          <reference field="4" count="1" selected="0">
            <x v="15"/>
          </reference>
          <reference field="6" count="1" selected="0">
            <x v="0"/>
          </reference>
          <reference field="7" count="1" selected="0">
            <x v="20"/>
          </reference>
          <reference field="8" count="1" selected="0">
            <x v="85"/>
          </reference>
          <reference field="15" count="1">
            <x v="259"/>
          </reference>
        </references>
      </pivotArea>
    </format>
    <format dxfId="5590">
      <pivotArea dataOnly="0" labelOnly="1" fieldPosition="0">
        <references count="5">
          <reference field="4" count="1" selected="0">
            <x v="15"/>
          </reference>
          <reference field="6" count="1" selected="0">
            <x v="0"/>
          </reference>
          <reference field="7" count="1" selected="0">
            <x v="20"/>
          </reference>
          <reference field="8" count="1" selected="0">
            <x v="86"/>
          </reference>
          <reference field="15" count="3">
            <x v="132"/>
            <x v="133"/>
            <x v="134"/>
          </reference>
        </references>
      </pivotArea>
    </format>
    <format dxfId="5589">
      <pivotArea dataOnly="0" labelOnly="1" fieldPosition="0">
        <references count="5">
          <reference field="4" count="1" selected="0">
            <x v="16"/>
          </reference>
          <reference field="6" count="1" selected="0">
            <x v="1"/>
          </reference>
          <reference field="7" count="1" selected="0">
            <x v="27"/>
          </reference>
          <reference field="8" count="1" selected="0">
            <x v="132"/>
          </reference>
          <reference field="15" count="1">
            <x v="20"/>
          </reference>
        </references>
      </pivotArea>
    </format>
    <format dxfId="5588">
      <pivotArea dataOnly="0" labelOnly="1" fieldPosition="0">
        <references count="5">
          <reference field="4" count="1" selected="0">
            <x v="16"/>
          </reference>
          <reference field="6" count="1" selected="0">
            <x v="1"/>
          </reference>
          <reference field="7" count="1" selected="0">
            <x v="27"/>
          </reference>
          <reference field="8" count="1" selected="0">
            <x v="133"/>
          </reference>
          <reference field="15" count="3">
            <x v="21"/>
            <x v="22"/>
            <x v="23"/>
          </reference>
        </references>
      </pivotArea>
    </format>
    <format dxfId="5587">
      <pivotArea dataOnly="0" labelOnly="1" fieldPosition="0">
        <references count="5">
          <reference field="4" count="1" selected="0">
            <x v="16"/>
          </reference>
          <reference field="6" count="1" selected="0">
            <x v="1"/>
          </reference>
          <reference field="7" count="1" selected="0">
            <x v="27"/>
          </reference>
          <reference field="8" count="1" selected="0">
            <x v="134"/>
          </reference>
          <reference field="15" count="2">
            <x v="149"/>
            <x v="354"/>
          </reference>
        </references>
      </pivotArea>
    </format>
    <format dxfId="5586">
      <pivotArea dataOnly="0" labelOnly="1" fieldPosition="0">
        <references count="5">
          <reference field="4" count="1" selected="0">
            <x v="16"/>
          </reference>
          <reference field="6" count="1" selected="0">
            <x v="1"/>
          </reference>
          <reference field="7" count="1" selected="0">
            <x v="27"/>
          </reference>
          <reference field="8" count="1" selected="0">
            <x v="135"/>
          </reference>
          <reference field="15" count="2">
            <x v="109"/>
            <x v="363"/>
          </reference>
        </references>
      </pivotArea>
    </format>
    <format dxfId="5585">
      <pivotArea dataOnly="0" labelOnly="1" fieldPosition="0">
        <references count="5">
          <reference field="4" count="1" selected="0">
            <x v="16"/>
          </reference>
          <reference field="6" count="1" selected="0">
            <x v="1"/>
          </reference>
          <reference field="7" count="1" selected="0">
            <x v="27"/>
          </reference>
          <reference field="8" count="1" selected="0">
            <x v="136"/>
          </reference>
          <reference field="15" count="2">
            <x v="81"/>
            <x v="148"/>
          </reference>
        </references>
      </pivotArea>
    </format>
    <format dxfId="5584">
      <pivotArea dataOnly="0" labelOnly="1" fieldPosition="0">
        <references count="5">
          <reference field="4" count="1" selected="0">
            <x v="16"/>
          </reference>
          <reference field="6" count="1" selected="0">
            <x v="1"/>
          </reference>
          <reference field="7" count="1" selected="0">
            <x v="27"/>
          </reference>
          <reference field="8" count="1" selected="0">
            <x v="137"/>
          </reference>
          <reference field="15" count="2">
            <x v="111"/>
            <x v="112"/>
          </reference>
        </references>
      </pivotArea>
    </format>
    <format dxfId="5583">
      <pivotArea dataOnly="0" labelOnly="1" fieldPosition="0">
        <references count="5">
          <reference field="4" count="1" selected="0">
            <x v="16"/>
          </reference>
          <reference field="6" count="1" selected="0">
            <x v="3"/>
          </reference>
          <reference field="7" count="1" selected="0">
            <x v="1"/>
          </reference>
          <reference field="8" count="1" selected="0">
            <x v="6"/>
          </reference>
          <reference field="15" count="1">
            <x v="362"/>
          </reference>
        </references>
      </pivotArea>
    </format>
    <format dxfId="5582">
      <pivotArea dataOnly="0" labelOnly="1" fieldPosition="0">
        <references count="5">
          <reference field="4" count="1" selected="0">
            <x v="16"/>
          </reference>
          <reference field="6" count="1" selected="0">
            <x v="4"/>
          </reference>
          <reference field="7" count="1" selected="0">
            <x v="8"/>
          </reference>
          <reference field="8" count="1" selected="0">
            <x v="38"/>
          </reference>
          <reference field="15" count="1">
            <x v="229"/>
          </reference>
        </references>
      </pivotArea>
    </format>
    <format dxfId="5581">
      <pivotArea dataOnly="0" labelOnly="1" fieldPosition="0">
        <references count="5">
          <reference field="4" count="1" selected="0">
            <x v="16"/>
          </reference>
          <reference field="6" count="1" selected="0">
            <x v="4"/>
          </reference>
          <reference field="7" count="1" selected="0">
            <x v="11"/>
          </reference>
          <reference field="8" count="1" selected="0">
            <x v="48"/>
          </reference>
          <reference field="15" count="1">
            <x v="200"/>
          </reference>
        </references>
      </pivotArea>
    </format>
    <format dxfId="5580">
      <pivotArea dataOnly="0" labelOnly="1" fieldPosition="0">
        <references count="5">
          <reference field="4" count="1" selected="0">
            <x v="17"/>
          </reference>
          <reference field="6" count="1" selected="0">
            <x v="0"/>
          </reference>
          <reference field="7" count="1" selected="0">
            <x v="16"/>
          </reference>
          <reference field="8" count="1" selected="0">
            <x v="57"/>
          </reference>
          <reference field="15" count="5">
            <x v="110"/>
            <x v="284"/>
            <x v="285"/>
            <x v="294"/>
            <x v="295"/>
          </reference>
        </references>
      </pivotArea>
    </format>
    <format dxfId="5579">
      <pivotArea dataOnly="0" labelOnly="1" fieldPosition="0">
        <references count="5">
          <reference field="4" count="1" selected="0">
            <x v="17"/>
          </reference>
          <reference field="6" count="1" selected="0">
            <x v="0"/>
          </reference>
          <reference field="7" count="1" selected="0">
            <x v="16"/>
          </reference>
          <reference field="8" count="1" selected="0">
            <x v="58"/>
          </reference>
          <reference field="15" count="2">
            <x v="299"/>
            <x v="300"/>
          </reference>
        </references>
      </pivotArea>
    </format>
    <format dxfId="5578">
      <pivotArea dataOnly="0" labelOnly="1" fieldPosition="0">
        <references count="5">
          <reference field="4" count="1" selected="0">
            <x v="17"/>
          </reference>
          <reference field="6" count="1" selected="0">
            <x v="0"/>
          </reference>
          <reference field="7" count="1" selected="0">
            <x v="16"/>
          </reference>
          <reference field="8" count="1" selected="0">
            <x v="59"/>
          </reference>
          <reference field="15" count="2">
            <x v="94"/>
            <x v="95"/>
          </reference>
        </references>
      </pivotArea>
    </format>
    <format dxfId="5577">
      <pivotArea dataOnly="0" labelOnly="1" fieldPosition="0">
        <references count="5">
          <reference field="4" count="1" selected="0">
            <x v="17"/>
          </reference>
          <reference field="6" count="1" selected="0">
            <x v="0"/>
          </reference>
          <reference field="7" count="1" selected="0">
            <x v="16"/>
          </reference>
          <reference field="8" count="1" selected="0">
            <x v="60"/>
          </reference>
          <reference field="15" count="5">
            <x v="102"/>
            <x v="103"/>
            <x v="104"/>
            <x v="322"/>
            <x v="323"/>
          </reference>
        </references>
      </pivotArea>
    </format>
    <format dxfId="5576">
      <pivotArea dataOnly="0" labelOnly="1" fieldPosition="0">
        <references count="5">
          <reference field="4" count="1" selected="0">
            <x v="17"/>
          </reference>
          <reference field="6" count="1" selected="0">
            <x v="0"/>
          </reference>
          <reference field="7" count="1" selected="0">
            <x v="16"/>
          </reference>
          <reference field="8" count="1" selected="0">
            <x v="61"/>
          </reference>
          <reference field="15" count="2">
            <x v="296"/>
            <x v="297"/>
          </reference>
        </references>
      </pivotArea>
    </format>
    <format dxfId="5575">
      <pivotArea dataOnly="0" labelOnly="1" fieldPosition="0">
        <references count="5">
          <reference field="4" count="1" selected="0">
            <x v="17"/>
          </reference>
          <reference field="6" count="1" selected="0">
            <x v="0"/>
          </reference>
          <reference field="7" count="1" selected="0">
            <x v="16"/>
          </reference>
          <reference field="8" count="1" selected="0">
            <x v="62"/>
          </reference>
          <reference field="15" count="1">
            <x v="93"/>
          </reference>
        </references>
      </pivotArea>
    </format>
    <format dxfId="5574">
      <pivotArea dataOnly="0" labelOnly="1" fieldPosition="0">
        <references count="5">
          <reference field="4" count="1" selected="0">
            <x v="17"/>
          </reference>
          <reference field="6" count="1" selected="0">
            <x v="0"/>
          </reference>
          <reference field="7" count="1" selected="0">
            <x v="16"/>
          </reference>
          <reference field="8" count="1" selected="0">
            <x v="63"/>
          </reference>
          <reference field="15" count="2">
            <x v="315"/>
            <x v="316"/>
          </reference>
        </references>
      </pivotArea>
    </format>
    <format dxfId="5573">
      <pivotArea dataOnly="0" labelOnly="1" fieldPosition="0">
        <references count="5">
          <reference field="4" count="1" selected="0">
            <x v="17"/>
          </reference>
          <reference field="6" count="1" selected="0">
            <x v="0"/>
          </reference>
          <reference field="7" count="1" selected="0">
            <x v="22"/>
          </reference>
          <reference field="8" count="1" selected="0">
            <x v="94"/>
          </reference>
          <reference field="15" count="2">
            <x v="105"/>
            <x v="106"/>
          </reference>
        </references>
      </pivotArea>
    </format>
    <format dxfId="5572">
      <pivotArea dataOnly="0" labelOnly="1" fieldPosition="0">
        <references count="5">
          <reference field="4" count="1" selected="0">
            <x v="18"/>
          </reference>
          <reference field="6" count="1" selected="0">
            <x v="3"/>
          </reference>
          <reference field="7" count="1" selected="0">
            <x v="2"/>
          </reference>
          <reference field="8" count="1" selected="0">
            <x v="8"/>
          </reference>
          <reference field="15" count="2">
            <x v="375"/>
            <x v="376"/>
          </reference>
        </references>
      </pivotArea>
    </format>
    <format dxfId="5571">
      <pivotArea dataOnly="0" labelOnly="1" fieldPosition="0">
        <references count="5">
          <reference field="4" count="1" selected="0">
            <x v="18"/>
          </reference>
          <reference field="6" count="1" selected="0">
            <x v="3"/>
          </reference>
          <reference field="7" count="1" selected="0">
            <x v="2"/>
          </reference>
          <reference field="8" count="1" selected="0">
            <x v="9"/>
          </reference>
          <reference field="15" count="1">
            <x v="266"/>
          </reference>
        </references>
      </pivotArea>
    </format>
    <format dxfId="5570">
      <pivotArea dataOnly="0" labelOnly="1" fieldPosition="0">
        <references count="5">
          <reference field="4" count="1" selected="0">
            <x v="18"/>
          </reference>
          <reference field="6" count="1" selected="0">
            <x v="3"/>
          </reference>
          <reference field="7" count="1" selected="0">
            <x v="2"/>
          </reference>
          <reference field="8" count="1" selected="0">
            <x v="16"/>
          </reference>
          <reference field="15" count="2">
            <x v="271"/>
            <x v="272"/>
          </reference>
        </references>
      </pivotArea>
    </format>
    <format dxfId="5569">
      <pivotArea dataOnly="0" labelOnly="1" fieldPosition="0">
        <references count="5">
          <reference field="4" count="1" selected="0">
            <x v="18"/>
          </reference>
          <reference field="6" count="1" selected="0">
            <x v="3"/>
          </reference>
          <reference field="7" count="1" selected="0">
            <x v="2"/>
          </reference>
          <reference field="8" count="1" selected="0">
            <x v="17"/>
          </reference>
          <reference field="15" count="3">
            <x v="286"/>
            <x v="287"/>
            <x v="288"/>
          </reference>
        </references>
      </pivotArea>
    </format>
    <format dxfId="5568">
      <pivotArea dataOnly="0" labelOnly="1" fieldPosition="0">
        <references count="5">
          <reference field="4" count="1" selected="0">
            <x v="19"/>
          </reference>
          <reference field="6" count="1" selected="0">
            <x v="3"/>
          </reference>
          <reference field="7" count="1" selected="0">
            <x v="6"/>
          </reference>
          <reference field="8" count="1" selected="0">
            <x v="29"/>
          </reference>
          <reference field="15" count="24">
            <x v="4"/>
            <x v="168"/>
            <x v="169"/>
            <x v="170"/>
            <x v="171"/>
            <x v="172"/>
            <x v="173"/>
            <x v="174"/>
            <x v="183"/>
            <x v="184"/>
            <x v="185"/>
            <x v="186"/>
            <x v="187"/>
            <x v="188"/>
            <x v="194"/>
            <x v="195"/>
            <x v="196"/>
            <x v="197"/>
            <x v="198"/>
            <x v="199"/>
            <x v="203"/>
            <x v="204"/>
            <x v="223"/>
            <x v="258"/>
          </reference>
        </references>
      </pivotArea>
    </format>
    <format dxfId="5567">
      <pivotArea dataOnly="0" labelOnly="1" fieldPosition="0">
        <references count="5">
          <reference field="4" count="1" selected="0">
            <x v="20"/>
          </reference>
          <reference field="6" count="1" selected="0">
            <x v="1"/>
          </reference>
          <reference field="7" count="1" selected="0">
            <x v="24"/>
          </reference>
          <reference field="8" count="1" selected="0">
            <x v="106"/>
          </reference>
          <reference field="15" count="2">
            <x v="239"/>
            <x v="240"/>
          </reference>
        </references>
      </pivotArea>
    </format>
    <format dxfId="5566">
      <pivotArea dataOnly="0" labelOnly="1" outline="0" fieldPosition="0">
        <references count="1">
          <reference field="4294967294" count="2">
            <x v="7"/>
            <x v="8"/>
          </reference>
        </references>
      </pivotArea>
    </format>
    <format dxfId="5565">
      <pivotArea outline="0" collapsedLevelsAreSubtotals="1" fieldPosition="0"/>
    </format>
    <format dxfId="5564">
      <pivotArea dataOnly="0" labelOnly="1" outline="0" fieldPosition="0">
        <references count="1">
          <reference field="2" count="0"/>
        </references>
      </pivotArea>
    </format>
    <format dxfId="5563">
      <pivotArea dataOnly="0" labelOnly="1" outline="0" fieldPosition="0">
        <references count="1">
          <reference field="4294967294" count="9">
            <x v="0"/>
            <x v="1"/>
            <x v="2"/>
            <x v="3"/>
            <x v="4"/>
            <x v="5"/>
            <x v="6"/>
            <x v="7"/>
            <x v="8"/>
          </reference>
        </references>
      </pivotArea>
    </format>
    <format dxfId="5562">
      <pivotArea outline="0" collapsedLevelsAreSubtotals="1" fieldPosition="0">
        <references count="1">
          <reference field="4294967294" count="2" selected="0">
            <x v="7"/>
            <x v="8"/>
          </reference>
        </references>
      </pivotArea>
    </format>
    <format dxfId="5561">
      <pivotArea dataOnly="0" labelOnly="1" outline="0" fieldPosition="0">
        <references count="1">
          <reference field="4294967294" count="2">
            <x v="7"/>
            <x v="8"/>
          </reference>
        </references>
      </pivotArea>
    </format>
    <format dxfId="5560">
      <pivotArea outline="0" collapsedLevelsAreSubtotals="1" fieldPosition="0">
        <references count="1">
          <reference field="4294967294" count="2" selected="0">
            <x v="7"/>
            <x v="8"/>
          </reference>
        </references>
      </pivotArea>
    </format>
    <format dxfId="5559">
      <pivotArea dataOnly="0" labelOnly="1" outline="0" fieldPosition="0">
        <references count="1">
          <reference field="4294967294" count="2">
            <x v="7"/>
            <x v="8"/>
          </reference>
        </references>
      </pivotArea>
    </format>
    <format dxfId="5558">
      <pivotArea field="2" type="button" dataOnly="0" labelOnly="1" outline="0" axis="axisPage" fieldPosition="0"/>
    </format>
    <format dxfId="5557">
      <pivotArea field="4" type="button" dataOnly="0" labelOnly="1" outline="0" axis="axisRow" fieldPosition="0"/>
    </format>
    <format dxfId="5556">
      <pivotArea dataOnly="0" labelOnly="1" fieldPosition="0">
        <references count="1">
          <reference field="4" count="1">
            <x v="4"/>
          </reference>
        </references>
      </pivotArea>
    </format>
    <format dxfId="5555">
      <pivotArea dataOnly="0" labelOnly="1" grandRow="1" outline="0" fieldPosition="0"/>
    </format>
    <format dxfId="5554">
      <pivotArea dataOnly="0" labelOnly="1" fieldPosition="0">
        <references count="2">
          <reference field="4" count="1" selected="0">
            <x v="4"/>
          </reference>
          <reference field="6" count="4">
            <x v="0"/>
            <x v="1"/>
            <x v="2"/>
            <x v="3"/>
          </reference>
        </references>
      </pivotArea>
    </format>
    <format dxfId="5553">
      <pivotArea dataOnly="0" labelOnly="1" fieldPosition="0">
        <references count="3">
          <reference field="4" count="1" selected="0">
            <x v="4"/>
          </reference>
          <reference field="6" count="1" selected="0">
            <x v="0"/>
          </reference>
          <reference field="7" count="1">
            <x v="21"/>
          </reference>
        </references>
      </pivotArea>
    </format>
    <format dxfId="5552">
      <pivotArea dataOnly="0" labelOnly="1" fieldPosition="0">
        <references count="3">
          <reference field="4" count="1" selected="0">
            <x v="4"/>
          </reference>
          <reference field="6" count="1" selected="0">
            <x v="1"/>
          </reference>
          <reference field="7" count="1">
            <x v="24"/>
          </reference>
        </references>
      </pivotArea>
    </format>
    <format dxfId="5551">
      <pivotArea dataOnly="0" labelOnly="1" fieldPosition="0">
        <references count="3">
          <reference field="4" count="1" selected="0">
            <x v="4"/>
          </reference>
          <reference field="6" count="1" selected="0">
            <x v="2"/>
          </reference>
          <reference field="7" count="2">
            <x v="29"/>
            <x v="31"/>
          </reference>
        </references>
      </pivotArea>
    </format>
    <format dxfId="5550">
      <pivotArea dataOnly="0" labelOnly="1" fieldPosition="0">
        <references count="3">
          <reference field="4" count="1" selected="0">
            <x v="4"/>
          </reference>
          <reference field="6" count="1" selected="0">
            <x v="3"/>
          </reference>
          <reference field="7" count="2">
            <x v="0"/>
            <x v="1"/>
          </reference>
        </references>
      </pivotArea>
    </format>
    <format dxfId="5549">
      <pivotArea dataOnly="0" labelOnly="1" fieldPosition="0">
        <references count="4">
          <reference field="4" count="1" selected="0">
            <x v="4"/>
          </reference>
          <reference field="6" count="1" selected="0">
            <x v="0"/>
          </reference>
          <reference field="7" count="1" selected="0">
            <x v="21"/>
          </reference>
          <reference field="8" count="5">
            <x v="87"/>
            <x v="88"/>
            <x v="89"/>
            <x v="90"/>
            <x v="91"/>
          </reference>
        </references>
      </pivotArea>
    </format>
    <format dxfId="5548">
      <pivotArea dataOnly="0" labelOnly="1" fieldPosition="0">
        <references count="4">
          <reference field="4" count="1" selected="0">
            <x v="4"/>
          </reference>
          <reference field="6" count="1" selected="0">
            <x v="1"/>
          </reference>
          <reference field="7" count="1" selected="0">
            <x v="24"/>
          </reference>
          <reference field="8" count="1">
            <x v="114"/>
          </reference>
        </references>
      </pivotArea>
    </format>
    <format dxfId="5547">
      <pivotArea dataOnly="0" labelOnly="1" fieldPosition="0">
        <references count="4">
          <reference field="4" count="1" selected="0">
            <x v="4"/>
          </reference>
          <reference field="6" count="1" selected="0">
            <x v="2"/>
          </reference>
          <reference field="7" count="1" selected="0">
            <x v="29"/>
          </reference>
          <reference field="8" count="3">
            <x v="142"/>
            <x v="143"/>
            <x v="151"/>
          </reference>
        </references>
      </pivotArea>
    </format>
    <format dxfId="5546">
      <pivotArea dataOnly="0" labelOnly="1" fieldPosition="0">
        <references count="4">
          <reference field="4" count="1" selected="0">
            <x v="4"/>
          </reference>
          <reference field="6" count="1" selected="0">
            <x v="2"/>
          </reference>
          <reference field="7" count="1" selected="0">
            <x v="31"/>
          </reference>
          <reference field="8" count="3">
            <x v="155"/>
            <x v="156"/>
            <x v="157"/>
          </reference>
        </references>
      </pivotArea>
    </format>
    <format dxfId="5545">
      <pivotArea dataOnly="0" labelOnly="1" fieldPosition="0">
        <references count="4">
          <reference field="4" count="1" selected="0">
            <x v="4"/>
          </reference>
          <reference field="6" count="1" selected="0">
            <x v="3"/>
          </reference>
          <reference field="7" count="1" selected="0">
            <x v="0"/>
          </reference>
          <reference field="8" count="2">
            <x v="0"/>
            <x v="1"/>
          </reference>
        </references>
      </pivotArea>
    </format>
    <format dxfId="5544">
      <pivotArea dataOnly="0" labelOnly="1" fieldPosition="0">
        <references count="4">
          <reference field="4" count="1" selected="0">
            <x v="4"/>
          </reference>
          <reference field="6" count="1" selected="0">
            <x v="3"/>
          </reference>
          <reference field="7" count="1" selected="0">
            <x v="1"/>
          </reference>
          <reference field="8" count="4">
            <x v="2"/>
            <x v="3"/>
            <x v="4"/>
            <x v="5"/>
          </reference>
        </references>
      </pivotArea>
    </format>
    <format dxfId="5543">
      <pivotArea dataOnly="0" labelOnly="1" fieldPosition="0">
        <references count="5">
          <reference field="4" count="1" selected="0">
            <x v="4"/>
          </reference>
          <reference field="6" count="1" selected="0">
            <x v="0"/>
          </reference>
          <reference field="7" count="1" selected="0">
            <x v="21"/>
          </reference>
          <reference field="8" count="1" selected="0">
            <x v="87"/>
          </reference>
          <reference field="15" count="8">
            <x v="126"/>
            <x v="293"/>
            <x v="305"/>
            <x v="306"/>
            <x v="317"/>
            <x v="388"/>
            <x v="389"/>
            <x v="390"/>
          </reference>
        </references>
      </pivotArea>
    </format>
    <format dxfId="5542">
      <pivotArea dataOnly="0" labelOnly="1" fieldPosition="0">
        <references count="5">
          <reference field="4" count="1" selected="0">
            <x v="4"/>
          </reference>
          <reference field="6" count="1" selected="0">
            <x v="0"/>
          </reference>
          <reference field="7" count="1" selected="0">
            <x v="21"/>
          </reference>
          <reference field="8" count="1" selected="0">
            <x v="88"/>
          </reference>
          <reference field="15" count="3">
            <x v="291"/>
            <x v="292"/>
            <x v="301"/>
          </reference>
        </references>
      </pivotArea>
    </format>
    <format dxfId="5541">
      <pivotArea dataOnly="0" labelOnly="1" fieldPosition="0">
        <references count="5">
          <reference field="4" count="1" selected="0">
            <x v="4"/>
          </reference>
          <reference field="6" count="1" selected="0">
            <x v="0"/>
          </reference>
          <reference field="7" count="1" selected="0">
            <x v="21"/>
          </reference>
          <reference field="8" count="1" selected="0">
            <x v="89"/>
          </reference>
          <reference field="15" count="1">
            <x v="310"/>
          </reference>
        </references>
      </pivotArea>
    </format>
    <format dxfId="5540">
      <pivotArea dataOnly="0" labelOnly="1" fieldPosition="0">
        <references count="5">
          <reference field="4" count="1" selected="0">
            <x v="4"/>
          </reference>
          <reference field="6" count="1" selected="0">
            <x v="0"/>
          </reference>
          <reference field="7" count="1" selected="0">
            <x v="21"/>
          </reference>
          <reference field="8" count="1" selected="0">
            <x v="90"/>
          </reference>
          <reference field="15" count="1">
            <x v="385"/>
          </reference>
        </references>
      </pivotArea>
    </format>
    <format dxfId="5539">
      <pivotArea dataOnly="0" labelOnly="1" fieldPosition="0">
        <references count="5">
          <reference field="4" count="1" selected="0">
            <x v="4"/>
          </reference>
          <reference field="6" count="1" selected="0">
            <x v="0"/>
          </reference>
          <reference field="7" count="1" selected="0">
            <x v="21"/>
          </reference>
          <reference field="8" count="1" selected="0">
            <x v="91"/>
          </reference>
          <reference field="15" count="2">
            <x v="264"/>
            <x v="265"/>
          </reference>
        </references>
      </pivotArea>
    </format>
    <format dxfId="5538">
      <pivotArea dataOnly="0" labelOnly="1" fieldPosition="0">
        <references count="5">
          <reference field="4" count="1" selected="0">
            <x v="4"/>
          </reference>
          <reference field="6" count="1" selected="0">
            <x v="1"/>
          </reference>
          <reference field="7" count="1" selected="0">
            <x v="24"/>
          </reference>
          <reference field="8" count="1" selected="0">
            <x v="114"/>
          </reference>
          <reference field="15" count="1">
            <x v="263"/>
          </reference>
        </references>
      </pivotArea>
    </format>
    <format dxfId="5537">
      <pivotArea dataOnly="0" labelOnly="1" fieldPosition="0">
        <references count="5">
          <reference field="4" count="1" selected="0">
            <x v="4"/>
          </reference>
          <reference field="6" count="1" selected="0">
            <x v="2"/>
          </reference>
          <reference field="7" count="1" selected="0">
            <x v="29"/>
          </reference>
          <reference field="8" count="1" selected="0">
            <x v="142"/>
          </reference>
          <reference field="15" count="1">
            <x v="283"/>
          </reference>
        </references>
      </pivotArea>
    </format>
    <format dxfId="5536">
      <pivotArea dataOnly="0" labelOnly="1" fieldPosition="0">
        <references count="5">
          <reference field="4" count="1" selected="0">
            <x v="4"/>
          </reference>
          <reference field="6" count="1" selected="0">
            <x v="2"/>
          </reference>
          <reference field="7" count="1" selected="0">
            <x v="29"/>
          </reference>
          <reference field="8" count="1" selected="0">
            <x v="143"/>
          </reference>
          <reference field="15" count="2">
            <x v="289"/>
            <x v="314"/>
          </reference>
        </references>
      </pivotArea>
    </format>
    <format dxfId="5535">
      <pivotArea dataOnly="0" labelOnly="1" fieldPosition="0">
        <references count="5">
          <reference field="4" count="1" selected="0">
            <x v="4"/>
          </reference>
          <reference field="6" count="1" selected="0">
            <x v="2"/>
          </reference>
          <reference field="7" count="1" selected="0">
            <x v="29"/>
          </reference>
          <reference field="8" count="1" selected="0">
            <x v="151"/>
          </reference>
          <reference field="15" count="1">
            <x v="387"/>
          </reference>
        </references>
      </pivotArea>
    </format>
    <format dxfId="5534">
      <pivotArea dataOnly="0" labelOnly="1" fieldPosition="0">
        <references count="5">
          <reference field="4" count="1" selected="0">
            <x v="4"/>
          </reference>
          <reference field="6" count="1" selected="0">
            <x v="2"/>
          </reference>
          <reference field="7" count="1" selected="0">
            <x v="31"/>
          </reference>
          <reference field="8" count="1" selected="0">
            <x v="155"/>
          </reference>
          <reference field="15" count="4">
            <x v="235"/>
            <x v="303"/>
            <x v="374"/>
            <x v="386"/>
          </reference>
        </references>
      </pivotArea>
    </format>
    <format dxfId="5533">
      <pivotArea dataOnly="0" labelOnly="1" fieldPosition="0">
        <references count="5">
          <reference field="4" count="1" selected="0">
            <x v="4"/>
          </reference>
          <reference field="6" count="1" selected="0">
            <x v="2"/>
          </reference>
          <reference field="7" count="1" selected="0">
            <x v="31"/>
          </reference>
          <reference field="8" count="1" selected="0">
            <x v="156"/>
          </reference>
          <reference field="15" count="1">
            <x v="304"/>
          </reference>
        </references>
      </pivotArea>
    </format>
    <format dxfId="5532">
      <pivotArea dataOnly="0" labelOnly="1" fieldPosition="0">
        <references count="5">
          <reference field="4" count="1" selected="0">
            <x v="4"/>
          </reference>
          <reference field="6" count="1" selected="0">
            <x v="2"/>
          </reference>
          <reference field="7" count="1" selected="0">
            <x v="31"/>
          </reference>
          <reference field="8" count="1" selected="0">
            <x v="157"/>
          </reference>
          <reference field="15" count="1">
            <x v="302"/>
          </reference>
        </references>
      </pivotArea>
    </format>
    <format dxfId="5531">
      <pivotArea dataOnly="0" labelOnly="1" fieldPosition="0">
        <references count="5">
          <reference field="4" count="1" selected="0">
            <x v="4"/>
          </reference>
          <reference field="6" count="1" selected="0">
            <x v="3"/>
          </reference>
          <reference field="7" count="1" selected="0">
            <x v="0"/>
          </reference>
          <reference field="8" count="1" selected="0">
            <x v="0"/>
          </reference>
          <reference field="15" count="2">
            <x v="125"/>
            <x v="269"/>
          </reference>
        </references>
      </pivotArea>
    </format>
    <format dxfId="5530">
      <pivotArea dataOnly="0" labelOnly="1" fieldPosition="0">
        <references count="5">
          <reference field="4" count="1" selected="0">
            <x v="4"/>
          </reference>
          <reference field="6" count="1" selected="0">
            <x v="3"/>
          </reference>
          <reference field="7" count="1" selected="0">
            <x v="0"/>
          </reference>
          <reference field="8" count="1" selected="0">
            <x v="1"/>
          </reference>
          <reference field="15" count="1">
            <x v="382"/>
          </reference>
        </references>
      </pivotArea>
    </format>
    <format dxfId="5529">
      <pivotArea dataOnly="0" labelOnly="1" fieldPosition="0">
        <references count="5">
          <reference field="4" count="1" selected="0">
            <x v="4"/>
          </reference>
          <reference field="6" count="1" selected="0">
            <x v="3"/>
          </reference>
          <reference field="7" count="1" selected="0">
            <x v="1"/>
          </reference>
          <reference field="8" count="1" selected="0">
            <x v="2"/>
          </reference>
          <reference field="15" count="1">
            <x v="282"/>
          </reference>
        </references>
      </pivotArea>
    </format>
    <format dxfId="5528">
      <pivotArea dataOnly="0" labelOnly="1" fieldPosition="0">
        <references count="5">
          <reference field="4" count="1" selected="0">
            <x v="4"/>
          </reference>
          <reference field="6" count="1" selected="0">
            <x v="3"/>
          </reference>
          <reference field="7" count="1" selected="0">
            <x v="1"/>
          </reference>
          <reference field="8" count="1" selected="0">
            <x v="3"/>
          </reference>
          <reference field="15" count="1">
            <x v="384"/>
          </reference>
        </references>
      </pivotArea>
    </format>
    <format dxfId="5527">
      <pivotArea dataOnly="0" labelOnly="1" fieldPosition="0">
        <references count="5">
          <reference field="4" count="1" selected="0">
            <x v="4"/>
          </reference>
          <reference field="6" count="1" selected="0">
            <x v="3"/>
          </reference>
          <reference field="7" count="1" selected="0">
            <x v="1"/>
          </reference>
          <reference field="8" count="1" selected="0">
            <x v="4"/>
          </reference>
          <reference field="15" count="1">
            <x v="298"/>
          </reference>
        </references>
      </pivotArea>
    </format>
    <format dxfId="5526">
      <pivotArea dataOnly="0" labelOnly="1" fieldPosition="0">
        <references count="5">
          <reference field="4" count="1" selected="0">
            <x v="4"/>
          </reference>
          <reference field="6" count="1" selected="0">
            <x v="3"/>
          </reference>
          <reference field="7" count="1" selected="0">
            <x v="1"/>
          </reference>
          <reference field="8" count="1" selected="0">
            <x v="5"/>
          </reference>
          <reference field="15" count="2">
            <x v="381"/>
            <x v="38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6" cacheId="2" applyNumberFormats="0" applyBorderFormats="0" applyFontFormats="0" applyPatternFormats="0" applyAlignmentFormats="0" applyWidthHeightFormats="1" dataCaption="Valores" grandTotalCaption="TOTAL " updatedVersion="8" minRefreshableVersion="3" useAutoFormatting="1" itemPrintTitles="1" createdVersion="8" indent="0" outline="1" outlineData="1" multipleFieldFilters="0" rowHeaderCaption="UNIDAD EJECUTORA">
  <location ref="A3:J23" firstHeaderRow="0" firstDataRow="1" firstDataCol="1" rowPageCount="1" colPageCount="1"/>
  <pivotFields count="33">
    <pivotField showAll="0"/>
    <pivotField showAll="0"/>
    <pivotField axis="axisPage" showAll="0">
      <items count="22">
        <item x="4"/>
        <item x="3"/>
        <item x="14"/>
        <item x="0"/>
        <item x="13"/>
        <item x="17"/>
        <item x="7"/>
        <item x="9"/>
        <item x="15"/>
        <item x="8"/>
        <item x="1"/>
        <item x="16"/>
        <item x="12"/>
        <item x="20"/>
        <item x="5"/>
        <item x="10"/>
        <item x="6"/>
        <item x="11"/>
        <item x="19"/>
        <item x="2"/>
        <item x="18"/>
        <item t="default"/>
      </items>
    </pivotField>
    <pivotField showAll="0"/>
    <pivotField axis="axisRow" showAll="0">
      <items count="22">
        <item x="4"/>
        <item x="3"/>
        <item x="14"/>
        <item x="0"/>
        <item x="13"/>
        <item x="17"/>
        <item x="7"/>
        <item x="9"/>
        <item x="15"/>
        <item x="8"/>
        <item x="1"/>
        <item x="16"/>
        <item x="12"/>
        <item x="20"/>
        <item x="5"/>
        <item x="10"/>
        <item x="6"/>
        <item x="11"/>
        <item x="19"/>
        <item x="2"/>
        <item x="18"/>
        <item t="default"/>
      </items>
    </pivotField>
    <pivotField numFmtId="1" showAll="0"/>
    <pivotField axis="axisRow" showAll="0">
      <items count="6">
        <item x="1"/>
        <item x="2"/>
        <item x="3"/>
        <item x="0"/>
        <item x="4"/>
        <item t="default"/>
      </items>
    </pivotField>
    <pivotField axis="axisRow" showAll="0">
      <items count="34">
        <item x="19"/>
        <item x="27"/>
        <item x="1"/>
        <item x="2"/>
        <item x="8"/>
        <item x="30"/>
        <item x="0"/>
        <item x="32"/>
        <item x="25"/>
        <item x="29"/>
        <item x="12"/>
        <item x="15"/>
        <item x="13"/>
        <item x="28"/>
        <item x="23"/>
        <item x="31"/>
        <item x="16"/>
        <item x="10"/>
        <item x="18"/>
        <item x="3"/>
        <item x="14"/>
        <item x="20"/>
        <item x="17"/>
        <item x="9"/>
        <item x="6"/>
        <item x="7"/>
        <item x="4"/>
        <item x="5"/>
        <item x="24"/>
        <item x="11"/>
        <item x="21"/>
        <item x="26"/>
        <item x="22"/>
        <item t="default"/>
      </items>
    </pivotField>
    <pivotField axis="axisRow" showAll="0">
      <items count="161">
        <item x="62"/>
        <item x="155"/>
        <item x="112"/>
        <item x="156"/>
        <item x="118"/>
        <item x="154"/>
        <item x="140"/>
        <item x="60"/>
        <item x="153"/>
        <item x="102"/>
        <item x="7"/>
        <item x="2"/>
        <item x="52"/>
        <item x="1"/>
        <item x="22"/>
        <item x="151"/>
        <item x="105"/>
        <item x="114"/>
        <item x="82"/>
        <item x="3"/>
        <item x="15"/>
        <item x="49"/>
        <item x="135"/>
        <item x="134"/>
        <item x="139"/>
        <item x="142"/>
        <item x="138"/>
        <item x="141"/>
        <item x="128"/>
        <item x="0"/>
        <item x="103"/>
        <item x="159"/>
        <item x="150"/>
        <item x="86"/>
        <item x="152"/>
        <item x="137"/>
        <item x="110"/>
        <item x="79"/>
        <item x="80"/>
        <item x="83"/>
        <item x="126"/>
        <item x="131"/>
        <item x="132"/>
        <item x="129"/>
        <item x="28"/>
        <item x="27"/>
        <item x="29"/>
        <item x="26"/>
        <item x="43"/>
        <item x="42"/>
        <item x="32"/>
        <item x="122"/>
        <item x="124"/>
        <item x="123"/>
        <item x="111"/>
        <item x="69"/>
        <item x="136"/>
        <item x="55"/>
        <item x="119"/>
        <item x="46"/>
        <item x="50"/>
        <item x="117"/>
        <item x="45"/>
        <item x="127"/>
        <item x="106"/>
        <item x="53"/>
        <item x="147"/>
        <item x="146"/>
        <item x="38"/>
        <item x="20"/>
        <item x="144"/>
        <item x="145"/>
        <item x="74"/>
        <item x="89"/>
        <item x="57"/>
        <item x="59"/>
        <item x="88"/>
        <item x="108"/>
        <item x="85"/>
        <item x="5"/>
        <item x="4"/>
        <item x="81"/>
        <item x="35"/>
        <item x="36"/>
        <item x="37"/>
        <item x="98"/>
        <item x="67"/>
        <item x="63"/>
        <item x="116"/>
        <item x="125"/>
        <item x="157"/>
        <item x="101"/>
        <item x="66"/>
        <item x="149"/>
        <item x="51"/>
        <item x="90"/>
        <item x="91"/>
        <item x="97"/>
        <item x="21"/>
        <item x="94"/>
        <item x="93"/>
        <item x="95"/>
        <item x="18"/>
        <item x="92"/>
        <item x="96"/>
        <item x="11"/>
        <item x="87"/>
        <item x="61"/>
        <item x="48"/>
        <item x="47"/>
        <item x="58"/>
        <item x="130"/>
        <item x="39"/>
        <item x="33"/>
        <item x="100"/>
        <item x="16"/>
        <item x="30"/>
        <item x="44"/>
        <item x="34"/>
        <item x="31"/>
        <item x="41"/>
        <item x="19"/>
        <item x="17"/>
        <item x="14"/>
        <item x="99"/>
        <item x="12"/>
        <item x="8"/>
        <item x="78"/>
        <item x="13"/>
        <item x="133"/>
        <item x="148"/>
        <item x="6"/>
        <item x="9"/>
        <item x="10"/>
        <item x="77"/>
        <item x="54"/>
        <item x="40"/>
        <item x="56"/>
        <item x="104"/>
        <item x="76"/>
        <item x="25"/>
        <item x="109"/>
        <item x="113"/>
        <item x="115"/>
        <item x="24"/>
        <item x="23"/>
        <item x="70"/>
        <item x="64"/>
        <item x="73"/>
        <item x="71"/>
        <item x="75"/>
        <item x="158"/>
        <item x="65"/>
        <item x="72"/>
        <item x="107"/>
        <item x="84"/>
        <item x="121"/>
        <item x="120"/>
        <item x="143"/>
        <item x="68"/>
        <item t="default"/>
      </items>
    </pivotField>
    <pivotField showAll="0"/>
    <pivotField showAll="0"/>
    <pivotField showAll="0"/>
    <pivotField showAll="0"/>
    <pivotField showAll="0"/>
    <pivotField showAll="0"/>
    <pivotField axis="axisRow" showAll="0">
      <items count="402">
        <item x="1"/>
        <item x="0"/>
        <item x="3"/>
        <item x="2"/>
        <item x="4"/>
        <item x="5"/>
        <item x="6"/>
        <item x="8"/>
        <item x="7"/>
        <item x="9"/>
        <item x="11"/>
        <item x="10"/>
        <item x="12"/>
        <item x="13"/>
        <item x="16"/>
        <item x="15"/>
        <item x="14"/>
        <item x="18"/>
        <item x="17"/>
        <item x="19"/>
        <item x="20"/>
        <item x="21"/>
        <item x="22"/>
        <item x="23"/>
        <item x="25"/>
        <item x="24"/>
        <item x="27"/>
        <item x="26"/>
        <item x="28"/>
        <item x="29"/>
        <item x="30"/>
        <item x="31"/>
        <item x="32"/>
        <item x="33"/>
        <item x="34"/>
        <item x="35"/>
        <item x="36"/>
        <item x="37"/>
        <item x="38"/>
        <item x="39"/>
        <item x="40"/>
        <item x="41"/>
        <item x="42"/>
        <item x="43"/>
        <item x="44"/>
        <item x="45"/>
        <item x="46"/>
        <item x="47"/>
        <item x="48"/>
        <item x="49"/>
        <item x="50"/>
        <item x="51"/>
        <item x="52"/>
        <item x="53"/>
        <item x="54"/>
        <item x="55"/>
        <item x="56"/>
        <item x="58"/>
        <item x="57"/>
        <item x="59"/>
        <item x="60"/>
        <item x="61"/>
        <item x="62"/>
        <item x="63"/>
        <item x="65"/>
        <item x="64"/>
        <item x="66"/>
        <item x="67"/>
        <item x="68"/>
        <item x="69"/>
        <item x="70"/>
        <item x="71"/>
        <item x="72"/>
        <item x="74"/>
        <item x="73"/>
        <item x="75"/>
        <item x="76"/>
        <item x="77"/>
        <item x="78"/>
        <item x="79"/>
        <item x="80"/>
        <item x="81"/>
        <item x="82"/>
        <item x="83"/>
        <item x="84"/>
        <item x="85"/>
        <item x="86"/>
        <item x="87"/>
        <item x="88"/>
        <item x="89"/>
        <item x="90"/>
        <item x="91"/>
        <item x="92"/>
        <item x="93"/>
        <item x="95"/>
        <item x="94"/>
        <item x="96"/>
        <item x="97"/>
        <item x="98"/>
        <item x="99"/>
        <item x="101"/>
        <item x="100"/>
        <item x="103"/>
        <item x="102"/>
        <item x="104"/>
        <item x="105"/>
        <item x="106"/>
        <item x="107"/>
        <item x="108"/>
        <item x="109"/>
        <item x="110"/>
        <item x="111"/>
        <item x="112"/>
        <item x="114"/>
        <item x="113"/>
        <item x="115"/>
        <item x="116"/>
        <item x="117"/>
        <item x="118"/>
        <item x="119"/>
        <item x="122"/>
        <item x="120"/>
        <item x="121"/>
        <item x="123"/>
        <item x="124"/>
        <item x="125"/>
        <item x="126"/>
        <item x="127"/>
        <item x="129"/>
        <item x="128"/>
        <item x="130"/>
        <item x="131"/>
        <item x="132"/>
        <item x="133"/>
        <item x="134"/>
        <item x="135"/>
        <item x="136"/>
        <item x="137"/>
        <item x="138"/>
        <item x="139"/>
        <item x="140"/>
        <item x="141"/>
        <item x="142"/>
        <item x="143"/>
        <item x="144"/>
        <item x="145"/>
        <item x="146"/>
        <item x="147"/>
        <item x="148"/>
        <item x="149"/>
        <item x="151"/>
        <item x="150"/>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3"/>
        <item x="192"/>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4"/>
        <item x="233"/>
        <item x="235"/>
        <item x="236"/>
        <item x="237"/>
        <item x="238"/>
        <item x="239"/>
        <item x="240"/>
        <item x="241"/>
        <item x="242"/>
        <item x="243"/>
        <item x="244"/>
        <item x="246"/>
        <item x="245"/>
        <item x="247"/>
        <item x="248"/>
        <item x="249"/>
        <item x="250"/>
        <item x="251"/>
        <item x="252"/>
        <item x="253"/>
        <item x="254"/>
        <item x="255"/>
        <item x="256"/>
        <item x="257"/>
        <item x="258"/>
        <item x="259"/>
        <item x="260"/>
        <item x="261"/>
        <item x="262"/>
        <item x="263"/>
        <item x="264"/>
        <item x="265"/>
        <item x="266"/>
        <item x="268"/>
        <item x="267"/>
        <item x="269"/>
        <item x="270"/>
        <item x="271"/>
        <item x="272"/>
        <item x="273"/>
        <item x="274"/>
        <item x="275"/>
        <item x="277"/>
        <item x="276"/>
        <item x="278"/>
        <item x="279"/>
        <item x="280"/>
        <item x="281"/>
        <item x="282"/>
        <item x="283"/>
        <item x="285"/>
        <item x="284"/>
        <item x="288"/>
        <item x="286"/>
        <item x="287"/>
        <item x="289"/>
        <item x="290"/>
        <item x="291"/>
        <item x="292"/>
        <item x="293"/>
        <item x="294"/>
        <item x="295"/>
        <item x="297"/>
        <item x="296"/>
        <item x="298"/>
        <item x="299"/>
        <item x="300"/>
        <item x="301"/>
        <item x="302"/>
        <item x="303"/>
        <item x="304"/>
        <item x="305"/>
        <item x="306"/>
        <item x="307"/>
        <item x="308"/>
        <item x="309"/>
        <item x="310"/>
        <item x="311"/>
        <item x="312"/>
        <item x="313"/>
        <item x="314"/>
        <item x="316"/>
        <item x="315"/>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7"/>
        <item x="346"/>
        <item x="348"/>
        <item x="349"/>
        <item x="350"/>
        <item x="351"/>
        <item x="352"/>
        <item x="353"/>
        <item x="354"/>
        <item x="355"/>
        <item x="357"/>
        <item x="356"/>
        <item x="358"/>
        <item x="360"/>
        <item x="359"/>
        <item x="361"/>
        <item x="362"/>
        <item x="363"/>
        <item x="364"/>
        <item x="365"/>
        <item x="366"/>
        <item x="368"/>
        <item x="367"/>
        <item x="369"/>
        <item x="370"/>
        <item x="371"/>
        <item x="372"/>
        <item x="373"/>
        <item x="374"/>
        <item x="376"/>
        <item x="375"/>
        <item x="377"/>
        <item x="378"/>
        <item x="379"/>
        <item x="380"/>
        <item x="381"/>
        <item x="382"/>
        <item x="383"/>
        <item x="384"/>
        <item x="385"/>
        <item x="386"/>
        <item x="387"/>
        <item x="389"/>
        <item x="388"/>
        <item x="390"/>
        <item x="391"/>
        <item x="392"/>
        <item x="393"/>
        <item x="394"/>
        <item x="395"/>
        <item x="396"/>
        <item x="397"/>
        <item x="398"/>
        <item x="399"/>
        <item x="400"/>
        <item t="default"/>
      </items>
    </pivotField>
    <pivotField showAll="0"/>
    <pivotField showAll="0"/>
    <pivotField dataField="1" numFmtId="43" showAll="0"/>
    <pivotField numFmtId="43" showAll="0"/>
    <pivotField dataField="1" numFmtId="43" showAll="0"/>
    <pivotField numFmtId="43" showAll="0"/>
    <pivotField numFmtId="43" showAll="0"/>
    <pivotField dataField="1" numFmtId="43" showAll="0"/>
    <pivotField numFmtId="43" showAll="0"/>
    <pivotField dataField="1" numFmtId="43" showAll="0"/>
    <pivotField numFmtId="43" showAll="0"/>
    <pivotField numFmtId="43" showAll="0"/>
    <pivotField dataField="1" numFmtId="43" showAl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5">
    <field x="4"/>
    <field x="6"/>
    <field x="7"/>
    <field x="8"/>
    <field x="15"/>
  </rowFields>
  <rowItems count="20">
    <i>
      <x v="5"/>
    </i>
    <i r="1">
      <x/>
    </i>
    <i r="2">
      <x v="18"/>
    </i>
    <i r="3">
      <x v="73"/>
    </i>
    <i r="4">
      <x v="245"/>
    </i>
    <i r="4">
      <x v="246"/>
    </i>
    <i r="4">
      <x v="313"/>
    </i>
    <i r="3">
      <x v="74"/>
    </i>
    <i r="4">
      <x v="230"/>
    </i>
    <i r="3">
      <x v="77"/>
    </i>
    <i r="4">
      <x v="276"/>
    </i>
    <i r="4">
      <x v="277"/>
    </i>
    <i r="2">
      <x v="22"/>
    </i>
    <i r="3">
      <x v="94"/>
    </i>
    <i r="4">
      <x v="164"/>
    </i>
    <i r="1">
      <x v="4"/>
    </i>
    <i r="2">
      <x v="8"/>
    </i>
    <i r="3">
      <x v="37"/>
    </i>
    <i r="4">
      <x v="222"/>
    </i>
    <i t="grand">
      <x/>
    </i>
  </rowItems>
  <colFields count="1">
    <field x="-2"/>
  </colFields>
  <colItems count="9">
    <i>
      <x/>
    </i>
    <i i="1">
      <x v="1"/>
    </i>
    <i i="2">
      <x v="2"/>
    </i>
    <i i="3">
      <x v="3"/>
    </i>
    <i i="4">
      <x v="4"/>
    </i>
    <i i="5">
      <x v="5"/>
    </i>
    <i i="6">
      <x v="6"/>
    </i>
    <i i="7">
      <x v="7"/>
    </i>
    <i i="8">
      <x v="8"/>
    </i>
  </colItems>
  <pageFields count="1">
    <pageField fld="2" item="5" hier="-1"/>
  </pageFields>
  <dataFields count="9">
    <dataField name="PPTO INICIAL" fld="18" baseField="4" baseItem="0"/>
    <dataField name="PPTO VIGENTE" fld="20" baseField="4" baseItem="0"/>
    <dataField name="COMPROMISOS." fld="23" baseField="4" baseItem="0"/>
    <dataField name="GIROS." fld="25" baseField="4" baseItem="0"/>
    <dataField name="PAGOS " fld="28" baseField="4" baseItem="0"/>
    <dataField name=" SALDO APROPIACIÓN CDP" fld="29" baseField="4" baseItem="0" numFmtId="43"/>
    <dataField name="SALDO APROPIACIÓN RP" fld="30" baseField="4" baseItem="0" numFmtId="43"/>
    <dataField name="Suma de % CDP" fld="31" baseField="0" baseItem="0" numFmtId="43"/>
    <dataField name="Suma de % RP" fld="32" baseField="0" baseItem="0" numFmtId="43"/>
  </dataFields>
  <formats count="326">
    <format dxfId="5525">
      <pivotArea dataOnly="0" labelOnly="1" fieldPosition="0">
        <references count="1">
          <reference field="4" count="0"/>
        </references>
      </pivotArea>
    </format>
    <format dxfId="5524">
      <pivotArea dataOnly="0" labelOnly="1" fieldPosition="0">
        <references count="1">
          <reference field="4" count="1">
            <x v="0"/>
          </reference>
        </references>
      </pivotArea>
    </format>
    <format dxfId="5523">
      <pivotArea dataOnly="0" labelOnly="1" fieldPosition="0">
        <references count="1">
          <reference field="6" count="0"/>
        </references>
      </pivotArea>
    </format>
    <format dxfId="5522">
      <pivotArea dataOnly="0" labelOnly="1" fieldPosition="0">
        <references count="1">
          <reference field="7" count="0"/>
        </references>
      </pivotArea>
    </format>
    <format dxfId="5521">
      <pivotArea dataOnly="0" labelOnly="1" fieldPosition="0">
        <references count="1">
          <reference field="7" count="0"/>
        </references>
      </pivotArea>
    </format>
    <format dxfId="5520">
      <pivotArea dataOnly="0" labelOnly="1" fieldPosition="0">
        <references count="1">
          <reference field="8" count="0"/>
        </references>
      </pivotArea>
    </format>
    <format dxfId="5519">
      <pivotArea outline="0" collapsedLevelsAreSubtotals="1" fieldPosition="0"/>
    </format>
    <format dxfId="5518">
      <pivotArea dataOnly="0" labelOnly="1" outline="0" fieldPosition="0">
        <references count="1">
          <reference field="2" count="0"/>
        </references>
      </pivotArea>
    </format>
    <format dxfId="5517">
      <pivotArea dataOnly="0" labelOnly="1" outline="0" fieldPosition="0">
        <references count="1">
          <reference field="4294967294" count="9">
            <x v="0"/>
            <x v="1"/>
            <x v="2"/>
            <x v="3"/>
            <x v="4"/>
            <x v="5"/>
            <x v="6"/>
            <x v="7"/>
            <x v="8"/>
          </reference>
        </references>
      </pivotArea>
    </format>
    <format dxfId="5516">
      <pivotArea field="2" type="button" dataOnly="0" labelOnly="1" outline="0" axis="axisPage" fieldPosition="0"/>
    </format>
    <format dxfId="5515">
      <pivotArea field="4" type="button" dataOnly="0" labelOnly="1" outline="0" axis="axisRow" fieldPosition="0"/>
    </format>
    <format dxfId="5514">
      <pivotArea dataOnly="0" labelOnly="1" fieldPosition="0">
        <references count="1">
          <reference field="4" count="0"/>
        </references>
      </pivotArea>
    </format>
    <format dxfId="5513">
      <pivotArea dataOnly="0" labelOnly="1" grandRow="1" outline="0" fieldPosition="0"/>
    </format>
    <format dxfId="5512">
      <pivotArea dataOnly="0" labelOnly="1" fieldPosition="0">
        <references count="2">
          <reference field="4" count="1" selected="0">
            <x v="0"/>
          </reference>
          <reference field="6" count="2">
            <x v="0"/>
            <x v="1"/>
          </reference>
        </references>
      </pivotArea>
    </format>
    <format dxfId="5511">
      <pivotArea dataOnly="0" labelOnly="1" fieldPosition="0">
        <references count="2">
          <reference field="4" count="1" selected="0">
            <x v="1"/>
          </reference>
          <reference field="6" count="3">
            <x v="0"/>
            <x v="3"/>
            <x v="4"/>
          </reference>
        </references>
      </pivotArea>
    </format>
    <format dxfId="5510">
      <pivotArea dataOnly="0" labelOnly="1" fieldPosition="0">
        <references count="2">
          <reference field="4" count="1" selected="0">
            <x v="2"/>
          </reference>
          <reference field="6" count="3">
            <x v="2"/>
            <x v="3"/>
            <x v="4"/>
          </reference>
        </references>
      </pivotArea>
    </format>
    <format dxfId="5509">
      <pivotArea dataOnly="0" labelOnly="1" fieldPosition="0">
        <references count="2">
          <reference field="4" count="1" selected="0">
            <x v="3"/>
          </reference>
          <reference field="6" count="1">
            <x v="3"/>
          </reference>
        </references>
      </pivotArea>
    </format>
    <format dxfId="5508">
      <pivotArea dataOnly="0" labelOnly="1" fieldPosition="0">
        <references count="2">
          <reference field="4" count="1" selected="0">
            <x v="4"/>
          </reference>
          <reference field="6" count="4">
            <x v="0"/>
            <x v="1"/>
            <x v="2"/>
            <x v="3"/>
          </reference>
        </references>
      </pivotArea>
    </format>
    <format dxfId="5507">
      <pivotArea dataOnly="0" labelOnly="1" fieldPosition="0">
        <references count="2">
          <reference field="4" count="1" selected="0">
            <x v="5"/>
          </reference>
          <reference field="6" count="2">
            <x v="0"/>
            <x v="4"/>
          </reference>
        </references>
      </pivotArea>
    </format>
    <format dxfId="5506">
      <pivotArea dataOnly="0" labelOnly="1" fieldPosition="0">
        <references count="2">
          <reference field="4" count="1" selected="0">
            <x v="6"/>
          </reference>
          <reference field="6" count="1">
            <x v="1"/>
          </reference>
        </references>
      </pivotArea>
    </format>
    <format dxfId="5505">
      <pivotArea dataOnly="0" labelOnly="1" fieldPosition="0">
        <references count="2">
          <reference field="4" count="1" selected="0">
            <x v="7"/>
          </reference>
          <reference field="6" count="4">
            <x v="0"/>
            <x v="2"/>
            <x v="3"/>
            <x v="4"/>
          </reference>
        </references>
      </pivotArea>
    </format>
    <format dxfId="5504">
      <pivotArea dataOnly="0" labelOnly="1" fieldPosition="0">
        <references count="2">
          <reference field="4" count="1" selected="0">
            <x v="8"/>
          </reference>
          <reference field="6" count="4">
            <x v="0"/>
            <x v="1"/>
            <x v="2"/>
            <x v="3"/>
          </reference>
        </references>
      </pivotArea>
    </format>
    <format dxfId="5503">
      <pivotArea dataOnly="0" labelOnly="1" fieldPosition="0">
        <references count="2">
          <reference field="4" count="1" selected="0">
            <x v="9"/>
          </reference>
          <reference field="6" count="1">
            <x v="1"/>
          </reference>
        </references>
      </pivotArea>
    </format>
    <format dxfId="5502">
      <pivotArea dataOnly="0" labelOnly="1" fieldPosition="0">
        <references count="2">
          <reference field="4" count="1" selected="0">
            <x v="10"/>
          </reference>
          <reference field="6" count="1">
            <x v="3"/>
          </reference>
        </references>
      </pivotArea>
    </format>
    <format dxfId="5501">
      <pivotArea dataOnly="0" labelOnly="1" fieldPosition="0">
        <references count="2">
          <reference field="4" count="1" selected="0">
            <x v="11"/>
          </reference>
          <reference field="6" count="1">
            <x v="0"/>
          </reference>
        </references>
      </pivotArea>
    </format>
    <format dxfId="5500">
      <pivotArea dataOnly="0" labelOnly="1" fieldPosition="0">
        <references count="2">
          <reference field="4" count="1" selected="0">
            <x v="12"/>
          </reference>
          <reference field="6" count="1">
            <x v="0"/>
          </reference>
        </references>
      </pivotArea>
    </format>
    <format dxfId="5499">
      <pivotArea dataOnly="0" labelOnly="1" fieldPosition="0">
        <references count="2">
          <reference field="4" count="1" selected="0">
            <x v="13"/>
          </reference>
          <reference field="6" count="1">
            <x v="3"/>
          </reference>
        </references>
      </pivotArea>
    </format>
    <format dxfId="5498">
      <pivotArea dataOnly="0" labelOnly="1" fieldPosition="0">
        <references count="2">
          <reference field="4" count="1" selected="0">
            <x v="14"/>
          </reference>
          <reference field="6" count="1">
            <x v="1"/>
          </reference>
        </references>
      </pivotArea>
    </format>
    <format dxfId="5497">
      <pivotArea dataOnly="0" labelOnly="1" fieldPosition="0">
        <references count="2">
          <reference field="4" count="1" selected="0">
            <x v="15"/>
          </reference>
          <reference field="6" count="1">
            <x v="0"/>
          </reference>
        </references>
      </pivotArea>
    </format>
    <format dxfId="5496">
      <pivotArea dataOnly="0" labelOnly="1" fieldPosition="0">
        <references count="2">
          <reference field="4" count="1" selected="0">
            <x v="16"/>
          </reference>
          <reference field="6" count="3">
            <x v="1"/>
            <x v="3"/>
            <x v="4"/>
          </reference>
        </references>
      </pivotArea>
    </format>
    <format dxfId="5495">
      <pivotArea dataOnly="0" labelOnly="1" fieldPosition="0">
        <references count="2">
          <reference field="4" count="1" selected="0">
            <x v="17"/>
          </reference>
          <reference field="6" count="1">
            <x v="0"/>
          </reference>
        </references>
      </pivotArea>
    </format>
    <format dxfId="5494">
      <pivotArea dataOnly="0" labelOnly="1" fieldPosition="0">
        <references count="2">
          <reference field="4" count="1" selected="0">
            <x v="18"/>
          </reference>
          <reference field="6" count="1">
            <x v="3"/>
          </reference>
        </references>
      </pivotArea>
    </format>
    <format dxfId="5493">
      <pivotArea dataOnly="0" labelOnly="1" fieldPosition="0">
        <references count="2">
          <reference field="4" count="1" selected="0">
            <x v="19"/>
          </reference>
          <reference field="6" count="1">
            <x v="3"/>
          </reference>
        </references>
      </pivotArea>
    </format>
    <format dxfId="5492">
      <pivotArea dataOnly="0" labelOnly="1" fieldPosition="0">
        <references count="2">
          <reference field="4" count="1" selected="0">
            <x v="20"/>
          </reference>
          <reference field="6" count="1">
            <x v="1"/>
          </reference>
        </references>
      </pivotArea>
    </format>
    <format dxfId="5491">
      <pivotArea dataOnly="0" labelOnly="1" fieldPosition="0">
        <references count="3">
          <reference field="4" count="1" selected="0">
            <x v="0"/>
          </reference>
          <reference field="6" count="1" selected="0">
            <x v="0"/>
          </reference>
          <reference field="7" count="2">
            <x v="17"/>
            <x v="19"/>
          </reference>
        </references>
      </pivotArea>
    </format>
    <format dxfId="5490">
      <pivotArea dataOnly="0" labelOnly="1" fieldPosition="0">
        <references count="3">
          <reference field="4" count="1" selected="0">
            <x v="0"/>
          </reference>
          <reference field="6" count="1" selected="0">
            <x v="1"/>
          </reference>
          <reference field="7" count="2">
            <x v="23"/>
            <x v="26"/>
          </reference>
        </references>
      </pivotArea>
    </format>
    <format dxfId="5489">
      <pivotArea dataOnly="0" labelOnly="1" fieldPosition="0">
        <references count="3">
          <reference field="4" count="1" selected="0">
            <x v="1"/>
          </reference>
          <reference field="6" count="1" selected="0">
            <x v="0"/>
          </reference>
          <reference field="7" count="1">
            <x v="19"/>
          </reference>
        </references>
      </pivotArea>
    </format>
    <format dxfId="5488">
      <pivotArea dataOnly="0" labelOnly="1" fieldPosition="0">
        <references count="3">
          <reference field="4" count="1" selected="0">
            <x v="1"/>
          </reference>
          <reference field="6" count="1" selected="0">
            <x v="3"/>
          </reference>
          <reference field="7" count="3">
            <x v="2"/>
            <x v="3"/>
            <x v="4"/>
          </reference>
        </references>
      </pivotArea>
    </format>
    <format dxfId="5487">
      <pivotArea dataOnly="0" labelOnly="1" fieldPosition="0">
        <references count="3">
          <reference field="4" count="1" selected="0">
            <x v="1"/>
          </reference>
          <reference field="6" count="1" selected="0">
            <x v="4"/>
          </reference>
          <reference field="7" count="1">
            <x v="8"/>
          </reference>
        </references>
      </pivotArea>
    </format>
    <format dxfId="5486">
      <pivotArea dataOnly="0" labelOnly="1" fieldPosition="0">
        <references count="3">
          <reference field="4" count="1" selected="0">
            <x v="2"/>
          </reference>
          <reference field="6" count="1" selected="0">
            <x v="2"/>
          </reference>
          <reference field="7" count="2">
            <x v="29"/>
            <x v="30"/>
          </reference>
        </references>
      </pivotArea>
    </format>
    <format dxfId="5485">
      <pivotArea dataOnly="0" labelOnly="1" fieldPosition="0">
        <references count="3">
          <reference field="4" count="1" selected="0">
            <x v="2"/>
          </reference>
          <reference field="6" count="1" selected="0">
            <x v="3"/>
          </reference>
          <reference field="7" count="2">
            <x v="5"/>
            <x v="7"/>
          </reference>
        </references>
      </pivotArea>
    </format>
    <format dxfId="5484">
      <pivotArea dataOnly="0" labelOnly="1" fieldPosition="0">
        <references count="3">
          <reference field="4" count="1" selected="0">
            <x v="2"/>
          </reference>
          <reference field="6" count="1" selected="0">
            <x v="4"/>
          </reference>
          <reference field="7" count="1">
            <x v="8"/>
          </reference>
        </references>
      </pivotArea>
    </format>
    <format dxfId="5483">
      <pivotArea dataOnly="0" labelOnly="1" fieldPosition="0">
        <references count="3">
          <reference field="4" count="1" selected="0">
            <x v="3"/>
          </reference>
          <reference field="6" count="1" selected="0">
            <x v="3"/>
          </reference>
          <reference field="7" count="1">
            <x v="6"/>
          </reference>
        </references>
      </pivotArea>
    </format>
    <format dxfId="5482">
      <pivotArea dataOnly="0" labelOnly="1" fieldPosition="0">
        <references count="3">
          <reference field="4" count="1" selected="0">
            <x v="4"/>
          </reference>
          <reference field="6" count="1" selected="0">
            <x v="0"/>
          </reference>
          <reference field="7" count="1">
            <x v="21"/>
          </reference>
        </references>
      </pivotArea>
    </format>
    <format dxfId="5481">
      <pivotArea dataOnly="0" labelOnly="1" fieldPosition="0">
        <references count="3">
          <reference field="4" count="1" selected="0">
            <x v="4"/>
          </reference>
          <reference field="6" count="1" selected="0">
            <x v="1"/>
          </reference>
          <reference field="7" count="1">
            <x v="24"/>
          </reference>
        </references>
      </pivotArea>
    </format>
    <format dxfId="5480">
      <pivotArea dataOnly="0" labelOnly="1" fieldPosition="0">
        <references count="3">
          <reference field="4" count="1" selected="0">
            <x v="4"/>
          </reference>
          <reference field="6" count="1" selected="0">
            <x v="2"/>
          </reference>
          <reference field="7" count="2">
            <x v="29"/>
            <x v="31"/>
          </reference>
        </references>
      </pivotArea>
    </format>
    <format dxfId="5479">
      <pivotArea dataOnly="0" labelOnly="1" fieldPosition="0">
        <references count="3">
          <reference field="4" count="1" selected="0">
            <x v="4"/>
          </reference>
          <reference field="6" count="1" selected="0">
            <x v="3"/>
          </reference>
          <reference field="7" count="2">
            <x v="0"/>
            <x v="1"/>
          </reference>
        </references>
      </pivotArea>
    </format>
    <format dxfId="5478">
      <pivotArea dataOnly="0" labelOnly="1" fieldPosition="0">
        <references count="3">
          <reference field="4" count="1" selected="0">
            <x v="5"/>
          </reference>
          <reference field="6" count="1" selected="0">
            <x v="0"/>
          </reference>
          <reference field="7" count="2">
            <x v="18"/>
            <x v="22"/>
          </reference>
        </references>
      </pivotArea>
    </format>
    <format dxfId="5477">
      <pivotArea dataOnly="0" labelOnly="1" fieldPosition="0">
        <references count="3">
          <reference field="4" count="1" selected="0">
            <x v="5"/>
          </reference>
          <reference field="6" count="1" selected="0">
            <x v="4"/>
          </reference>
          <reference field="7" count="1">
            <x v="8"/>
          </reference>
        </references>
      </pivotArea>
    </format>
    <format dxfId="5476">
      <pivotArea dataOnly="0" labelOnly="1" fieldPosition="0">
        <references count="3">
          <reference field="4" count="1" selected="0">
            <x v="6"/>
          </reference>
          <reference field="6" count="1" selected="0">
            <x v="1"/>
          </reference>
          <reference field="7" count="1">
            <x v="24"/>
          </reference>
        </references>
      </pivotArea>
    </format>
    <format dxfId="5475">
      <pivotArea dataOnly="0" labelOnly="1" fieldPosition="0">
        <references count="3">
          <reference field="4" count="1" selected="0">
            <x v="7"/>
          </reference>
          <reference field="6" count="1" selected="0">
            <x v="0"/>
          </reference>
          <reference field="7" count="1">
            <x v="16"/>
          </reference>
        </references>
      </pivotArea>
    </format>
    <format dxfId="5474">
      <pivotArea dataOnly="0" labelOnly="1" fieldPosition="0">
        <references count="3">
          <reference field="4" count="1" selected="0">
            <x v="7"/>
          </reference>
          <reference field="6" count="1" selected="0">
            <x v="2"/>
          </reference>
          <reference field="7" count="2">
            <x v="29"/>
            <x v="30"/>
          </reference>
        </references>
      </pivotArea>
    </format>
    <format dxfId="5473">
      <pivotArea dataOnly="0" labelOnly="1" fieldPosition="0">
        <references count="3">
          <reference field="4" count="1" selected="0">
            <x v="7"/>
          </reference>
          <reference field="6" count="1" selected="0">
            <x v="3"/>
          </reference>
          <reference field="7" count="1">
            <x v="6"/>
          </reference>
        </references>
      </pivotArea>
    </format>
    <format dxfId="5472">
      <pivotArea dataOnly="0" labelOnly="1" fieldPosition="0">
        <references count="3">
          <reference field="4" count="1" selected="0">
            <x v="7"/>
          </reference>
          <reference field="6" count="1" selected="0">
            <x v="4"/>
          </reference>
          <reference field="7" count="8">
            <x v="8"/>
            <x v="9"/>
            <x v="10"/>
            <x v="11"/>
            <x v="12"/>
            <x v="13"/>
            <x v="14"/>
            <x v="15"/>
          </reference>
        </references>
      </pivotArea>
    </format>
    <format dxfId="5471">
      <pivotArea dataOnly="0" labelOnly="1" fieldPosition="0">
        <references count="3">
          <reference field="4" count="1" selected="0">
            <x v="8"/>
          </reference>
          <reference field="6" count="1" selected="0">
            <x v="0"/>
          </reference>
          <reference field="7" count="2">
            <x v="18"/>
            <x v="22"/>
          </reference>
        </references>
      </pivotArea>
    </format>
    <format dxfId="5470">
      <pivotArea dataOnly="0" labelOnly="1" fieldPosition="0">
        <references count="3">
          <reference field="4" count="1" selected="0">
            <x v="8"/>
          </reference>
          <reference field="6" count="1" selected="0">
            <x v="1"/>
          </reference>
          <reference field="7" count="1">
            <x v="28"/>
          </reference>
        </references>
      </pivotArea>
    </format>
    <format dxfId="5469">
      <pivotArea dataOnly="0" labelOnly="1" fieldPosition="0">
        <references count="3">
          <reference field="4" count="1" selected="0">
            <x v="8"/>
          </reference>
          <reference field="6" count="1" selected="0">
            <x v="2"/>
          </reference>
          <reference field="7" count="1">
            <x v="32"/>
          </reference>
        </references>
      </pivotArea>
    </format>
    <format dxfId="5468">
      <pivotArea dataOnly="0" labelOnly="1" fieldPosition="0">
        <references count="3">
          <reference field="4" count="1" selected="0">
            <x v="8"/>
          </reference>
          <reference field="6" count="1" selected="0">
            <x v="3"/>
          </reference>
          <reference field="7" count="1">
            <x v="6"/>
          </reference>
        </references>
      </pivotArea>
    </format>
    <format dxfId="5467">
      <pivotArea dataOnly="0" labelOnly="1" fieldPosition="0">
        <references count="3">
          <reference field="4" count="1" selected="0">
            <x v="9"/>
          </reference>
          <reference field="6" count="1" selected="0">
            <x v="1"/>
          </reference>
          <reference field="7" count="1">
            <x v="25"/>
          </reference>
        </references>
      </pivotArea>
    </format>
    <format dxfId="5466">
      <pivotArea dataOnly="0" labelOnly="1" fieldPosition="0">
        <references count="3">
          <reference field="4" count="1" selected="0">
            <x v="10"/>
          </reference>
          <reference field="6" count="1" selected="0">
            <x v="3"/>
          </reference>
          <reference field="7" count="1">
            <x v="6"/>
          </reference>
        </references>
      </pivotArea>
    </format>
    <format dxfId="5465">
      <pivotArea dataOnly="0" labelOnly="1" fieldPosition="0">
        <references count="3">
          <reference field="4" count="1" selected="0">
            <x v="11"/>
          </reference>
          <reference field="6" count="1" selected="0">
            <x v="0"/>
          </reference>
          <reference field="7" count="1">
            <x v="17"/>
          </reference>
        </references>
      </pivotArea>
    </format>
    <format dxfId="5464">
      <pivotArea dataOnly="0" labelOnly="1" fieldPosition="0">
        <references count="3">
          <reference field="4" count="1" selected="0">
            <x v="12"/>
          </reference>
          <reference field="6" count="1" selected="0">
            <x v="0"/>
          </reference>
          <reference field="7" count="1">
            <x v="18"/>
          </reference>
        </references>
      </pivotArea>
    </format>
    <format dxfId="5463">
      <pivotArea dataOnly="0" labelOnly="1" fieldPosition="0">
        <references count="3">
          <reference field="4" count="1" selected="0">
            <x v="13"/>
          </reference>
          <reference field="6" count="1" selected="0">
            <x v="3"/>
          </reference>
          <reference field="7" count="2">
            <x v="1"/>
            <x v="5"/>
          </reference>
        </references>
      </pivotArea>
    </format>
    <format dxfId="5462">
      <pivotArea dataOnly="0" labelOnly="1" fieldPosition="0">
        <references count="3">
          <reference field="4" count="1" selected="0">
            <x v="14"/>
          </reference>
          <reference field="6" count="1" selected="0">
            <x v="1"/>
          </reference>
          <reference field="7" count="1">
            <x v="26"/>
          </reference>
        </references>
      </pivotArea>
    </format>
    <format dxfId="5461">
      <pivotArea dataOnly="0" labelOnly="1" fieldPosition="0">
        <references count="3">
          <reference field="4" count="1" selected="0">
            <x v="15"/>
          </reference>
          <reference field="6" count="1" selected="0">
            <x v="0"/>
          </reference>
          <reference field="7" count="1">
            <x v="20"/>
          </reference>
        </references>
      </pivotArea>
    </format>
    <format dxfId="5460">
      <pivotArea dataOnly="0" labelOnly="1" fieldPosition="0">
        <references count="3">
          <reference field="4" count="1" selected="0">
            <x v="16"/>
          </reference>
          <reference field="6" count="1" selected="0">
            <x v="1"/>
          </reference>
          <reference field="7" count="1">
            <x v="27"/>
          </reference>
        </references>
      </pivotArea>
    </format>
    <format dxfId="5459">
      <pivotArea dataOnly="0" labelOnly="1" fieldPosition="0">
        <references count="3">
          <reference field="4" count="1" selected="0">
            <x v="16"/>
          </reference>
          <reference field="6" count="1" selected="0">
            <x v="3"/>
          </reference>
          <reference field="7" count="1">
            <x v="1"/>
          </reference>
        </references>
      </pivotArea>
    </format>
    <format dxfId="5458">
      <pivotArea dataOnly="0" labelOnly="1" fieldPosition="0">
        <references count="3">
          <reference field="4" count="1" selected="0">
            <x v="16"/>
          </reference>
          <reference field="6" count="1" selected="0">
            <x v="4"/>
          </reference>
          <reference field="7" count="2">
            <x v="8"/>
            <x v="11"/>
          </reference>
        </references>
      </pivotArea>
    </format>
    <format dxfId="5457">
      <pivotArea dataOnly="0" labelOnly="1" fieldPosition="0">
        <references count="3">
          <reference field="4" count="1" selected="0">
            <x v="17"/>
          </reference>
          <reference field="6" count="1" selected="0">
            <x v="0"/>
          </reference>
          <reference field="7" count="2">
            <x v="16"/>
            <x v="22"/>
          </reference>
        </references>
      </pivotArea>
    </format>
    <format dxfId="5456">
      <pivotArea dataOnly="0" labelOnly="1" fieldPosition="0">
        <references count="3">
          <reference field="4" count="1" selected="0">
            <x v="18"/>
          </reference>
          <reference field="6" count="1" selected="0">
            <x v="3"/>
          </reference>
          <reference field="7" count="1">
            <x v="2"/>
          </reference>
        </references>
      </pivotArea>
    </format>
    <format dxfId="5455">
      <pivotArea dataOnly="0" labelOnly="1" fieldPosition="0">
        <references count="3">
          <reference field="4" count="1" selected="0">
            <x v="19"/>
          </reference>
          <reference field="6" count="1" selected="0">
            <x v="3"/>
          </reference>
          <reference field="7" count="1">
            <x v="6"/>
          </reference>
        </references>
      </pivotArea>
    </format>
    <format dxfId="5454">
      <pivotArea dataOnly="0" labelOnly="1" fieldPosition="0">
        <references count="3">
          <reference field="4" count="1" selected="0">
            <x v="20"/>
          </reference>
          <reference field="6" count="1" selected="0">
            <x v="1"/>
          </reference>
          <reference field="7" count="1">
            <x v="24"/>
          </reference>
        </references>
      </pivotArea>
    </format>
    <format dxfId="5453">
      <pivotArea dataOnly="0" labelOnly="1" fieldPosition="0">
        <references count="4">
          <reference field="4" count="1" selected="0">
            <x v="0"/>
          </reference>
          <reference field="6" count="1" selected="0">
            <x v="0"/>
          </reference>
          <reference field="7" count="1" selected="0">
            <x v="17"/>
          </reference>
          <reference field="8" count="5">
            <x v="65"/>
            <x v="66"/>
            <x v="67"/>
            <x v="68"/>
            <x v="69"/>
          </reference>
        </references>
      </pivotArea>
    </format>
    <format dxfId="5452">
      <pivotArea dataOnly="0" labelOnly="1" fieldPosition="0">
        <references count="4">
          <reference field="4" count="1" selected="0">
            <x v="0"/>
          </reference>
          <reference field="6" count="1" selected="0">
            <x v="0"/>
          </reference>
          <reference field="7" count="1" selected="0">
            <x v="19"/>
          </reference>
          <reference field="8" count="3">
            <x v="78"/>
            <x v="79"/>
            <x v="80"/>
          </reference>
        </references>
      </pivotArea>
    </format>
    <format dxfId="5451">
      <pivotArea dataOnly="0" labelOnly="1" fieldPosition="0">
        <references count="4">
          <reference field="4" count="1" selected="0">
            <x v="0"/>
          </reference>
          <reference field="6" count="1" selected="0">
            <x v="1"/>
          </reference>
          <reference field="7" count="1" selected="0">
            <x v="23"/>
          </reference>
          <reference field="8" count="10">
            <x v="95"/>
            <x v="96"/>
            <x v="97"/>
            <x v="98"/>
            <x v="99"/>
            <x v="100"/>
            <x v="101"/>
            <x v="102"/>
            <x v="103"/>
            <x v="104"/>
          </reference>
        </references>
      </pivotArea>
    </format>
    <format dxfId="5450">
      <pivotArea dataOnly="0" labelOnly="1" fieldPosition="0">
        <references count="4">
          <reference field="4" count="1" selected="0">
            <x v="0"/>
          </reference>
          <reference field="6" count="1" selected="0">
            <x v="1"/>
          </reference>
          <reference field="7" count="1" selected="0">
            <x v="26"/>
          </reference>
          <reference field="8" count="1">
            <x v="131"/>
          </reference>
        </references>
      </pivotArea>
    </format>
    <format dxfId="5449">
      <pivotArea dataOnly="0" labelOnly="1" fieldPosition="0">
        <references count="4">
          <reference field="4" count="1" selected="0">
            <x v="1"/>
          </reference>
          <reference field="6" count="1" selected="0">
            <x v="0"/>
          </reference>
          <reference field="7" count="1" selected="0">
            <x v="19"/>
          </reference>
          <reference field="8" count="1">
            <x v="81"/>
          </reference>
        </references>
      </pivotArea>
    </format>
    <format dxfId="5448">
      <pivotArea dataOnly="0" labelOnly="1" fieldPosition="0">
        <references count="4">
          <reference field="4" count="1" selected="0">
            <x v="1"/>
          </reference>
          <reference field="6" count="1" selected="0">
            <x v="3"/>
          </reference>
          <reference field="7" count="1" selected="0">
            <x v="2"/>
          </reference>
          <reference field="8" count="7">
            <x v="7"/>
            <x v="10"/>
            <x v="11"/>
            <x v="12"/>
            <x v="13"/>
            <x v="14"/>
            <x v="15"/>
          </reference>
        </references>
      </pivotArea>
    </format>
    <format dxfId="5447">
      <pivotArea dataOnly="0" labelOnly="1" fieldPosition="0">
        <references count="4">
          <reference field="4" count="1" selected="0">
            <x v="1"/>
          </reference>
          <reference field="6" count="1" selected="0">
            <x v="3"/>
          </reference>
          <reference field="7" count="1" selected="0">
            <x v="3"/>
          </reference>
          <reference field="8" count="2">
            <x v="18"/>
            <x v="19"/>
          </reference>
        </references>
      </pivotArea>
    </format>
    <format dxfId="5446">
      <pivotArea dataOnly="0" labelOnly="1" fieldPosition="0">
        <references count="4">
          <reference field="4" count="1" selected="0">
            <x v="1"/>
          </reference>
          <reference field="6" count="1" selected="0">
            <x v="3"/>
          </reference>
          <reference field="7" count="1" selected="0">
            <x v="4"/>
          </reference>
          <reference field="8" count="2">
            <x v="20"/>
            <x v="21"/>
          </reference>
        </references>
      </pivotArea>
    </format>
    <format dxfId="5445">
      <pivotArea dataOnly="0" labelOnly="1" fieldPosition="0">
        <references count="4">
          <reference field="4" count="1" selected="0">
            <x v="1"/>
          </reference>
          <reference field="6" count="1" selected="0">
            <x v="4"/>
          </reference>
          <reference field="7" count="1" selected="0">
            <x v="8"/>
          </reference>
          <reference field="8" count="3">
            <x v="33"/>
            <x v="34"/>
            <x v="39"/>
          </reference>
        </references>
      </pivotArea>
    </format>
    <format dxfId="5444">
      <pivotArea dataOnly="0" labelOnly="1" fieldPosition="0">
        <references count="4">
          <reference field="4" count="1" selected="0">
            <x v="2"/>
          </reference>
          <reference field="6" count="1" selected="0">
            <x v="2"/>
          </reference>
          <reference field="7" count="1" selected="0">
            <x v="29"/>
          </reference>
          <reference field="8" count="6">
            <x v="145"/>
            <x v="146"/>
            <x v="147"/>
            <x v="148"/>
            <x v="149"/>
            <x v="150"/>
          </reference>
        </references>
      </pivotArea>
    </format>
    <format dxfId="5443">
      <pivotArea dataOnly="0" labelOnly="1" fieldPosition="0">
        <references count="4">
          <reference field="4" count="1" selected="0">
            <x v="2"/>
          </reference>
          <reference field="6" count="1" selected="0">
            <x v="2"/>
          </reference>
          <reference field="7" count="1" selected="0">
            <x v="30"/>
          </reference>
          <reference field="8" count="2">
            <x v="152"/>
            <x v="153"/>
          </reference>
        </references>
      </pivotArea>
    </format>
    <format dxfId="5442">
      <pivotArea dataOnly="0" labelOnly="1" fieldPosition="0">
        <references count="4">
          <reference field="4" count="1" selected="0">
            <x v="2"/>
          </reference>
          <reference field="6" count="1" selected="0">
            <x v="3"/>
          </reference>
          <reference field="7" count="1" selected="0">
            <x v="5"/>
          </reference>
          <reference field="8" count="1">
            <x v="24"/>
          </reference>
        </references>
      </pivotArea>
    </format>
    <format dxfId="5441">
      <pivotArea dataOnly="0" labelOnly="1" fieldPosition="0">
        <references count="4">
          <reference field="4" count="1" selected="0">
            <x v="2"/>
          </reference>
          <reference field="6" count="1" selected="0">
            <x v="3"/>
          </reference>
          <reference field="7" count="1" selected="0">
            <x v="7"/>
          </reference>
          <reference field="8" count="2">
            <x v="31"/>
            <x v="32"/>
          </reference>
        </references>
      </pivotArea>
    </format>
    <format dxfId="5440">
      <pivotArea dataOnly="0" labelOnly="1" fieldPosition="0">
        <references count="4">
          <reference field="4" count="1" selected="0">
            <x v="2"/>
          </reference>
          <reference field="6" count="1" selected="0">
            <x v="4"/>
          </reference>
          <reference field="7" count="1" selected="0">
            <x v="8"/>
          </reference>
          <reference field="8" count="2">
            <x v="36"/>
            <x v="39"/>
          </reference>
        </references>
      </pivotArea>
    </format>
    <format dxfId="5439">
      <pivotArea dataOnly="0" labelOnly="1" fieldPosition="0">
        <references count="4">
          <reference field="4" count="1" selected="0">
            <x v="3"/>
          </reference>
          <reference field="6" count="1" selected="0">
            <x v="3"/>
          </reference>
          <reference field="7" count="1" selected="0">
            <x v="6"/>
          </reference>
          <reference field="8" count="1">
            <x v="29"/>
          </reference>
        </references>
      </pivotArea>
    </format>
    <format dxfId="5438">
      <pivotArea dataOnly="0" labelOnly="1" fieldPosition="0">
        <references count="4">
          <reference field="4" count="1" selected="0">
            <x v="4"/>
          </reference>
          <reference field="6" count="1" selected="0">
            <x v="0"/>
          </reference>
          <reference field="7" count="1" selected="0">
            <x v="21"/>
          </reference>
          <reference field="8" count="5">
            <x v="87"/>
            <x v="88"/>
            <x v="89"/>
            <x v="90"/>
            <x v="91"/>
          </reference>
        </references>
      </pivotArea>
    </format>
    <format dxfId="5437">
      <pivotArea dataOnly="0" labelOnly="1" fieldPosition="0">
        <references count="4">
          <reference field="4" count="1" selected="0">
            <x v="4"/>
          </reference>
          <reference field="6" count="1" selected="0">
            <x v="1"/>
          </reference>
          <reference field="7" count="1" selected="0">
            <x v="24"/>
          </reference>
          <reference field="8" count="1">
            <x v="114"/>
          </reference>
        </references>
      </pivotArea>
    </format>
    <format dxfId="5436">
      <pivotArea dataOnly="0" labelOnly="1" fieldPosition="0">
        <references count="4">
          <reference field="4" count="1" selected="0">
            <x v="4"/>
          </reference>
          <reference field="6" count="1" selected="0">
            <x v="2"/>
          </reference>
          <reference field="7" count="1" selected="0">
            <x v="29"/>
          </reference>
          <reference field="8" count="3">
            <x v="142"/>
            <x v="143"/>
            <x v="151"/>
          </reference>
        </references>
      </pivotArea>
    </format>
    <format dxfId="5435">
      <pivotArea dataOnly="0" labelOnly="1" fieldPosition="0">
        <references count="4">
          <reference field="4" count="1" selected="0">
            <x v="4"/>
          </reference>
          <reference field="6" count="1" selected="0">
            <x v="2"/>
          </reference>
          <reference field="7" count="1" selected="0">
            <x v="31"/>
          </reference>
          <reference field="8" count="3">
            <x v="155"/>
            <x v="156"/>
            <x v="157"/>
          </reference>
        </references>
      </pivotArea>
    </format>
    <format dxfId="5434">
      <pivotArea dataOnly="0" labelOnly="1" fieldPosition="0">
        <references count="4">
          <reference field="4" count="1" selected="0">
            <x v="4"/>
          </reference>
          <reference field="6" count="1" selected="0">
            <x v="3"/>
          </reference>
          <reference field="7" count="1" selected="0">
            <x v="0"/>
          </reference>
          <reference field="8" count="2">
            <x v="0"/>
            <x v="1"/>
          </reference>
        </references>
      </pivotArea>
    </format>
    <format dxfId="5433">
      <pivotArea dataOnly="0" labelOnly="1" fieldPosition="0">
        <references count="4">
          <reference field="4" count="1" selected="0">
            <x v="4"/>
          </reference>
          <reference field="6" count="1" selected="0">
            <x v="3"/>
          </reference>
          <reference field="7" count="1" selected="0">
            <x v="1"/>
          </reference>
          <reference field="8" count="4">
            <x v="2"/>
            <x v="3"/>
            <x v="4"/>
            <x v="5"/>
          </reference>
        </references>
      </pivotArea>
    </format>
    <format dxfId="5432">
      <pivotArea dataOnly="0" labelOnly="1" fieldPosition="0">
        <references count="4">
          <reference field="4" count="1" selected="0">
            <x v="5"/>
          </reference>
          <reference field="6" count="1" selected="0">
            <x v="0"/>
          </reference>
          <reference field="7" count="1" selected="0">
            <x v="18"/>
          </reference>
          <reference field="8" count="3">
            <x v="73"/>
            <x v="74"/>
            <x v="77"/>
          </reference>
        </references>
      </pivotArea>
    </format>
    <format dxfId="5431">
      <pivotArea dataOnly="0" labelOnly="1" fieldPosition="0">
        <references count="4">
          <reference field="4" count="1" selected="0">
            <x v="5"/>
          </reference>
          <reference field="6" count="1" selected="0">
            <x v="0"/>
          </reference>
          <reference field="7" count="1" selected="0">
            <x v="22"/>
          </reference>
          <reference field="8" count="1">
            <x v="94"/>
          </reference>
        </references>
      </pivotArea>
    </format>
    <format dxfId="5430">
      <pivotArea dataOnly="0" labelOnly="1" fieldPosition="0">
        <references count="4">
          <reference field="4" count="1" selected="0">
            <x v="5"/>
          </reference>
          <reference field="6" count="1" selected="0">
            <x v="4"/>
          </reference>
          <reference field="7" count="1" selected="0">
            <x v="8"/>
          </reference>
          <reference field="8" count="1">
            <x v="37"/>
          </reference>
        </references>
      </pivotArea>
    </format>
    <format dxfId="5429">
      <pivotArea dataOnly="0" labelOnly="1" fieldPosition="0">
        <references count="4">
          <reference field="4" count="1" selected="0">
            <x v="6"/>
          </reference>
          <reference field="6" count="1" selected="0">
            <x v="1"/>
          </reference>
          <reference field="7" count="1" selected="0">
            <x v="24"/>
          </reference>
          <reference field="8" count="8">
            <x v="105"/>
            <x v="107"/>
            <x v="108"/>
            <x v="109"/>
            <x v="110"/>
            <x v="111"/>
            <x v="112"/>
            <x v="113"/>
          </reference>
        </references>
      </pivotArea>
    </format>
    <format dxfId="5428">
      <pivotArea dataOnly="0" labelOnly="1" fieldPosition="0">
        <references count="4">
          <reference field="4" count="1" selected="0">
            <x v="7"/>
          </reference>
          <reference field="6" count="1" selected="0">
            <x v="0"/>
          </reference>
          <reference field="7" count="1" selected="0">
            <x v="16"/>
          </reference>
          <reference field="8" count="1">
            <x v="64"/>
          </reference>
        </references>
      </pivotArea>
    </format>
    <format dxfId="5427">
      <pivotArea dataOnly="0" labelOnly="1" fieldPosition="0">
        <references count="4">
          <reference field="4" count="1" selected="0">
            <x v="7"/>
          </reference>
          <reference field="6" count="1" selected="0">
            <x v="2"/>
          </reference>
          <reference field="7" count="1" selected="0">
            <x v="29"/>
          </reference>
          <reference field="8" count="4">
            <x v="140"/>
            <x v="141"/>
            <x v="144"/>
            <x v="145"/>
          </reference>
        </references>
      </pivotArea>
    </format>
    <format dxfId="5426">
      <pivotArea dataOnly="0" labelOnly="1" fieldPosition="0">
        <references count="4">
          <reference field="4" count="1" selected="0">
            <x v="7"/>
          </reference>
          <reference field="6" count="1" selected="0">
            <x v="2"/>
          </reference>
          <reference field="7" count="1" selected="0">
            <x v="30"/>
          </reference>
          <reference field="8" count="1">
            <x v="154"/>
          </reference>
        </references>
      </pivotArea>
    </format>
    <format dxfId="5425">
      <pivotArea dataOnly="0" labelOnly="1" fieldPosition="0">
        <references count="4">
          <reference field="4" count="1" selected="0">
            <x v="7"/>
          </reference>
          <reference field="6" count="1" selected="0">
            <x v="3"/>
          </reference>
          <reference field="7" count="1" selected="0">
            <x v="6"/>
          </reference>
          <reference field="8" count="1">
            <x v="28"/>
          </reference>
        </references>
      </pivotArea>
    </format>
    <format dxfId="5424">
      <pivotArea dataOnly="0" labelOnly="1" fieldPosition="0">
        <references count="4">
          <reference field="4" count="1" selected="0">
            <x v="7"/>
          </reference>
          <reference field="6" count="1" selected="0">
            <x v="4"/>
          </reference>
          <reference field="7" count="1" selected="0">
            <x v="8"/>
          </reference>
          <reference field="8" count="2">
            <x v="35"/>
            <x v="36"/>
          </reference>
        </references>
      </pivotArea>
    </format>
    <format dxfId="5423">
      <pivotArea dataOnly="0" labelOnly="1" fieldPosition="0">
        <references count="4">
          <reference field="4" count="1" selected="0">
            <x v="7"/>
          </reference>
          <reference field="6" count="1" selected="0">
            <x v="4"/>
          </reference>
          <reference field="7" count="1" selected="0">
            <x v="9"/>
          </reference>
          <reference field="8" count="4">
            <x v="40"/>
            <x v="41"/>
            <x v="42"/>
            <x v="43"/>
          </reference>
        </references>
      </pivotArea>
    </format>
    <format dxfId="5422">
      <pivotArea dataOnly="0" labelOnly="1" fieldPosition="0">
        <references count="4">
          <reference field="4" count="1" selected="0">
            <x v="7"/>
          </reference>
          <reference field="6" count="1" selected="0">
            <x v="4"/>
          </reference>
          <reference field="7" count="1" selected="0">
            <x v="10"/>
          </reference>
          <reference field="8" count="4">
            <x v="44"/>
            <x v="45"/>
            <x v="46"/>
            <x v="47"/>
          </reference>
        </references>
      </pivotArea>
    </format>
    <format dxfId="5421">
      <pivotArea dataOnly="0" labelOnly="1" fieldPosition="0">
        <references count="4">
          <reference field="4" count="1" selected="0">
            <x v="7"/>
          </reference>
          <reference field="6" count="1" selected="0">
            <x v="4"/>
          </reference>
          <reference field="7" count="1" selected="0">
            <x v="11"/>
          </reference>
          <reference field="8" count="2">
            <x v="48"/>
            <x v="49"/>
          </reference>
        </references>
      </pivotArea>
    </format>
    <format dxfId="5420">
      <pivotArea dataOnly="0" labelOnly="1" fieldPosition="0">
        <references count="4">
          <reference field="4" count="1" selected="0">
            <x v="7"/>
          </reference>
          <reference field="6" count="1" selected="0">
            <x v="4"/>
          </reference>
          <reference field="7" count="1" selected="0">
            <x v="12"/>
          </reference>
          <reference field="8" count="1">
            <x v="50"/>
          </reference>
        </references>
      </pivotArea>
    </format>
    <format dxfId="5419">
      <pivotArea dataOnly="0" labelOnly="1" fieldPosition="0">
        <references count="4">
          <reference field="4" count="1" selected="0">
            <x v="7"/>
          </reference>
          <reference field="6" count="1" selected="0">
            <x v="4"/>
          </reference>
          <reference field="7" count="1" selected="0">
            <x v="13"/>
          </reference>
          <reference field="8" count="3">
            <x v="51"/>
            <x v="52"/>
            <x v="53"/>
          </reference>
        </references>
      </pivotArea>
    </format>
    <format dxfId="5418">
      <pivotArea dataOnly="0" labelOnly="1" fieldPosition="0">
        <references count="4">
          <reference field="4" count="1" selected="0">
            <x v="7"/>
          </reference>
          <reference field="6" count="1" selected="0">
            <x v="4"/>
          </reference>
          <reference field="7" count="1" selected="0">
            <x v="14"/>
          </reference>
          <reference field="8" count="2">
            <x v="54"/>
            <x v="55"/>
          </reference>
        </references>
      </pivotArea>
    </format>
    <format dxfId="5417">
      <pivotArea dataOnly="0" labelOnly="1" fieldPosition="0">
        <references count="4">
          <reference field="4" count="1" selected="0">
            <x v="7"/>
          </reference>
          <reference field="6" count="1" selected="0">
            <x v="4"/>
          </reference>
          <reference field="7" count="1" selected="0">
            <x v="15"/>
          </reference>
          <reference field="8" count="1">
            <x v="56"/>
          </reference>
        </references>
      </pivotArea>
    </format>
    <format dxfId="5416">
      <pivotArea dataOnly="0" labelOnly="1" fieldPosition="0">
        <references count="4">
          <reference field="4" count="1" selected="0">
            <x v="8"/>
          </reference>
          <reference field="6" count="1" selected="0">
            <x v="0"/>
          </reference>
          <reference field="7" count="1" selected="0">
            <x v="18"/>
          </reference>
          <reference field="8" count="1">
            <x v="77"/>
          </reference>
        </references>
      </pivotArea>
    </format>
    <format dxfId="5415">
      <pivotArea dataOnly="0" labelOnly="1" fieldPosition="0">
        <references count="4">
          <reference field="4" count="1" selected="0">
            <x v="8"/>
          </reference>
          <reference field="6" count="1" selected="0">
            <x v="0"/>
          </reference>
          <reference field="7" count="1" selected="0">
            <x v="22"/>
          </reference>
          <reference field="8" count="3">
            <x v="92"/>
            <x v="93"/>
            <x v="94"/>
          </reference>
        </references>
      </pivotArea>
    </format>
    <format dxfId="5414">
      <pivotArea dataOnly="0" labelOnly="1" fieldPosition="0">
        <references count="4">
          <reference field="4" count="1" selected="0">
            <x v="8"/>
          </reference>
          <reference field="6" count="1" selected="0">
            <x v="1"/>
          </reference>
          <reference field="7" count="1" selected="0">
            <x v="28"/>
          </reference>
          <reference field="8" count="2">
            <x v="138"/>
            <x v="139"/>
          </reference>
        </references>
      </pivotArea>
    </format>
    <format dxfId="5413">
      <pivotArea dataOnly="0" labelOnly="1" fieldPosition="0">
        <references count="4">
          <reference field="4" count="1" selected="0">
            <x v="8"/>
          </reference>
          <reference field="6" count="1" selected="0">
            <x v="2"/>
          </reference>
          <reference field="7" count="1" selected="0">
            <x v="32"/>
          </reference>
          <reference field="8" count="2">
            <x v="158"/>
            <x v="159"/>
          </reference>
        </references>
      </pivotArea>
    </format>
    <format dxfId="5412">
      <pivotArea dataOnly="0" labelOnly="1" fieldPosition="0">
        <references count="4">
          <reference field="4" count="1" selected="0">
            <x v="8"/>
          </reference>
          <reference field="6" count="1" selected="0">
            <x v="3"/>
          </reference>
          <reference field="7" count="1" selected="0">
            <x v="6"/>
          </reference>
          <reference field="8" count="2">
            <x v="29"/>
            <x v="30"/>
          </reference>
        </references>
      </pivotArea>
    </format>
    <format dxfId="5411">
      <pivotArea dataOnly="0" labelOnly="1" fieldPosition="0">
        <references count="4">
          <reference field="4" count="1" selected="0">
            <x v="9"/>
          </reference>
          <reference field="6" count="1" selected="0">
            <x v="1"/>
          </reference>
          <reference field="7" count="1" selected="0">
            <x v="25"/>
          </reference>
          <reference field="8" count="10">
            <x v="115"/>
            <x v="116"/>
            <x v="117"/>
            <x v="118"/>
            <x v="119"/>
            <x v="120"/>
            <x v="121"/>
            <x v="122"/>
            <x v="123"/>
            <x v="124"/>
          </reference>
        </references>
      </pivotArea>
    </format>
    <format dxfId="5410">
      <pivotArea dataOnly="0" labelOnly="1" fieldPosition="0">
        <references count="4">
          <reference field="4" count="1" selected="0">
            <x v="10"/>
          </reference>
          <reference field="6" count="1" selected="0">
            <x v="3"/>
          </reference>
          <reference field="7" count="1" selected="0">
            <x v="6"/>
          </reference>
          <reference field="8" count="1">
            <x v="29"/>
          </reference>
        </references>
      </pivotArea>
    </format>
    <format dxfId="5409">
      <pivotArea dataOnly="0" labelOnly="1" fieldPosition="0">
        <references count="4">
          <reference field="4" count="1" selected="0">
            <x v="11"/>
          </reference>
          <reference field="6" count="1" selected="0">
            <x v="0"/>
          </reference>
          <reference field="7" count="1" selected="0">
            <x v="17"/>
          </reference>
          <reference field="8" count="3">
            <x v="70"/>
            <x v="71"/>
            <x v="72"/>
          </reference>
        </references>
      </pivotArea>
    </format>
    <format dxfId="5408">
      <pivotArea dataOnly="0" labelOnly="1" fieldPosition="0">
        <references count="4">
          <reference field="4" count="1" selected="0">
            <x v="12"/>
          </reference>
          <reference field="6" count="1" selected="0">
            <x v="0"/>
          </reference>
          <reference field="7" count="1" selected="0">
            <x v="18"/>
          </reference>
          <reference field="8" count="3">
            <x v="74"/>
            <x v="75"/>
            <x v="76"/>
          </reference>
        </references>
      </pivotArea>
    </format>
    <format dxfId="5407">
      <pivotArea dataOnly="0" labelOnly="1" fieldPosition="0">
        <references count="4">
          <reference field="4" count="1" selected="0">
            <x v="13"/>
          </reference>
          <reference field="6" count="1" selected="0">
            <x v="3"/>
          </reference>
          <reference field="7" count="1" selected="0">
            <x v="1"/>
          </reference>
          <reference field="8" count="1">
            <x v="6"/>
          </reference>
        </references>
      </pivotArea>
    </format>
    <format dxfId="5406">
      <pivotArea dataOnly="0" labelOnly="1" fieldPosition="0">
        <references count="4">
          <reference field="4" count="1" selected="0">
            <x v="13"/>
          </reference>
          <reference field="6" count="1" selected="0">
            <x v="3"/>
          </reference>
          <reference field="7" count="1" selected="0">
            <x v="5"/>
          </reference>
          <reference field="8" count="6">
            <x v="22"/>
            <x v="23"/>
            <x v="24"/>
            <x v="25"/>
            <x v="26"/>
            <x v="27"/>
          </reference>
        </references>
      </pivotArea>
    </format>
    <format dxfId="5405">
      <pivotArea dataOnly="0" labelOnly="1" fieldPosition="0">
        <references count="4">
          <reference field="4" count="1" selected="0">
            <x v="14"/>
          </reference>
          <reference field="6" count="1" selected="0">
            <x v="1"/>
          </reference>
          <reference field="7" count="1" selected="0">
            <x v="26"/>
          </reference>
          <reference field="8" count="7">
            <x v="125"/>
            <x v="126"/>
            <x v="127"/>
            <x v="128"/>
            <x v="129"/>
            <x v="130"/>
            <x v="131"/>
          </reference>
        </references>
      </pivotArea>
    </format>
    <format dxfId="5404">
      <pivotArea dataOnly="0" labelOnly="1" fieldPosition="0">
        <references count="4">
          <reference field="4" count="1" selected="0">
            <x v="15"/>
          </reference>
          <reference field="6" count="1" selected="0">
            <x v="0"/>
          </reference>
          <reference field="7" count="1" selected="0">
            <x v="20"/>
          </reference>
          <reference field="8" count="5">
            <x v="82"/>
            <x v="83"/>
            <x v="84"/>
            <x v="85"/>
            <x v="86"/>
          </reference>
        </references>
      </pivotArea>
    </format>
    <format dxfId="5403">
      <pivotArea dataOnly="0" labelOnly="1" fieldPosition="0">
        <references count="4">
          <reference field="4" count="1" selected="0">
            <x v="16"/>
          </reference>
          <reference field="6" count="1" selected="0">
            <x v="1"/>
          </reference>
          <reference field="7" count="1" selected="0">
            <x v="27"/>
          </reference>
          <reference field="8" count="6">
            <x v="132"/>
            <x v="133"/>
            <x v="134"/>
            <x v="135"/>
            <x v="136"/>
            <x v="137"/>
          </reference>
        </references>
      </pivotArea>
    </format>
    <format dxfId="5402">
      <pivotArea dataOnly="0" labelOnly="1" fieldPosition="0">
        <references count="4">
          <reference field="4" count="1" selected="0">
            <x v="16"/>
          </reference>
          <reference field="6" count="1" selected="0">
            <x v="3"/>
          </reference>
          <reference field="7" count="1" selected="0">
            <x v="1"/>
          </reference>
          <reference field="8" count="1">
            <x v="6"/>
          </reference>
        </references>
      </pivotArea>
    </format>
    <format dxfId="5401">
      <pivotArea dataOnly="0" labelOnly="1" fieldPosition="0">
        <references count="4">
          <reference field="4" count="1" selected="0">
            <x v="16"/>
          </reference>
          <reference field="6" count="1" selected="0">
            <x v="4"/>
          </reference>
          <reference field="7" count="1" selected="0">
            <x v="8"/>
          </reference>
          <reference field="8" count="1">
            <x v="38"/>
          </reference>
        </references>
      </pivotArea>
    </format>
    <format dxfId="5400">
      <pivotArea dataOnly="0" labelOnly="1" fieldPosition="0">
        <references count="4">
          <reference field="4" count="1" selected="0">
            <x v="16"/>
          </reference>
          <reference field="6" count="1" selected="0">
            <x v="4"/>
          </reference>
          <reference field="7" count="1" selected="0">
            <x v="11"/>
          </reference>
          <reference field="8" count="1">
            <x v="48"/>
          </reference>
        </references>
      </pivotArea>
    </format>
    <format dxfId="5399">
      <pivotArea dataOnly="0" labelOnly="1" fieldPosition="0">
        <references count="4">
          <reference field="4" count="1" selected="0">
            <x v="17"/>
          </reference>
          <reference field="6" count="1" selected="0">
            <x v="0"/>
          </reference>
          <reference field="7" count="1" selected="0">
            <x v="16"/>
          </reference>
          <reference field="8" count="7">
            <x v="57"/>
            <x v="58"/>
            <x v="59"/>
            <x v="60"/>
            <x v="61"/>
            <x v="62"/>
            <x v="63"/>
          </reference>
        </references>
      </pivotArea>
    </format>
    <format dxfId="5398">
      <pivotArea dataOnly="0" labelOnly="1" fieldPosition="0">
        <references count="4">
          <reference field="4" count="1" selected="0">
            <x v="17"/>
          </reference>
          <reference field="6" count="1" selected="0">
            <x v="0"/>
          </reference>
          <reference field="7" count="1" selected="0">
            <x v="22"/>
          </reference>
          <reference field="8" count="1">
            <x v="94"/>
          </reference>
        </references>
      </pivotArea>
    </format>
    <format dxfId="5397">
      <pivotArea dataOnly="0" labelOnly="1" fieldPosition="0">
        <references count="4">
          <reference field="4" count="1" selected="0">
            <x v="18"/>
          </reference>
          <reference field="6" count="1" selected="0">
            <x v="3"/>
          </reference>
          <reference field="7" count="1" selected="0">
            <x v="2"/>
          </reference>
          <reference field="8" count="4">
            <x v="8"/>
            <x v="9"/>
            <x v="16"/>
            <x v="17"/>
          </reference>
        </references>
      </pivotArea>
    </format>
    <format dxfId="5396">
      <pivotArea dataOnly="0" labelOnly="1" fieldPosition="0">
        <references count="4">
          <reference field="4" count="1" selected="0">
            <x v="19"/>
          </reference>
          <reference field="6" count="1" selected="0">
            <x v="3"/>
          </reference>
          <reference field="7" count="1" selected="0">
            <x v="6"/>
          </reference>
          <reference field="8" count="1">
            <x v="29"/>
          </reference>
        </references>
      </pivotArea>
    </format>
    <format dxfId="5395">
      <pivotArea dataOnly="0" labelOnly="1" fieldPosition="0">
        <references count="4">
          <reference field="4" count="1" selected="0">
            <x v="20"/>
          </reference>
          <reference field="6" count="1" selected="0">
            <x v="1"/>
          </reference>
          <reference field="7" count="1" selected="0">
            <x v="24"/>
          </reference>
          <reference field="8" count="1">
            <x v="106"/>
          </reference>
        </references>
      </pivotArea>
    </format>
    <format dxfId="5394">
      <pivotArea dataOnly="0" labelOnly="1" fieldPosition="0">
        <references count="5">
          <reference field="4" count="1" selected="0">
            <x v="0"/>
          </reference>
          <reference field="6" count="1" selected="0">
            <x v="0"/>
          </reference>
          <reference field="7" count="1" selected="0">
            <x v="17"/>
          </reference>
          <reference field="8" count="1" selected="0">
            <x v="65"/>
          </reference>
          <reference field="15" count="1">
            <x v="108"/>
          </reference>
        </references>
      </pivotArea>
    </format>
    <format dxfId="5393">
      <pivotArea dataOnly="0" labelOnly="1" fieldPosition="0">
        <references count="5">
          <reference field="4" count="1" selected="0">
            <x v="0"/>
          </reference>
          <reference field="6" count="1" selected="0">
            <x v="0"/>
          </reference>
          <reference field="7" count="1" selected="0">
            <x v="17"/>
          </reference>
          <reference field="8" count="1" selected="0">
            <x v="66"/>
          </reference>
          <reference field="15" count="2">
            <x v="365"/>
            <x v="366"/>
          </reference>
        </references>
      </pivotArea>
    </format>
    <format dxfId="5392">
      <pivotArea dataOnly="0" labelOnly="1" fieldPosition="0">
        <references count="5">
          <reference field="4" count="1" selected="0">
            <x v="0"/>
          </reference>
          <reference field="6" count="1" selected="0">
            <x v="0"/>
          </reference>
          <reference field="7" count="1" selected="0">
            <x v="17"/>
          </reference>
          <reference field="8" count="1" selected="0">
            <x v="67"/>
          </reference>
          <reference field="15" count="2">
            <x v="364"/>
            <x v="370"/>
          </reference>
        </references>
      </pivotArea>
    </format>
    <format dxfId="5391">
      <pivotArea dataOnly="0" labelOnly="1" fieldPosition="0">
        <references count="5">
          <reference field="4" count="1" selected="0">
            <x v="0"/>
          </reference>
          <reference field="6" count="1" selected="0">
            <x v="0"/>
          </reference>
          <reference field="7" count="1" selected="0">
            <x v="17"/>
          </reference>
          <reference field="8" count="1" selected="0">
            <x v="68"/>
          </reference>
          <reference field="15" count="1">
            <x v="79"/>
          </reference>
        </references>
      </pivotArea>
    </format>
    <format dxfId="5390">
      <pivotArea dataOnly="0" labelOnly="1" fieldPosition="0">
        <references count="5">
          <reference field="4" count="1" selected="0">
            <x v="0"/>
          </reference>
          <reference field="6" count="1" selected="0">
            <x v="0"/>
          </reference>
          <reference field="7" count="1" selected="0">
            <x v="17"/>
          </reference>
          <reference field="8" count="1" selected="0">
            <x v="69"/>
          </reference>
          <reference field="15" count="1">
            <x v="42"/>
          </reference>
        </references>
      </pivotArea>
    </format>
    <format dxfId="5389">
      <pivotArea dataOnly="0" labelOnly="1" fieldPosition="0">
        <references count="5">
          <reference field="4" count="1" selected="0">
            <x v="0"/>
          </reference>
          <reference field="6" count="1" selected="0">
            <x v="0"/>
          </reference>
          <reference field="7" count="1" selected="0">
            <x v="19"/>
          </reference>
          <reference field="8" count="1" selected="0">
            <x v="78"/>
          </reference>
          <reference field="15" count="1">
            <x v="236"/>
          </reference>
        </references>
      </pivotArea>
    </format>
    <format dxfId="5388">
      <pivotArea dataOnly="0" labelOnly="1" fieldPosition="0">
        <references count="5">
          <reference field="4" count="1" selected="0">
            <x v="0"/>
          </reference>
          <reference field="6" count="1" selected="0">
            <x v="0"/>
          </reference>
          <reference field="7" count="1" selected="0">
            <x v="19"/>
          </reference>
          <reference field="8" count="1" selected="0">
            <x v="79"/>
          </reference>
          <reference field="15" count="1">
            <x v="12"/>
          </reference>
        </references>
      </pivotArea>
    </format>
    <format dxfId="5387">
      <pivotArea dataOnly="0" labelOnly="1" fieldPosition="0">
        <references count="5">
          <reference field="4" count="1" selected="0">
            <x v="0"/>
          </reference>
          <reference field="6" count="1" selected="0">
            <x v="0"/>
          </reference>
          <reference field="7" count="1" selected="0">
            <x v="19"/>
          </reference>
          <reference field="8" count="1" selected="0">
            <x v="80"/>
          </reference>
          <reference field="15" count="2">
            <x v="10"/>
            <x v="11"/>
          </reference>
        </references>
      </pivotArea>
    </format>
    <format dxfId="5386">
      <pivotArea dataOnly="0" labelOnly="1" fieldPosition="0">
        <references count="5">
          <reference field="4" count="1" selected="0">
            <x v="0"/>
          </reference>
          <reference field="6" count="1" selected="0">
            <x v="1"/>
          </reference>
          <reference field="7" count="1" selected="0">
            <x v="23"/>
          </reference>
          <reference field="8" count="1" selected="0">
            <x v="95"/>
          </reference>
          <reference field="15" count="1">
            <x v="250"/>
          </reference>
        </references>
      </pivotArea>
    </format>
    <format dxfId="5385">
      <pivotArea dataOnly="0" labelOnly="1" fieldPosition="0">
        <references count="5">
          <reference field="4" count="1" selected="0">
            <x v="0"/>
          </reference>
          <reference field="6" count="1" selected="0">
            <x v="1"/>
          </reference>
          <reference field="7" count="1" selected="0">
            <x v="23"/>
          </reference>
          <reference field="8" count="1" selected="0">
            <x v="96"/>
          </reference>
          <reference field="15" count="2">
            <x v="251"/>
            <x v="358"/>
          </reference>
        </references>
      </pivotArea>
    </format>
    <format dxfId="5384">
      <pivotArea dataOnly="0" labelOnly="1" fieldPosition="0">
        <references count="5">
          <reference field="4" count="1" selected="0">
            <x v="0"/>
          </reference>
          <reference field="6" count="1" selected="0">
            <x v="1"/>
          </reference>
          <reference field="7" count="1" selected="0">
            <x v="23"/>
          </reference>
          <reference field="8" count="1" selected="0">
            <x v="97"/>
          </reference>
          <reference field="15" count="1">
            <x v="257"/>
          </reference>
        </references>
      </pivotArea>
    </format>
    <format dxfId="5383">
      <pivotArea dataOnly="0" labelOnly="1" fieldPosition="0">
        <references count="5">
          <reference field="4" count="1" selected="0">
            <x v="0"/>
          </reference>
          <reference field="6" count="1" selected="0">
            <x v="1"/>
          </reference>
          <reference field="7" count="1" selected="0">
            <x v="23"/>
          </reference>
          <reference field="8" count="1" selected="0">
            <x v="98"/>
          </reference>
          <reference field="15" count="1">
            <x v="43"/>
          </reference>
        </references>
      </pivotArea>
    </format>
    <format dxfId="5382">
      <pivotArea dataOnly="0" labelOnly="1" fieldPosition="0">
        <references count="5">
          <reference field="4" count="1" selected="0">
            <x v="0"/>
          </reference>
          <reference field="6" count="1" selected="0">
            <x v="1"/>
          </reference>
          <reference field="7" count="1" selected="0">
            <x v="23"/>
          </reference>
          <reference field="8" count="1" selected="0">
            <x v="99"/>
          </reference>
          <reference field="15" count="1">
            <x v="254"/>
          </reference>
        </references>
      </pivotArea>
    </format>
    <format dxfId="5381">
      <pivotArea dataOnly="0" labelOnly="1" fieldPosition="0">
        <references count="5">
          <reference field="4" count="1" selected="0">
            <x v="0"/>
          </reference>
          <reference field="6" count="1" selected="0">
            <x v="1"/>
          </reference>
          <reference field="7" count="1" selected="0">
            <x v="23"/>
          </reference>
          <reference field="8" count="1" selected="0">
            <x v="100"/>
          </reference>
          <reference field="15" count="1">
            <x v="253"/>
          </reference>
        </references>
      </pivotArea>
    </format>
    <format dxfId="5380">
      <pivotArea dataOnly="0" labelOnly="1" fieldPosition="0">
        <references count="5">
          <reference field="4" count="1" selected="0">
            <x v="0"/>
          </reference>
          <reference field="6" count="1" selected="0">
            <x v="1"/>
          </reference>
          <reference field="7" count="1" selected="0">
            <x v="23"/>
          </reference>
          <reference field="8" count="1" selected="0">
            <x v="101"/>
          </reference>
          <reference field="15" count="1">
            <x v="255"/>
          </reference>
        </references>
      </pivotArea>
    </format>
    <format dxfId="5379">
      <pivotArea dataOnly="0" labelOnly="1" fieldPosition="0">
        <references count="5">
          <reference field="4" count="1" selected="0">
            <x v="0"/>
          </reference>
          <reference field="6" count="1" selected="0">
            <x v="1"/>
          </reference>
          <reference field="7" count="1" selected="0">
            <x v="23"/>
          </reference>
          <reference field="8" count="1" selected="0">
            <x v="102"/>
          </reference>
          <reference field="15" count="1">
            <x v="40"/>
          </reference>
        </references>
      </pivotArea>
    </format>
    <format dxfId="5378">
      <pivotArea dataOnly="0" labelOnly="1" fieldPosition="0">
        <references count="5">
          <reference field="4" count="1" selected="0">
            <x v="0"/>
          </reference>
          <reference field="6" count="1" selected="0">
            <x v="1"/>
          </reference>
          <reference field="7" count="1" selected="0">
            <x v="23"/>
          </reference>
          <reference field="8" count="1" selected="0">
            <x v="103"/>
          </reference>
          <reference field="15" count="1">
            <x v="252"/>
          </reference>
        </references>
      </pivotArea>
    </format>
    <format dxfId="5377">
      <pivotArea dataOnly="0" labelOnly="1" fieldPosition="0">
        <references count="5">
          <reference field="4" count="1" selected="0">
            <x v="0"/>
          </reference>
          <reference field="6" count="1" selected="0">
            <x v="1"/>
          </reference>
          <reference field="7" count="1" selected="0">
            <x v="23"/>
          </reference>
          <reference field="8" count="1" selected="0">
            <x v="104"/>
          </reference>
          <reference field="15" count="1">
            <x v="256"/>
          </reference>
        </references>
      </pivotArea>
    </format>
    <format dxfId="5376">
      <pivotArea dataOnly="0" labelOnly="1" fieldPosition="0">
        <references count="5">
          <reference field="4" count="1" selected="0">
            <x v="0"/>
          </reference>
          <reference field="6" count="1" selected="0">
            <x v="1"/>
          </reference>
          <reference field="7" count="1" selected="0">
            <x v="26"/>
          </reference>
          <reference field="8" count="1" selected="0">
            <x v="131"/>
          </reference>
          <reference field="15" count="1">
            <x v="13"/>
          </reference>
        </references>
      </pivotArea>
    </format>
    <format dxfId="5375">
      <pivotArea dataOnly="0" labelOnly="1" fieldPosition="0">
        <references count="5">
          <reference field="4" count="1" selected="0">
            <x v="1"/>
          </reference>
          <reference field="6" count="1" selected="0">
            <x v="0"/>
          </reference>
          <reference field="7" count="1" selected="0">
            <x v="19"/>
          </reference>
          <reference field="8" count="1" selected="0">
            <x v="81"/>
          </reference>
          <reference field="15" count="1">
            <x v="231"/>
          </reference>
        </references>
      </pivotArea>
    </format>
    <format dxfId="5374">
      <pivotArea dataOnly="0" labelOnly="1" fieldPosition="0">
        <references count="5">
          <reference field="4" count="1" selected="0">
            <x v="1"/>
          </reference>
          <reference field="6" count="1" selected="0">
            <x v="3"/>
          </reference>
          <reference field="7" count="1" selected="0">
            <x v="2"/>
          </reference>
          <reference field="8" count="1" selected="0">
            <x v="7"/>
          </reference>
          <reference field="15" count="5">
            <x v="117"/>
            <x v="124"/>
            <x v="131"/>
            <x v="380"/>
            <x v="400"/>
          </reference>
        </references>
      </pivotArea>
    </format>
    <format dxfId="5373">
      <pivotArea dataOnly="0" labelOnly="1" fieldPosition="0">
        <references count="5">
          <reference field="4" count="1" selected="0">
            <x v="1"/>
          </reference>
          <reference field="6" count="1" selected="0">
            <x v="3"/>
          </reference>
          <reference field="7" count="1" selected="0">
            <x v="2"/>
          </reference>
          <reference field="8" count="1" selected="0">
            <x v="10"/>
          </reference>
          <reference field="15" count="2">
            <x v="17"/>
            <x v="18"/>
          </reference>
        </references>
      </pivotArea>
    </format>
    <format dxfId="5372">
      <pivotArea dataOnly="0" labelOnly="1" fieldPosition="0">
        <references count="5">
          <reference field="4" count="1" selected="0">
            <x v="1"/>
          </reference>
          <reference field="6" count="1" selected="0">
            <x v="3"/>
          </reference>
          <reference field="7" count="1" selected="0">
            <x v="2"/>
          </reference>
          <reference field="8" count="1" selected="0">
            <x v="11"/>
          </reference>
          <reference field="15" count="2">
            <x v="7"/>
            <x v="8"/>
          </reference>
        </references>
      </pivotArea>
    </format>
    <format dxfId="5371">
      <pivotArea dataOnly="0" labelOnly="1" fieldPosition="0">
        <references count="5">
          <reference field="4" count="1" selected="0">
            <x v="1"/>
          </reference>
          <reference field="6" count="1" selected="0">
            <x v="3"/>
          </reference>
          <reference field="7" count="1" selected="0">
            <x v="2"/>
          </reference>
          <reference field="8" count="1" selected="0">
            <x v="12"/>
          </reference>
          <reference field="15" count="1">
            <x v="107"/>
          </reference>
        </references>
      </pivotArea>
    </format>
    <format dxfId="5370">
      <pivotArea dataOnly="0" labelOnly="1" fieldPosition="0">
        <references count="5">
          <reference field="4" count="1" selected="0">
            <x v="1"/>
          </reference>
          <reference field="6" count="1" selected="0">
            <x v="3"/>
          </reference>
          <reference field="7" count="1" selected="0">
            <x v="2"/>
          </reference>
          <reference field="8" count="1" selected="0">
            <x v="13"/>
          </reference>
          <reference field="15" count="1">
            <x v="6"/>
          </reference>
        </references>
      </pivotArea>
    </format>
    <format dxfId="5369">
      <pivotArea dataOnly="0" labelOnly="1" fieldPosition="0">
        <references count="5">
          <reference field="4" count="1" selected="0">
            <x v="1"/>
          </reference>
          <reference field="6" count="1" selected="0">
            <x v="3"/>
          </reference>
          <reference field="7" count="1" selected="0">
            <x v="2"/>
          </reference>
          <reference field="8" count="1" selected="0">
            <x v="14"/>
          </reference>
          <reference field="15" count="2">
            <x v="46"/>
            <x v="47"/>
          </reference>
        </references>
      </pivotArea>
    </format>
    <format dxfId="5368">
      <pivotArea dataOnly="0" labelOnly="1" fieldPosition="0">
        <references count="5">
          <reference field="4" count="1" selected="0">
            <x v="1"/>
          </reference>
          <reference field="6" count="1" selected="0">
            <x v="3"/>
          </reference>
          <reference field="7" count="1" selected="0">
            <x v="2"/>
          </reference>
          <reference field="8" count="1" selected="0">
            <x v="15"/>
          </reference>
          <reference field="15" count="1">
            <x v="372"/>
          </reference>
        </references>
      </pivotArea>
    </format>
    <format dxfId="5367">
      <pivotArea dataOnly="0" labelOnly="1" fieldPosition="0">
        <references count="5">
          <reference field="4" count="1" selected="0">
            <x v="1"/>
          </reference>
          <reference field="6" count="1" selected="0">
            <x v="3"/>
          </reference>
          <reference field="7" count="1" selected="0">
            <x v="3"/>
          </reference>
          <reference field="8" count="1" selected="0">
            <x v="18"/>
          </reference>
          <reference field="15" count="1">
            <x v="232"/>
          </reference>
        </references>
      </pivotArea>
    </format>
    <format dxfId="5366">
      <pivotArea dataOnly="0" labelOnly="1" fieldPosition="0">
        <references count="5">
          <reference field="4" count="1" selected="0">
            <x v="1"/>
          </reference>
          <reference field="6" count="1" selected="0">
            <x v="3"/>
          </reference>
          <reference field="7" count="1" selected="0">
            <x v="3"/>
          </reference>
          <reference field="8" count="1" selected="0">
            <x v="19"/>
          </reference>
          <reference field="15" count="1">
            <x v="9"/>
          </reference>
        </references>
      </pivotArea>
    </format>
    <format dxfId="5365">
      <pivotArea dataOnly="0" labelOnly="1" fieldPosition="0">
        <references count="5">
          <reference field="4" count="1" selected="0">
            <x v="1"/>
          </reference>
          <reference field="6" count="1" selected="0">
            <x v="3"/>
          </reference>
          <reference field="7" count="1" selected="0">
            <x v="4"/>
          </reference>
          <reference field="8" count="1" selected="0">
            <x v="20"/>
          </reference>
          <reference field="15" count="1">
            <x v="34"/>
          </reference>
        </references>
      </pivotArea>
    </format>
    <format dxfId="5364">
      <pivotArea dataOnly="0" labelOnly="1" fieldPosition="0">
        <references count="5">
          <reference field="4" count="1" selected="0">
            <x v="1"/>
          </reference>
          <reference field="6" count="1" selected="0">
            <x v="3"/>
          </reference>
          <reference field="7" count="1" selected="0">
            <x v="4"/>
          </reference>
          <reference field="8" count="1" selected="0">
            <x v="21"/>
          </reference>
          <reference field="15" count="1">
            <x v="98"/>
          </reference>
        </references>
      </pivotArea>
    </format>
    <format dxfId="5363">
      <pivotArea dataOnly="0" labelOnly="1" fieldPosition="0">
        <references count="5">
          <reference field="4" count="1" selected="0">
            <x v="1"/>
          </reference>
          <reference field="6" count="1" selected="0">
            <x v="4"/>
          </reference>
          <reference field="7" count="1" selected="0">
            <x v="8"/>
          </reference>
          <reference field="8" count="1" selected="0">
            <x v="33"/>
          </reference>
          <reference field="15" count="1">
            <x v="237"/>
          </reference>
        </references>
      </pivotArea>
    </format>
    <format dxfId="5362">
      <pivotArea dataOnly="0" labelOnly="1" fieldPosition="0">
        <references count="5">
          <reference field="4" count="1" selected="0">
            <x v="1"/>
          </reference>
          <reference field="6" count="1" selected="0">
            <x v="4"/>
          </reference>
          <reference field="7" count="1" selected="0">
            <x v="8"/>
          </reference>
          <reference field="8" count="1" selected="0">
            <x v="34"/>
          </reference>
          <reference field="15" count="1">
            <x v="373"/>
          </reference>
        </references>
      </pivotArea>
    </format>
    <format dxfId="5361">
      <pivotArea dataOnly="0" labelOnly="1" fieldPosition="0">
        <references count="5">
          <reference field="4" count="1" selected="0">
            <x v="1"/>
          </reference>
          <reference field="6" count="1" selected="0">
            <x v="4"/>
          </reference>
          <reference field="7" count="1" selected="0">
            <x v="8"/>
          </reference>
          <reference field="8" count="1" selected="0">
            <x v="39"/>
          </reference>
          <reference field="15" count="2">
            <x v="233"/>
            <x v="234"/>
          </reference>
        </references>
      </pivotArea>
    </format>
    <format dxfId="5360">
      <pivotArea dataOnly="0" labelOnly="1" fieldPosition="0">
        <references count="5">
          <reference field="4" count="1" selected="0">
            <x v="2"/>
          </reference>
          <reference field="6" count="1" selected="0">
            <x v="2"/>
          </reference>
          <reference field="7" count="1" selected="0">
            <x v="29"/>
          </reference>
          <reference field="8" count="1" selected="0">
            <x v="145"/>
          </reference>
          <reference field="15" count="1">
            <x v="377"/>
          </reference>
        </references>
      </pivotArea>
    </format>
    <format dxfId="5359">
      <pivotArea dataOnly="0" labelOnly="1" fieldPosition="0">
        <references count="5">
          <reference field="4" count="1" selected="0">
            <x v="2"/>
          </reference>
          <reference field="6" count="1" selected="0">
            <x v="2"/>
          </reference>
          <reference field="7" count="1" selected="0">
            <x v="29"/>
          </reference>
          <reference field="8" count="1" selected="0">
            <x v="146"/>
          </reference>
          <reference field="15" count="1">
            <x v="139"/>
          </reference>
        </references>
      </pivotArea>
    </format>
    <format dxfId="5358">
      <pivotArea dataOnly="0" labelOnly="1" fieldPosition="0">
        <references count="5">
          <reference field="4" count="1" selected="0">
            <x v="2"/>
          </reference>
          <reference field="6" count="1" selected="0">
            <x v="2"/>
          </reference>
          <reference field="7" count="1" selected="0">
            <x v="29"/>
          </reference>
          <reference field="8" count="1" selected="0">
            <x v="147"/>
          </reference>
          <reference field="15" count="1">
            <x v="127"/>
          </reference>
        </references>
      </pivotArea>
    </format>
    <format dxfId="5357">
      <pivotArea dataOnly="0" labelOnly="1" fieldPosition="0">
        <references count="5">
          <reference field="4" count="1" selected="0">
            <x v="2"/>
          </reference>
          <reference field="6" count="1" selected="0">
            <x v="2"/>
          </reference>
          <reference field="7" count="1" selected="0">
            <x v="29"/>
          </reference>
          <reference field="8" count="1" selected="0">
            <x v="148"/>
          </reference>
          <reference field="15" count="1">
            <x v="142"/>
          </reference>
        </references>
      </pivotArea>
    </format>
    <format dxfId="5356">
      <pivotArea dataOnly="0" labelOnly="1" fieldPosition="0">
        <references count="5">
          <reference field="4" count="1" selected="0">
            <x v="2"/>
          </reference>
          <reference field="6" count="1" selected="0">
            <x v="2"/>
          </reference>
          <reference field="7" count="1" selected="0">
            <x v="29"/>
          </reference>
          <reference field="8" count="1" selected="0">
            <x v="149"/>
          </reference>
          <reference field="15" count="1">
            <x v="140"/>
          </reference>
        </references>
      </pivotArea>
    </format>
    <format dxfId="5355">
      <pivotArea dataOnly="0" labelOnly="1" fieldPosition="0">
        <references count="5">
          <reference field="4" count="1" selected="0">
            <x v="2"/>
          </reference>
          <reference field="6" count="1" selected="0">
            <x v="2"/>
          </reference>
          <reference field="7" count="1" selected="0">
            <x v="29"/>
          </reference>
          <reference field="8" count="1" selected="0">
            <x v="150"/>
          </reference>
          <reference field="15" count="1">
            <x v="144"/>
          </reference>
        </references>
      </pivotArea>
    </format>
    <format dxfId="5354">
      <pivotArea dataOnly="0" labelOnly="1" fieldPosition="0">
        <references count="5">
          <reference field="4" count="1" selected="0">
            <x v="2"/>
          </reference>
          <reference field="6" count="1" selected="0">
            <x v="2"/>
          </reference>
          <reference field="7" count="1" selected="0">
            <x v="30"/>
          </reference>
          <reference field="8" count="1" selected="0">
            <x v="152"/>
          </reference>
          <reference field="15" count="2">
            <x v="128"/>
            <x v="129"/>
          </reference>
        </references>
      </pivotArea>
    </format>
    <format dxfId="5353">
      <pivotArea dataOnly="0" labelOnly="1" fieldPosition="0">
        <references count="5">
          <reference field="4" count="1" selected="0">
            <x v="2"/>
          </reference>
          <reference field="6" count="1" selected="0">
            <x v="2"/>
          </reference>
          <reference field="7" count="1" selected="0">
            <x v="30"/>
          </reference>
          <reference field="8" count="1" selected="0">
            <x v="153"/>
          </reference>
          <reference field="15" count="1">
            <x v="141"/>
          </reference>
        </references>
      </pivotArea>
    </format>
    <format dxfId="5352">
      <pivotArea dataOnly="0" labelOnly="1" fieldPosition="0">
        <references count="5">
          <reference field="4" count="1" selected="0">
            <x v="2"/>
          </reference>
          <reference field="6" count="1" selected="0">
            <x v="3"/>
          </reference>
          <reference field="7" count="1" selected="0">
            <x v="5"/>
          </reference>
          <reference field="8" count="1" selected="0">
            <x v="24"/>
          </reference>
          <reference field="15" count="1">
            <x v="339"/>
          </reference>
        </references>
      </pivotArea>
    </format>
    <format dxfId="5351">
      <pivotArea dataOnly="0" labelOnly="1" fieldPosition="0">
        <references count="5">
          <reference field="4" count="1" selected="0">
            <x v="2"/>
          </reference>
          <reference field="6" count="1" selected="0">
            <x v="3"/>
          </reference>
          <reference field="7" count="1" selected="0">
            <x v="7"/>
          </reference>
          <reference field="8" count="1" selected="0">
            <x v="31"/>
          </reference>
          <reference field="15" count="2">
            <x v="391"/>
            <x v="392"/>
          </reference>
        </references>
      </pivotArea>
    </format>
    <format dxfId="5350">
      <pivotArea dataOnly="0" labelOnly="1" fieldPosition="0">
        <references count="5">
          <reference field="4" count="1" selected="0">
            <x v="2"/>
          </reference>
          <reference field="6" count="1" selected="0">
            <x v="3"/>
          </reference>
          <reference field="7" count="1" selected="0">
            <x v="7"/>
          </reference>
          <reference field="8" count="1" selected="0">
            <x v="32"/>
          </reference>
          <reference field="15" count="1">
            <x v="371"/>
          </reference>
        </references>
      </pivotArea>
    </format>
    <format dxfId="5349">
      <pivotArea dataOnly="0" labelOnly="1" fieldPosition="0">
        <references count="5">
          <reference field="4" count="1" selected="0">
            <x v="2"/>
          </reference>
          <reference field="6" count="1" selected="0">
            <x v="4"/>
          </reference>
          <reference field="7" count="1" selected="0">
            <x v="8"/>
          </reference>
          <reference field="8" count="1" selected="0">
            <x v="36"/>
          </reference>
          <reference field="15" count="1">
            <x v="379"/>
          </reference>
        </references>
      </pivotArea>
    </format>
    <format dxfId="5348">
      <pivotArea dataOnly="0" labelOnly="1" fieldPosition="0">
        <references count="5">
          <reference field="4" count="1" selected="0">
            <x v="2"/>
          </reference>
          <reference field="6" count="1" selected="0">
            <x v="4"/>
          </reference>
          <reference field="7" count="1" selected="0">
            <x v="8"/>
          </reference>
          <reference field="8" count="1" selected="0">
            <x v="39"/>
          </reference>
          <reference field="15" count="1">
            <x v="378"/>
          </reference>
        </references>
      </pivotArea>
    </format>
    <format dxfId="5347">
      <pivotArea dataOnly="0" labelOnly="1" fieldPosition="0">
        <references count="5">
          <reference field="4" count="1" selected="0">
            <x v="3"/>
          </reference>
          <reference field="6" count="1" selected="0">
            <x v="3"/>
          </reference>
          <reference field="7" count="1" selected="0">
            <x v="6"/>
          </reference>
          <reference field="8" count="1" selected="0">
            <x v="29"/>
          </reference>
          <reference field="15" count="41">
            <x v="0"/>
            <x v="1"/>
            <x v="167"/>
            <x v="175"/>
            <x v="176"/>
            <x v="177"/>
            <x v="178"/>
            <x v="179"/>
            <x v="180"/>
            <x v="181"/>
            <x v="182"/>
            <x v="201"/>
            <x v="202"/>
            <x v="205"/>
            <x v="206"/>
            <x v="207"/>
            <x v="208"/>
            <x v="209"/>
            <x v="210"/>
            <x v="211"/>
            <x v="212"/>
            <x v="213"/>
            <x v="214"/>
            <x v="215"/>
            <x v="216"/>
            <x v="217"/>
            <x v="218"/>
            <x v="219"/>
            <x v="220"/>
            <x v="221"/>
            <x v="224"/>
            <x v="225"/>
            <x v="226"/>
            <x v="227"/>
            <x v="228"/>
            <x v="393"/>
            <x v="394"/>
            <x v="396"/>
            <x v="397"/>
            <x v="398"/>
            <x v="399"/>
          </reference>
        </references>
      </pivotArea>
    </format>
    <format dxfId="5346">
      <pivotArea dataOnly="0" labelOnly="1" fieldPosition="0">
        <references count="5">
          <reference field="4" count="1" selected="0">
            <x v="4"/>
          </reference>
          <reference field="6" count="1" selected="0">
            <x v="0"/>
          </reference>
          <reference field="7" count="1" selected="0">
            <x v="21"/>
          </reference>
          <reference field="8" count="1" selected="0">
            <x v="87"/>
          </reference>
          <reference field="15" count="8">
            <x v="126"/>
            <x v="293"/>
            <x v="305"/>
            <x v="306"/>
            <x v="317"/>
            <x v="388"/>
            <x v="389"/>
            <x v="390"/>
          </reference>
        </references>
      </pivotArea>
    </format>
    <format dxfId="5345">
      <pivotArea dataOnly="0" labelOnly="1" fieldPosition="0">
        <references count="5">
          <reference field="4" count="1" selected="0">
            <x v="4"/>
          </reference>
          <reference field="6" count="1" selected="0">
            <x v="0"/>
          </reference>
          <reference field="7" count="1" selected="0">
            <x v="21"/>
          </reference>
          <reference field="8" count="1" selected="0">
            <x v="88"/>
          </reference>
          <reference field="15" count="3">
            <x v="291"/>
            <x v="292"/>
            <x v="301"/>
          </reference>
        </references>
      </pivotArea>
    </format>
    <format dxfId="5344">
      <pivotArea dataOnly="0" labelOnly="1" fieldPosition="0">
        <references count="5">
          <reference field="4" count="1" selected="0">
            <x v="4"/>
          </reference>
          <reference field="6" count="1" selected="0">
            <x v="0"/>
          </reference>
          <reference field="7" count="1" selected="0">
            <x v="21"/>
          </reference>
          <reference field="8" count="1" selected="0">
            <x v="89"/>
          </reference>
          <reference field="15" count="1">
            <x v="310"/>
          </reference>
        </references>
      </pivotArea>
    </format>
    <format dxfId="5343">
      <pivotArea dataOnly="0" labelOnly="1" fieldPosition="0">
        <references count="5">
          <reference field="4" count="1" selected="0">
            <x v="4"/>
          </reference>
          <reference field="6" count="1" selected="0">
            <x v="0"/>
          </reference>
          <reference field="7" count="1" selected="0">
            <x v="21"/>
          </reference>
          <reference field="8" count="1" selected="0">
            <x v="90"/>
          </reference>
          <reference field="15" count="1">
            <x v="385"/>
          </reference>
        </references>
      </pivotArea>
    </format>
    <format dxfId="5342">
      <pivotArea dataOnly="0" labelOnly="1" fieldPosition="0">
        <references count="5">
          <reference field="4" count="1" selected="0">
            <x v="4"/>
          </reference>
          <reference field="6" count="1" selected="0">
            <x v="0"/>
          </reference>
          <reference field="7" count="1" selected="0">
            <x v="21"/>
          </reference>
          <reference field="8" count="1" selected="0">
            <x v="91"/>
          </reference>
          <reference field="15" count="2">
            <x v="264"/>
            <x v="265"/>
          </reference>
        </references>
      </pivotArea>
    </format>
    <format dxfId="5341">
      <pivotArea dataOnly="0" labelOnly="1" fieldPosition="0">
        <references count="5">
          <reference field="4" count="1" selected="0">
            <x v="4"/>
          </reference>
          <reference field="6" count="1" selected="0">
            <x v="1"/>
          </reference>
          <reference field="7" count="1" selected="0">
            <x v="24"/>
          </reference>
          <reference field="8" count="1" selected="0">
            <x v="114"/>
          </reference>
          <reference field="15" count="1">
            <x v="263"/>
          </reference>
        </references>
      </pivotArea>
    </format>
    <format dxfId="5340">
      <pivotArea dataOnly="0" labelOnly="1" fieldPosition="0">
        <references count="5">
          <reference field="4" count="1" selected="0">
            <x v="4"/>
          </reference>
          <reference field="6" count="1" selected="0">
            <x v="2"/>
          </reference>
          <reference field="7" count="1" selected="0">
            <x v="29"/>
          </reference>
          <reference field="8" count="1" selected="0">
            <x v="142"/>
          </reference>
          <reference field="15" count="1">
            <x v="283"/>
          </reference>
        </references>
      </pivotArea>
    </format>
    <format dxfId="5339">
      <pivotArea dataOnly="0" labelOnly="1" fieldPosition="0">
        <references count="5">
          <reference field="4" count="1" selected="0">
            <x v="4"/>
          </reference>
          <reference field="6" count="1" selected="0">
            <x v="2"/>
          </reference>
          <reference field="7" count="1" selected="0">
            <x v="29"/>
          </reference>
          <reference field="8" count="1" selected="0">
            <x v="143"/>
          </reference>
          <reference field="15" count="2">
            <x v="289"/>
            <x v="314"/>
          </reference>
        </references>
      </pivotArea>
    </format>
    <format dxfId="5338">
      <pivotArea dataOnly="0" labelOnly="1" fieldPosition="0">
        <references count="5">
          <reference field="4" count="1" selected="0">
            <x v="4"/>
          </reference>
          <reference field="6" count="1" selected="0">
            <x v="2"/>
          </reference>
          <reference field="7" count="1" selected="0">
            <x v="29"/>
          </reference>
          <reference field="8" count="1" selected="0">
            <x v="151"/>
          </reference>
          <reference field="15" count="1">
            <x v="387"/>
          </reference>
        </references>
      </pivotArea>
    </format>
    <format dxfId="5337">
      <pivotArea dataOnly="0" labelOnly="1" fieldPosition="0">
        <references count="5">
          <reference field="4" count="1" selected="0">
            <x v="4"/>
          </reference>
          <reference field="6" count="1" selected="0">
            <x v="2"/>
          </reference>
          <reference field="7" count="1" selected="0">
            <x v="31"/>
          </reference>
          <reference field="8" count="1" selected="0">
            <x v="155"/>
          </reference>
          <reference field="15" count="4">
            <x v="235"/>
            <x v="303"/>
            <x v="374"/>
            <x v="386"/>
          </reference>
        </references>
      </pivotArea>
    </format>
    <format dxfId="5336">
      <pivotArea dataOnly="0" labelOnly="1" fieldPosition="0">
        <references count="5">
          <reference field="4" count="1" selected="0">
            <x v="4"/>
          </reference>
          <reference field="6" count="1" selected="0">
            <x v="2"/>
          </reference>
          <reference field="7" count="1" selected="0">
            <x v="31"/>
          </reference>
          <reference field="8" count="1" selected="0">
            <x v="156"/>
          </reference>
          <reference field="15" count="1">
            <x v="304"/>
          </reference>
        </references>
      </pivotArea>
    </format>
    <format dxfId="5335">
      <pivotArea dataOnly="0" labelOnly="1" fieldPosition="0">
        <references count="5">
          <reference field="4" count="1" selected="0">
            <x v="4"/>
          </reference>
          <reference field="6" count="1" selected="0">
            <x v="2"/>
          </reference>
          <reference field="7" count="1" selected="0">
            <x v="31"/>
          </reference>
          <reference field="8" count="1" selected="0">
            <x v="157"/>
          </reference>
          <reference field="15" count="1">
            <x v="302"/>
          </reference>
        </references>
      </pivotArea>
    </format>
    <format dxfId="5334">
      <pivotArea dataOnly="0" labelOnly="1" fieldPosition="0">
        <references count="5">
          <reference field="4" count="1" selected="0">
            <x v="4"/>
          </reference>
          <reference field="6" count="1" selected="0">
            <x v="3"/>
          </reference>
          <reference field="7" count="1" selected="0">
            <x v="0"/>
          </reference>
          <reference field="8" count="1" selected="0">
            <x v="0"/>
          </reference>
          <reference field="15" count="2">
            <x v="125"/>
            <x v="269"/>
          </reference>
        </references>
      </pivotArea>
    </format>
    <format dxfId="5333">
      <pivotArea dataOnly="0" labelOnly="1" fieldPosition="0">
        <references count="5">
          <reference field="4" count="1" selected="0">
            <x v="4"/>
          </reference>
          <reference field="6" count="1" selected="0">
            <x v="3"/>
          </reference>
          <reference field="7" count="1" selected="0">
            <x v="0"/>
          </reference>
          <reference field="8" count="1" selected="0">
            <x v="1"/>
          </reference>
          <reference field="15" count="1">
            <x v="382"/>
          </reference>
        </references>
      </pivotArea>
    </format>
    <format dxfId="5332">
      <pivotArea dataOnly="0" labelOnly="1" fieldPosition="0">
        <references count="5">
          <reference field="4" count="1" selected="0">
            <x v="4"/>
          </reference>
          <reference field="6" count="1" selected="0">
            <x v="3"/>
          </reference>
          <reference field="7" count="1" selected="0">
            <x v="1"/>
          </reference>
          <reference field="8" count="1" selected="0">
            <x v="2"/>
          </reference>
          <reference field="15" count="1">
            <x v="282"/>
          </reference>
        </references>
      </pivotArea>
    </format>
    <format dxfId="5331">
      <pivotArea dataOnly="0" labelOnly="1" fieldPosition="0">
        <references count="5">
          <reference field="4" count="1" selected="0">
            <x v="4"/>
          </reference>
          <reference field="6" count="1" selected="0">
            <x v="3"/>
          </reference>
          <reference field="7" count="1" selected="0">
            <x v="1"/>
          </reference>
          <reference field="8" count="1" selected="0">
            <x v="3"/>
          </reference>
          <reference field="15" count="1">
            <x v="384"/>
          </reference>
        </references>
      </pivotArea>
    </format>
    <format dxfId="5330">
      <pivotArea dataOnly="0" labelOnly="1" fieldPosition="0">
        <references count="5">
          <reference field="4" count="1" selected="0">
            <x v="4"/>
          </reference>
          <reference field="6" count="1" selected="0">
            <x v="3"/>
          </reference>
          <reference field="7" count="1" selected="0">
            <x v="1"/>
          </reference>
          <reference field="8" count="1" selected="0">
            <x v="4"/>
          </reference>
          <reference field="15" count="1">
            <x v="298"/>
          </reference>
        </references>
      </pivotArea>
    </format>
    <format dxfId="5329">
      <pivotArea dataOnly="0" labelOnly="1" fieldPosition="0">
        <references count="5">
          <reference field="4" count="1" selected="0">
            <x v="4"/>
          </reference>
          <reference field="6" count="1" selected="0">
            <x v="3"/>
          </reference>
          <reference field="7" count="1" selected="0">
            <x v="1"/>
          </reference>
          <reference field="8" count="1" selected="0">
            <x v="5"/>
          </reference>
          <reference field="15" count="2">
            <x v="381"/>
            <x v="383"/>
          </reference>
        </references>
      </pivotArea>
    </format>
    <format dxfId="5328">
      <pivotArea dataOnly="0" labelOnly="1" fieldPosition="0">
        <references count="5">
          <reference field="4" count="1" selected="0">
            <x v="5"/>
          </reference>
          <reference field="6" count="1" selected="0">
            <x v="0"/>
          </reference>
          <reference field="7" count="1" selected="0">
            <x v="18"/>
          </reference>
          <reference field="8" count="1" selected="0">
            <x v="73"/>
          </reference>
          <reference field="15" count="3">
            <x v="245"/>
            <x v="246"/>
            <x v="313"/>
          </reference>
        </references>
      </pivotArea>
    </format>
    <format dxfId="5327">
      <pivotArea dataOnly="0" labelOnly="1" fieldPosition="0">
        <references count="5">
          <reference field="4" count="1" selected="0">
            <x v="5"/>
          </reference>
          <reference field="6" count="1" selected="0">
            <x v="0"/>
          </reference>
          <reference field="7" count="1" selected="0">
            <x v="18"/>
          </reference>
          <reference field="8" count="1" selected="0">
            <x v="74"/>
          </reference>
          <reference field="15" count="1">
            <x v="230"/>
          </reference>
        </references>
      </pivotArea>
    </format>
    <format dxfId="5326">
      <pivotArea dataOnly="0" labelOnly="1" fieldPosition="0">
        <references count="5">
          <reference field="4" count="1" selected="0">
            <x v="5"/>
          </reference>
          <reference field="6" count="1" selected="0">
            <x v="0"/>
          </reference>
          <reference field="7" count="1" selected="0">
            <x v="18"/>
          </reference>
          <reference field="8" count="1" selected="0">
            <x v="77"/>
          </reference>
          <reference field="15" count="2">
            <x v="276"/>
            <x v="277"/>
          </reference>
        </references>
      </pivotArea>
    </format>
    <format dxfId="5325">
      <pivotArea dataOnly="0" labelOnly="1" fieldPosition="0">
        <references count="5">
          <reference field="4" count="1" selected="0">
            <x v="5"/>
          </reference>
          <reference field="6" count="1" selected="0">
            <x v="0"/>
          </reference>
          <reference field="7" count="1" selected="0">
            <x v="22"/>
          </reference>
          <reference field="8" count="1" selected="0">
            <x v="94"/>
          </reference>
          <reference field="15" count="1">
            <x v="164"/>
          </reference>
        </references>
      </pivotArea>
    </format>
    <format dxfId="5324">
      <pivotArea dataOnly="0" labelOnly="1" fieldPosition="0">
        <references count="5">
          <reference field="4" count="1" selected="0">
            <x v="5"/>
          </reference>
          <reference field="6" count="1" selected="0">
            <x v="4"/>
          </reference>
          <reference field="7" count="1" selected="0">
            <x v="8"/>
          </reference>
          <reference field="8" count="1" selected="0">
            <x v="37"/>
          </reference>
          <reference field="15" count="1">
            <x v="222"/>
          </reference>
        </references>
      </pivotArea>
    </format>
    <format dxfId="5323">
      <pivotArea dataOnly="0" labelOnly="1" fieldPosition="0">
        <references count="5">
          <reference field="4" count="1" selected="0">
            <x v="6"/>
          </reference>
          <reference field="6" count="1" selected="0">
            <x v="1"/>
          </reference>
          <reference field="7" count="1" selected="0">
            <x v="24"/>
          </reference>
          <reference field="8" count="1" selected="0">
            <x v="105"/>
          </reference>
          <reference field="15" count="13">
            <x v="24"/>
            <x v="25"/>
            <x v="31"/>
            <x v="37"/>
            <x v="44"/>
            <x v="45"/>
            <x v="48"/>
            <x v="49"/>
            <x v="50"/>
            <x v="56"/>
            <x v="66"/>
            <x v="100"/>
            <x v="101"/>
          </reference>
        </references>
      </pivotArea>
    </format>
    <format dxfId="5322">
      <pivotArea dataOnly="0" labelOnly="1" fieldPosition="0">
        <references count="5">
          <reference field="4" count="1" selected="0">
            <x v="6"/>
          </reference>
          <reference field="6" count="1" selected="0">
            <x v="1"/>
          </reference>
          <reference field="7" count="1" selected="0">
            <x v="24"/>
          </reference>
          <reference field="8" count="1" selected="0">
            <x v="107"/>
          </reference>
          <reference field="15" count="3">
            <x v="118"/>
            <x v="123"/>
            <x v="165"/>
          </reference>
        </references>
      </pivotArea>
    </format>
    <format dxfId="5321">
      <pivotArea dataOnly="0" labelOnly="1" fieldPosition="0">
        <references count="5">
          <reference field="4" count="1" selected="0">
            <x v="6"/>
          </reference>
          <reference field="6" count="1" selected="0">
            <x v="1"/>
          </reference>
          <reference field="7" count="1" selected="0">
            <x v="24"/>
          </reference>
          <reference field="8" count="1" selected="0">
            <x v="108"/>
          </reference>
          <reference field="15" count="2">
            <x v="97"/>
            <x v="119"/>
          </reference>
        </references>
      </pivotArea>
    </format>
    <format dxfId="5320">
      <pivotArea dataOnly="0" labelOnly="1" fieldPosition="0">
        <references count="5">
          <reference field="4" count="1" selected="0">
            <x v="6"/>
          </reference>
          <reference field="6" count="1" selected="0">
            <x v="1"/>
          </reference>
          <reference field="7" count="1" selected="0">
            <x v="24"/>
          </reference>
          <reference field="8" count="1" selected="0">
            <x v="109"/>
          </reference>
          <reference field="15" count="2">
            <x v="96"/>
            <x v="327"/>
          </reference>
        </references>
      </pivotArea>
    </format>
    <format dxfId="5319">
      <pivotArea dataOnly="0" labelOnly="1" fieldPosition="0">
        <references count="5">
          <reference field="4" count="1" selected="0">
            <x v="6"/>
          </reference>
          <reference field="6" count="1" selected="0">
            <x v="1"/>
          </reference>
          <reference field="7" count="1" selected="0">
            <x v="24"/>
          </reference>
          <reference field="8" count="1" selected="0">
            <x v="110"/>
          </reference>
          <reference field="15" count="2">
            <x v="115"/>
            <x v="324"/>
          </reference>
        </references>
      </pivotArea>
    </format>
    <format dxfId="5318">
      <pivotArea dataOnly="0" labelOnly="1" fieldPosition="0">
        <references count="5">
          <reference field="4" count="1" selected="0">
            <x v="6"/>
          </reference>
          <reference field="6" count="1" selected="0">
            <x v="1"/>
          </reference>
          <reference field="7" count="1" selected="0">
            <x v="24"/>
          </reference>
          <reference field="8" count="1" selected="0">
            <x v="111"/>
          </reference>
          <reference field="15" count="1">
            <x v="326"/>
          </reference>
        </references>
      </pivotArea>
    </format>
    <format dxfId="5317">
      <pivotArea dataOnly="0" labelOnly="1" fieldPosition="0">
        <references count="5">
          <reference field="4" count="1" selected="0">
            <x v="6"/>
          </reference>
          <reference field="6" count="1" selected="0">
            <x v="1"/>
          </reference>
          <reference field="7" count="1" selected="0">
            <x v="24"/>
          </reference>
          <reference field="8" count="1" selected="0">
            <x v="112"/>
          </reference>
          <reference field="15" count="5">
            <x v="80"/>
            <x v="120"/>
            <x v="121"/>
            <x v="122"/>
            <x v="135"/>
          </reference>
        </references>
      </pivotArea>
    </format>
    <format dxfId="5316">
      <pivotArea dataOnly="0" labelOnly="1" fieldPosition="0">
        <references count="5">
          <reference field="4" count="1" selected="0">
            <x v="6"/>
          </reference>
          <reference field="6" count="1" selected="0">
            <x v="1"/>
          </reference>
          <reference field="7" count="1" selected="0">
            <x v="24"/>
          </reference>
          <reference field="8" count="1" selected="0">
            <x v="113"/>
          </reference>
          <reference field="15" count="3">
            <x v="67"/>
            <x v="84"/>
            <x v="166"/>
          </reference>
        </references>
      </pivotArea>
    </format>
    <format dxfId="5315">
      <pivotArea dataOnly="0" labelOnly="1" fieldPosition="0">
        <references count="5">
          <reference field="4" count="1" selected="0">
            <x v="7"/>
          </reference>
          <reference field="6" count="1" selected="0">
            <x v="0"/>
          </reference>
          <reference field="7" count="1" selected="0">
            <x v="16"/>
          </reference>
          <reference field="8" count="1" selected="0">
            <x v="64"/>
          </reference>
          <reference field="15" count="3">
            <x v="274"/>
            <x v="278"/>
            <x v="325"/>
          </reference>
        </references>
      </pivotArea>
    </format>
    <format dxfId="5314">
      <pivotArea dataOnly="0" labelOnly="1" fieldPosition="0">
        <references count="5">
          <reference field="4" count="1" selected="0">
            <x v="7"/>
          </reference>
          <reference field="6" count="1" selected="0">
            <x v="2"/>
          </reference>
          <reference field="7" count="1" selected="0">
            <x v="29"/>
          </reference>
          <reference field="8" count="1" selected="0">
            <x v="140"/>
          </reference>
          <reference field="15" count="1">
            <x v="53"/>
          </reference>
        </references>
      </pivotArea>
    </format>
    <format dxfId="5313">
      <pivotArea dataOnly="0" labelOnly="1" fieldPosition="0">
        <references count="5">
          <reference field="4" count="1" selected="0">
            <x v="7"/>
          </reference>
          <reference field="6" count="1" selected="0">
            <x v="2"/>
          </reference>
          <reference field="7" count="1" selected="0">
            <x v="29"/>
          </reference>
          <reference field="8" count="1" selected="0">
            <x v="141"/>
          </reference>
          <reference field="15" count="1">
            <x v="279"/>
          </reference>
        </references>
      </pivotArea>
    </format>
    <format dxfId="5312">
      <pivotArea dataOnly="0" labelOnly="1" fieldPosition="0">
        <references count="5">
          <reference field="4" count="1" selected="0">
            <x v="7"/>
          </reference>
          <reference field="6" count="1" selected="0">
            <x v="2"/>
          </reference>
          <reference field="7" count="1" selected="0">
            <x v="29"/>
          </reference>
          <reference field="8" count="1" selected="0">
            <x v="144"/>
          </reference>
          <reference field="15" count="1">
            <x v="52"/>
          </reference>
        </references>
      </pivotArea>
    </format>
    <format dxfId="5311">
      <pivotArea dataOnly="0" labelOnly="1" fieldPosition="0">
        <references count="5">
          <reference field="4" count="1" selected="0">
            <x v="7"/>
          </reference>
          <reference field="6" count="1" selected="0">
            <x v="2"/>
          </reference>
          <reference field="7" count="1" selected="0">
            <x v="29"/>
          </reference>
          <reference field="8" count="1" selected="0">
            <x v="145"/>
          </reference>
          <reference field="15" count="1">
            <x v="51"/>
          </reference>
        </references>
      </pivotArea>
    </format>
    <format dxfId="5310">
      <pivotArea dataOnly="0" labelOnly="1" fieldPosition="0">
        <references count="5">
          <reference field="4" count="1" selected="0">
            <x v="7"/>
          </reference>
          <reference field="6" count="1" selected="0">
            <x v="2"/>
          </reference>
          <reference field="7" count="1" selected="0">
            <x v="30"/>
          </reference>
          <reference field="8" count="1" selected="0">
            <x v="154"/>
          </reference>
          <reference field="15" count="1">
            <x v="275"/>
          </reference>
        </references>
      </pivotArea>
    </format>
    <format dxfId="5309">
      <pivotArea dataOnly="0" labelOnly="1" fieldPosition="0">
        <references count="5">
          <reference field="4" count="1" selected="0">
            <x v="7"/>
          </reference>
          <reference field="6" count="1" selected="0">
            <x v="3"/>
          </reference>
          <reference field="7" count="1" selected="0">
            <x v="6"/>
          </reference>
          <reference field="8" count="1" selected="0">
            <x v="28"/>
          </reference>
          <reference field="15" count="3">
            <x v="318"/>
            <x v="319"/>
            <x v="320"/>
          </reference>
        </references>
      </pivotArea>
    </format>
    <format dxfId="5308">
      <pivotArea dataOnly="0" labelOnly="1" fieldPosition="0">
        <references count="5">
          <reference field="4" count="1" selected="0">
            <x v="7"/>
          </reference>
          <reference field="6" count="1" selected="0">
            <x v="4"/>
          </reference>
          <reference field="7" count="1" selected="0">
            <x v="8"/>
          </reference>
          <reference field="8" count="1" selected="0">
            <x v="35"/>
          </reference>
          <reference field="15" count="1">
            <x v="337"/>
          </reference>
        </references>
      </pivotArea>
    </format>
    <format dxfId="5307">
      <pivotArea dataOnly="0" labelOnly="1" fieldPosition="0">
        <references count="5">
          <reference field="4" count="1" selected="0">
            <x v="7"/>
          </reference>
          <reference field="6" count="1" selected="0">
            <x v="4"/>
          </reference>
          <reference field="7" count="1" selected="0">
            <x v="8"/>
          </reference>
          <reference field="8" count="1" selected="0">
            <x v="36"/>
          </reference>
          <reference field="15" count="1">
            <x v="280"/>
          </reference>
        </references>
      </pivotArea>
    </format>
    <format dxfId="5306">
      <pivotArea dataOnly="0" labelOnly="1" fieldPosition="0">
        <references count="5">
          <reference field="4" count="1" selected="0">
            <x v="7"/>
          </reference>
          <reference field="6" count="1" selected="0">
            <x v="4"/>
          </reference>
          <reference field="7" count="1" selected="0">
            <x v="9"/>
          </reference>
          <reference field="8" count="1" selected="0">
            <x v="40"/>
          </reference>
          <reference field="15" count="3">
            <x v="311"/>
            <x v="312"/>
            <x v="334"/>
          </reference>
        </references>
      </pivotArea>
    </format>
    <format dxfId="5305">
      <pivotArea dataOnly="0" labelOnly="1" fieldPosition="0">
        <references count="5">
          <reference field="4" count="1" selected="0">
            <x v="7"/>
          </reference>
          <reference field="6" count="1" selected="0">
            <x v="4"/>
          </reference>
          <reference field="7" count="1" selected="0">
            <x v="9"/>
          </reference>
          <reference field="8" count="1" selected="0">
            <x v="41"/>
          </reference>
          <reference field="15" count="1">
            <x v="328"/>
          </reference>
        </references>
      </pivotArea>
    </format>
    <format dxfId="5304">
      <pivotArea dataOnly="0" labelOnly="1" fieldPosition="0">
        <references count="5">
          <reference field="4" count="1" selected="0">
            <x v="7"/>
          </reference>
          <reference field="6" count="1" selected="0">
            <x v="4"/>
          </reference>
          <reference field="7" count="1" selected="0">
            <x v="9"/>
          </reference>
          <reference field="8" count="1" selected="0">
            <x v="42"/>
          </reference>
          <reference field="15" count="1">
            <x v="329"/>
          </reference>
        </references>
      </pivotArea>
    </format>
    <format dxfId="5303">
      <pivotArea dataOnly="0" labelOnly="1" fieldPosition="0">
        <references count="5">
          <reference field="4" count="1" selected="0">
            <x v="7"/>
          </reference>
          <reference field="6" count="1" selected="0">
            <x v="4"/>
          </reference>
          <reference field="7" count="1" selected="0">
            <x v="9"/>
          </reference>
          <reference field="8" count="1" selected="0">
            <x v="43"/>
          </reference>
          <reference field="15" count="1">
            <x v="321"/>
          </reference>
        </references>
      </pivotArea>
    </format>
    <format dxfId="5302">
      <pivotArea dataOnly="0" labelOnly="1" fieldPosition="0">
        <references count="5">
          <reference field="4" count="1" selected="0">
            <x v="7"/>
          </reference>
          <reference field="6" count="1" selected="0">
            <x v="4"/>
          </reference>
          <reference field="7" count="1" selected="0">
            <x v="10"/>
          </reference>
          <reference field="8" count="1" selected="0">
            <x v="44"/>
          </reference>
          <reference field="15" count="2">
            <x v="57"/>
            <x v="58"/>
          </reference>
        </references>
      </pivotArea>
    </format>
    <format dxfId="5301">
      <pivotArea dataOnly="0" labelOnly="1" fieldPosition="0">
        <references count="5">
          <reference field="4" count="1" selected="0">
            <x v="7"/>
          </reference>
          <reference field="6" count="1" selected="0">
            <x v="4"/>
          </reference>
          <reference field="7" count="1" selected="0">
            <x v="10"/>
          </reference>
          <reference field="8" count="1" selected="0">
            <x v="45"/>
          </reference>
          <reference field="15" count="1">
            <x v="55"/>
          </reference>
        </references>
      </pivotArea>
    </format>
    <format dxfId="5300">
      <pivotArea dataOnly="0" labelOnly="1" fieldPosition="0">
        <references count="5">
          <reference field="4" count="1" selected="0">
            <x v="7"/>
          </reference>
          <reference field="6" count="1" selected="0">
            <x v="4"/>
          </reference>
          <reference field="7" count="1" selected="0">
            <x v="10"/>
          </reference>
          <reference field="8" count="1" selected="0">
            <x v="46"/>
          </reference>
          <reference field="15" count="1">
            <x v="59"/>
          </reference>
        </references>
      </pivotArea>
    </format>
    <format dxfId="5299">
      <pivotArea dataOnly="0" labelOnly="1" fieldPosition="0">
        <references count="5">
          <reference field="4" count="1" selected="0">
            <x v="7"/>
          </reference>
          <reference field="6" count="1" selected="0">
            <x v="4"/>
          </reference>
          <reference field="7" count="1" selected="0">
            <x v="10"/>
          </reference>
          <reference field="8" count="1" selected="0">
            <x v="47"/>
          </reference>
          <reference field="15" count="1">
            <x v="54"/>
          </reference>
        </references>
      </pivotArea>
    </format>
    <format dxfId="5298">
      <pivotArea dataOnly="0" labelOnly="1" fieldPosition="0">
        <references count="5">
          <reference field="4" count="1" selected="0">
            <x v="7"/>
          </reference>
          <reference field="6" count="1" selected="0">
            <x v="4"/>
          </reference>
          <reference field="7" count="1" selected="0">
            <x v="11"/>
          </reference>
          <reference field="8" count="1" selected="0">
            <x v="48"/>
          </reference>
          <reference field="15" count="1">
            <x v="88"/>
          </reference>
        </references>
      </pivotArea>
    </format>
    <format dxfId="5297">
      <pivotArea dataOnly="0" labelOnly="1" fieldPosition="0">
        <references count="5">
          <reference field="4" count="1" selected="0">
            <x v="7"/>
          </reference>
          <reference field="6" count="1" selected="0">
            <x v="4"/>
          </reference>
          <reference field="7" count="1" selected="0">
            <x v="11"/>
          </reference>
          <reference field="8" count="1" selected="0">
            <x v="49"/>
          </reference>
          <reference field="15" count="1">
            <x v="86"/>
          </reference>
        </references>
      </pivotArea>
    </format>
    <format dxfId="5296">
      <pivotArea dataOnly="0" labelOnly="1" fieldPosition="0">
        <references count="5">
          <reference field="4" count="1" selected="0">
            <x v="7"/>
          </reference>
          <reference field="6" count="1" selected="0">
            <x v="4"/>
          </reference>
          <reference field="7" count="1" selected="0">
            <x v="12"/>
          </reference>
          <reference field="8" count="1" selected="0">
            <x v="50"/>
          </reference>
          <reference field="15" count="3">
            <x v="64"/>
            <x v="65"/>
            <x v="136"/>
          </reference>
        </references>
      </pivotArea>
    </format>
    <format dxfId="5295">
      <pivotArea dataOnly="0" labelOnly="1" fieldPosition="0">
        <references count="5">
          <reference field="4" count="1" selected="0">
            <x v="7"/>
          </reference>
          <reference field="6" count="1" selected="0">
            <x v="4"/>
          </reference>
          <reference field="7" count="1" selected="0">
            <x v="13"/>
          </reference>
          <reference field="8" count="1" selected="0">
            <x v="51"/>
          </reference>
          <reference field="15" count="1">
            <x v="307"/>
          </reference>
        </references>
      </pivotArea>
    </format>
    <format dxfId="5294">
      <pivotArea dataOnly="0" labelOnly="1" fieldPosition="0">
        <references count="5">
          <reference field="4" count="1" selected="0">
            <x v="7"/>
          </reference>
          <reference field="6" count="1" selected="0">
            <x v="4"/>
          </reference>
          <reference field="7" count="1" selected="0">
            <x v="13"/>
          </reference>
          <reference field="8" count="1" selected="0">
            <x v="52"/>
          </reference>
          <reference field="15" count="1">
            <x v="309"/>
          </reference>
        </references>
      </pivotArea>
    </format>
    <format dxfId="5293">
      <pivotArea dataOnly="0" labelOnly="1" fieldPosition="0">
        <references count="5">
          <reference field="4" count="1" selected="0">
            <x v="7"/>
          </reference>
          <reference field="6" count="1" selected="0">
            <x v="4"/>
          </reference>
          <reference field="7" count="1" selected="0">
            <x v="13"/>
          </reference>
          <reference field="8" count="1" selected="0">
            <x v="53"/>
          </reference>
          <reference field="15" count="1">
            <x v="308"/>
          </reference>
        </references>
      </pivotArea>
    </format>
    <format dxfId="5292">
      <pivotArea dataOnly="0" labelOnly="1" fieldPosition="0">
        <references count="5">
          <reference field="4" count="1" selected="0">
            <x v="7"/>
          </reference>
          <reference field="6" count="1" selected="0">
            <x v="4"/>
          </reference>
          <reference field="7" count="1" selected="0">
            <x v="14"/>
          </reference>
          <reference field="8" count="1" selected="0">
            <x v="54"/>
          </reference>
          <reference field="15" count="1">
            <x v="281"/>
          </reference>
        </references>
      </pivotArea>
    </format>
    <format dxfId="5291">
      <pivotArea dataOnly="0" labelOnly="1" fieldPosition="0">
        <references count="5">
          <reference field="4" count="1" selected="0">
            <x v="7"/>
          </reference>
          <reference field="6" count="1" selected="0">
            <x v="4"/>
          </reference>
          <reference field="7" count="1" selected="0">
            <x v="14"/>
          </reference>
          <reference field="8" count="1" selected="0">
            <x v="55"/>
          </reference>
          <reference field="15" count="1">
            <x v="138"/>
          </reference>
        </references>
      </pivotArea>
    </format>
    <format dxfId="5290">
      <pivotArea dataOnly="0" labelOnly="1" fieldPosition="0">
        <references count="5">
          <reference field="4" count="1" selected="0">
            <x v="7"/>
          </reference>
          <reference field="6" count="1" selected="0">
            <x v="4"/>
          </reference>
          <reference field="7" count="1" selected="0">
            <x v="15"/>
          </reference>
          <reference field="8" count="1" selected="0">
            <x v="56"/>
          </reference>
          <reference field="15" count="2">
            <x v="335"/>
            <x v="336"/>
          </reference>
        </references>
      </pivotArea>
    </format>
    <format dxfId="5289">
      <pivotArea dataOnly="0" labelOnly="1" fieldPosition="0">
        <references count="5">
          <reference field="4" count="1" selected="0">
            <x v="8"/>
          </reference>
          <reference field="6" count="1" selected="0">
            <x v="0"/>
          </reference>
          <reference field="7" count="1" selected="0">
            <x v="18"/>
          </reference>
          <reference field="8" count="1" selected="0">
            <x v="77"/>
          </reference>
          <reference field="15" count="1">
            <x v="290"/>
          </reference>
        </references>
      </pivotArea>
    </format>
    <format dxfId="5288">
      <pivotArea dataOnly="0" labelOnly="1" fieldPosition="0">
        <references count="5">
          <reference field="4" count="1" selected="0">
            <x v="8"/>
          </reference>
          <reference field="6" count="1" selected="0">
            <x v="0"/>
          </reference>
          <reference field="7" count="1" selected="0">
            <x v="22"/>
          </reference>
          <reference field="8" count="1" selected="0">
            <x v="92"/>
          </reference>
          <reference field="15" count="4">
            <x v="130"/>
            <x v="359"/>
            <x v="360"/>
            <x v="361"/>
          </reference>
        </references>
      </pivotArea>
    </format>
    <format dxfId="5287">
      <pivotArea dataOnly="0" labelOnly="1" fieldPosition="0">
        <references count="5">
          <reference field="4" count="1" selected="0">
            <x v="8"/>
          </reference>
          <reference field="6" count="1" selected="0">
            <x v="0"/>
          </reference>
          <reference field="7" count="1" selected="0">
            <x v="22"/>
          </reference>
          <reference field="8" count="1" selected="0">
            <x v="93"/>
          </reference>
          <reference field="15" count="1">
            <x v="369"/>
          </reference>
        </references>
      </pivotArea>
    </format>
    <format dxfId="5286">
      <pivotArea dataOnly="0" labelOnly="1" fieldPosition="0">
        <references count="5">
          <reference field="4" count="1" selected="0">
            <x v="8"/>
          </reference>
          <reference field="6" count="1" selected="0">
            <x v="0"/>
          </reference>
          <reference field="7" count="1" selected="0">
            <x v="22"/>
          </reference>
          <reference field="8" count="1" selected="0">
            <x v="94"/>
          </reference>
          <reference field="15" count="1">
            <x v="273"/>
          </reference>
        </references>
      </pivotArea>
    </format>
    <format dxfId="5285">
      <pivotArea dataOnly="0" labelOnly="1" fieldPosition="0">
        <references count="5">
          <reference field="4" count="1" selected="0">
            <x v="8"/>
          </reference>
          <reference field="6" count="1" selected="0">
            <x v="1"/>
          </reference>
          <reference field="7" count="1" selected="0">
            <x v="28"/>
          </reference>
          <reference field="8" count="1" selected="0">
            <x v="138"/>
          </reference>
          <reference field="15" count="3">
            <x v="270"/>
            <x v="343"/>
            <x v="355"/>
          </reference>
        </references>
      </pivotArea>
    </format>
    <format dxfId="5284">
      <pivotArea dataOnly="0" labelOnly="1" fieldPosition="0">
        <references count="5">
          <reference field="4" count="1" selected="0">
            <x v="8"/>
          </reference>
          <reference field="6" count="1" selected="0">
            <x v="1"/>
          </reference>
          <reference field="7" count="1" selected="0">
            <x v="28"/>
          </reference>
          <reference field="8" count="1" selected="0">
            <x v="139"/>
          </reference>
          <reference field="15" count="1">
            <x v="147"/>
          </reference>
        </references>
      </pivotArea>
    </format>
    <format dxfId="5283">
      <pivotArea dataOnly="0" labelOnly="1" fieldPosition="0">
        <references count="5">
          <reference field="4" count="1" selected="0">
            <x v="8"/>
          </reference>
          <reference field="6" count="1" selected="0">
            <x v="2"/>
          </reference>
          <reference field="7" count="1" selected="0">
            <x v="32"/>
          </reference>
          <reference field="8" count="1" selected="0">
            <x v="158"/>
          </reference>
          <reference field="15" count="1">
            <x v="344"/>
          </reference>
        </references>
      </pivotArea>
    </format>
    <format dxfId="5282">
      <pivotArea dataOnly="0" labelOnly="1" fieldPosition="0">
        <references count="5">
          <reference field="4" count="1" selected="0">
            <x v="8"/>
          </reference>
          <reference field="6" count="1" selected="0">
            <x v="2"/>
          </reference>
          <reference field="7" count="1" selected="0">
            <x v="32"/>
          </reference>
          <reference field="8" count="1" selected="0">
            <x v="159"/>
          </reference>
          <reference field="15" count="1">
            <x v="137"/>
          </reference>
        </references>
      </pivotArea>
    </format>
    <format dxfId="5281">
      <pivotArea dataOnly="0" labelOnly="1" fieldPosition="0">
        <references count="5">
          <reference field="4" count="1" selected="0">
            <x v="8"/>
          </reference>
          <reference field="6" count="1" selected="0">
            <x v="3"/>
          </reference>
          <reference field="7" count="1" selected="0">
            <x v="6"/>
          </reference>
          <reference field="8" count="1" selected="0">
            <x v="29"/>
          </reference>
          <reference field="15" count="4">
            <x v="145"/>
            <x v="146"/>
            <x v="356"/>
            <x v="357"/>
          </reference>
        </references>
      </pivotArea>
    </format>
    <format dxfId="5280">
      <pivotArea dataOnly="0" labelOnly="1" fieldPosition="0">
        <references count="5">
          <reference field="4" count="1" selected="0">
            <x v="8"/>
          </reference>
          <reference field="6" count="1" selected="0">
            <x v="3"/>
          </reference>
          <reference field="7" count="1" selected="0">
            <x v="6"/>
          </reference>
          <reference field="8" count="1" selected="0">
            <x v="30"/>
          </reference>
          <reference field="15" count="2">
            <x v="267"/>
            <x v="268"/>
          </reference>
        </references>
      </pivotArea>
    </format>
    <format dxfId="5279">
      <pivotArea dataOnly="0" labelOnly="1" fieldPosition="0">
        <references count="5">
          <reference field="4" count="1" selected="0">
            <x v="9"/>
          </reference>
          <reference field="6" count="1" selected="0">
            <x v="1"/>
          </reference>
          <reference field="7" count="1" selected="0">
            <x v="25"/>
          </reference>
          <reference field="8" count="1" selected="0">
            <x v="115"/>
          </reference>
          <reference field="15" count="13">
            <x v="35"/>
            <x v="36"/>
            <x v="63"/>
            <x v="72"/>
            <x v="77"/>
            <x v="238"/>
            <x v="241"/>
            <x v="242"/>
            <x v="243"/>
            <x v="247"/>
            <x v="248"/>
            <x v="260"/>
            <x v="262"/>
          </reference>
        </references>
      </pivotArea>
    </format>
    <format dxfId="5278">
      <pivotArea dataOnly="0" labelOnly="1" fieldPosition="0">
        <references count="5">
          <reference field="4" count="1" selected="0">
            <x v="9"/>
          </reference>
          <reference field="6" count="1" selected="0">
            <x v="1"/>
          </reference>
          <reference field="7" count="1" selected="0">
            <x v="25"/>
          </reference>
          <reference field="8" count="1" selected="0">
            <x v="116"/>
          </reference>
          <reference field="15" count="1">
            <x v="61"/>
          </reference>
        </references>
      </pivotArea>
    </format>
    <format dxfId="5277">
      <pivotArea dataOnly="0" labelOnly="1" fieldPosition="0">
        <references count="5">
          <reference field="4" count="1" selected="0">
            <x v="9"/>
          </reference>
          <reference field="6" count="1" selected="0">
            <x v="1"/>
          </reference>
          <reference field="7" count="1" selected="0">
            <x v="25"/>
          </reference>
          <reference field="8" count="1" selected="0">
            <x v="117"/>
          </reference>
          <reference field="15" count="2">
            <x v="92"/>
            <x v="249"/>
          </reference>
        </references>
      </pivotArea>
    </format>
    <format dxfId="5276">
      <pivotArea dataOnly="0" labelOnly="1" fieldPosition="0">
        <references count="5">
          <reference field="4" count="1" selected="0">
            <x v="9"/>
          </reference>
          <reference field="6" count="1" selected="0">
            <x v="1"/>
          </reference>
          <reference field="7" count="1" selected="0">
            <x v="25"/>
          </reference>
          <reference field="8" count="1" selected="0">
            <x v="118"/>
          </reference>
          <reference field="15" count="3">
            <x v="71"/>
            <x v="87"/>
            <x v="91"/>
          </reference>
        </references>
      </pivotArea>
    </format>
    <format dxfId="5275">
      <pivotArea dataOnly="0" labelOnly="1" fieldPosition="0">
        <references count="5">
          <reference field="4" count="1" selected="0">
            <x v="9"/>
          </reference>
          <reference field="6" count="1" selected="0">
            <x v="1"/>
          </reference>
          <reference field="7" count="1" selected="0">
            <x v="25"/>
          </reference>
          <reference field="8" count="1" selected="0">
            <x v="119"/>
          </reference>
          <reference field="15" count="4">
            <x v="62"/>
            <x v="68"/>
            <x v="69"/>
            <x v="70"/>
          </reference>
        </references>
      </pivotArea>
    </format>
    <format dxfId="5274">
      <pivotArea dataOnly="0" labelOnly="1" fieldPosition="0">
        <references count="5">
          <reference field="4" count="1" selected="0">
            <x v="9"/>
          </reference>
          <reference field="6" count="1" selected="0">
            <x v="1"/>
          </reference>
          <reference field="7" count="1" selected="0">
            <x v="25"/>
          </reference>
          <reference field="8" count="1" selected="0">
            <x v="120"/>
          </reference>
          <reference field="15" count="1">
            <x v="85"/>
          </reference>
        </references>
      </pivotArea>
    </format>
    <format dxfId="5273">
      <pivotArea dataOnly="0" labelOnly="1" fieldPosition="0">
        <references count="5">
          <reference field="4" count="1" selected="0">
            <x v="9"/>
          </reference>
          <reference field="6" count="1" selected="0">
            <x v="1"/>
          </reference>
          <reference field="7" count="1" selected="0">
            <x v="25"/>
          </reference>
          <reference field="8" count="1" selected="0">
            <x v="121"/>
          </reference>
          <reference field="15" count="2">
            <x v="41"/>
            <x v="78"/>
          </reference>
        </references>
      </pivotArea>
    </format>
    <format dxfId="5272">
      <pivotArea dataOnly="0" labelOnly="1" fieldPosition="0">
        <references count="5">
          <reference field="4" count="1" selected="0">
            <x v="9"/>
          </reference>
          <reference field="6" count="1" selected="0">
            <x v="1"/>
          </reference>
          <reference field="7" count="1" selected="0">
            <x v="25"/>
          </reference>
          <reference field="8" count="1" selected="0">
            <x v="122"/>
          </reference>
          <reference field="15" count="2">
            <x v="38"/>
            <x v="39"/>
          </reference>
        </references>
      </pivotArea>
    </format>
    <format dxfId="5271">
      <pivotArea dataOnly="0" labelOnly="1" fieldPosition="0">
        <references count="5">
          <reference field="4" count="1" selected="0">
            <x v="9"/>
          </reference>
          <reference field="6" count="1" selected="0">
            <x v="1"/>
          </reference>
          <reference field="7" count="1" selected="0">
            <x v="25"/>
          </reference>
          <reference field="8" count="1" selected="0">
            <x v="123"/>
          </reference>
          <reference field="15" count="7">
            <x v="32"/>
            <x v="33"/>
            <x v="60"/>
            <x v="82"/>
            <x v="83"/>
            <x v="89"/>
            <x v="90"/>
          </reference>
        </references>
      </pivotArea>
    </format>
    <format dxfId="5270">
      <pivotArea dataOnly="0" labelOnly="1" fieldPosition="0">
        <references count="5">
          <reference field="4" count="1" selected="0">
            <x v="9"/>
          </reference>
          <reference field="6" count="1" selected="0">
            <x v="1"/>
          </reference>
          <reference field="7" count="1" selected="0">
            <x v="25"/>
          </reference>
          <reference field="8" count="1" selected="0">
            <x v="124"/>
          </reference>
          <reference field="15" count="1">
            <x v="261"/>
          </reference>
        </references>
      </pivotArea>
    </format>
    <format dxfId="5269">
      <pivotArea dataOnly="0" labelOnly="1" fieldPosition="0">
        <references count="5">
          <reference field="4" count="1" selected="0">
            <x v="10"/>
          </reference>
          <reference field="6" count="1" selected="0">
            <x v="3"/>
          </reference>
          <reference field="7" count="1" selected="0">
            <x v="6"/>
          </reference>
          <reference field="8" count="1" selected="0">
            <x v="29"/>
          </reference>
          <reference field="15" count="21">
            <x v="2"/>
            <x v="3"/>
            <x v="5"/>
            <x v="152"/>
            <x v="153"/>
            <x v="154"/>
            <x v="155"/>
            <x v="156"/>
            <x v="157"/>
            <x v="158"/>
            <x v="159"/>
            <x v="160"/>
            <x v="161"/>
            <x v="162"/>
            <x v="163"/>
            <x v="189"/>
            <x v="190"/>
            <x v="191"/>
            <x v="192"/>
            <x v="193"/>
            <x v="395"/>
          </reference>
        </references>
      </pivotArea>
    </format>
    <format dxfId="5268">
      <pivotArea dataOnly="0" labelOnly="1" fieldPosition="0">
        <references count="5">
          <reference field="4" count="1" selected="0">
            <x v="11"/>
          </reference>
          <reference field="6" count="1" selected="0">
            <x v="0"/>
          </reference>
          <reference field="7" count="1" selected="0">
            <x v="17"/>
          </reference>
          <reference field="8" count="1" selected="0">
            <x v="70"/>
          </reference>
          <reference field="15" count="4">
            <x v="345"/>
            <x v="346"/>
            <x v="347"/>
            <x v="351"/>
          </reference>
        </references>
      </pivotArea>
    </format>
    <format dxfId="5267">
      <pivotArea dataOnly="0" labelOnly="1" fieldPosition="0">
        <references count="5">
          <reference field="4" count="1" selected="0">
            <x v="11"/>
          </reference>
          <reference field="6" count="1" selected="0">
            <x v="0"/>
          </reference>
          <reference field="7" count="1" selected="0">
            <x v="17"/>
          </reference>
          <reference field="8" count="1" selected="0">
            <x v="71"/>
          </reference>
          <reference field="15" count="3">
            <x v="348"/>
            <x v="352"/>
            <x v="353"/>
          </reference>
        </references>
      </pivotArea>
    </format>
    <format dxfId="5266">
      <pivotArea dataOnly="0" labelOnly="1" fieldPosition="0">
        <references count="5">
          <reference field="4" count="1" selected="0">
            <x v="11"/>
          </reference>
          <reference field="6" count="1" selected="0">
            <x v="0"/>
          </reference>
          <reference field="7" count="1" selected="0">
            <x v="17"/>
          </reference>
          <reference field="8" count="1" selected="0">
            <x v="72"/>
          </reference>
          <reference field="15" count="3">
            <x v="143"/>
            <x v="349"/>
            <x v="350"/>
          </reference>
        </references>
      </pivotArea>
    </format>
    <format dxfId="5265">
      <pivotArea dataOnly="0" labelOnly="1" fieldPosition="0">
        <references count="5">
          <reference field="4" count="1" selected="0">
            <x v="12"/>
          </reference>
          <reference field="6" count="1" selected="0">
            <x v="0"/>
          </reference>
          <reference field="7" count="1" selected="0">
            <x v="18"/>
          </reference>
          <reference field="8" count="1" selected="0">
            <x v="74"/>
          </reference>
          <reference field="15" count="2">
            <x v="113"/>
            <x v="114"/>
          </reference>
        </references>
      </pivotArea>
    </format>
    <format dxfId="5264">
      <pivotArea dataOnly="0" labelOnly="1" fieldPosition="0">
        <references count="5">
          <reference field="4" count="1" selected="0">
            <x v="12"/>
          </reference>
          <reference field="6" count="1" selected="0">
            <x v="0"/>
          </reference>
          <reference field="7" count="1" selected="0">
            <x v="18"/>
          </reference>
          <reference field="8" count="1" selected="0">
            <x v="75"/>
          </reference>
          <reference field="15" count="1">
            <x v="116"/>
          </reference>
        </references>
      </pivotArea>
    </format>
    <format dxfId="5263">
      <pivotArea dataOnly="0" labelOnly="1" fieldPosition="0">
        <references count="5">
          <reference field="4" count="1" selected="0">
            <x v="12"/>
          </reference>
          <reference field="6" count="1" selected="0">
            <x v="0"/>
          </reference>
          <reference field="7" count="1" selected="0">
            <x v="18"/>
          </reference>
          <reference field="8" count="1" selected="0">
            <x v="76"/>
          </reference>
          <reference field="15" count="1">
            <x v="244"/>
          </reference>
        </references>
      </pivotArea>
    </format>
    <format dxfId="5262">
      <pivotArea dataOnly="0" labelOnly="1" fieldPosition="0">
        <references count="5">
          <reference field="4" count="1" selected="0">
            <x v="13"/>
          </reference>
          <reference field="6" count="1" selected="0">
            <x v="3"/>
          </reference>
          <reference field="7" count="1" selected="0">
            <x v="1"/>
          </reference>
          <reference field="8" count="1" selected="0">
            <x v="6"/>
          </reference>
          <reference field="15" count="1">
            <x v="340"/>
          </reference>
        </references>
      </pivotArea>
    </format>
    <format dxfId="5261">
      <pivotArea dataOnly="0" labelOnly="1" fieldPosition="0">
        <references count="5">
          <reference field="4" count="1" selected="0">
            <x v="13"/>
          </reference>
          <reference field="6" count="1" selected="0">
            <x v="3"/>
          </reference>
          <reference field="7" count="1" selected="0">
            <x v="5"/>
          </reference>
          <reference field="8" count="1" selected="0">
            <x v="22"/>
          </reference>
          <reference field="15" count="1">
            <x v="333"/>
          </reference>
        </references>
      </pivotArea>
    </format>
    <format dxfId="5260">
      <pivotArea dataOnly="0" labelOnly="1" fieldPosition="0">
        <references count="5">
          <reference field="4" count="1" selected="0">
            <x v="13"/>
          </reference>
          <reference field="6" count="1" selected="0">
            <x v="3"/>
          </reference>
          <reference field="7" count="1" selected="0">
            <x v="5"/>
          </reference>
          <reference field="8" count="1" selected="0">
            <x v="23"/>
          </reference>
          <reference field="15" count="1">
            <x v="332"/>
          </reference>
        </references>
      </pivotArea>
    </format>
    <format dxfId="5259">
      <pivotArea dataOnly="0" labelOnly="1" fieldPosition="0">
        <references count="5">
          <reference field="4" count="1" selected="0">
            <x v="13"/>
          </reference>
          <reference field="6" count="1" selected="0">
            <x v="3"/>
          </reference>
          <reference field="7" count="1" selected="0">
            <x v="5"/>
          </reference>
          <reference field="8" count="1" selected="0">
            <x v="24"/>
          </reference>
          <reference field="15" count="1">
            <x v="339"/>
          </reference>
        </references>
      </pivotArea>
    </format>
    <format dxfId="5258">
      <pivotArea dataOnly="0" labelOnly="1" fieldPosition="0">
        <references count="5">
          <reference field="4" count="1" selected="0">
            <x v="13"/>
          </reference>
          <reference field="6" count="1" selected="0">
            <x v="3"/>
          </reference>
          <reference field="7" count="1" selected="0">
            <x v="5"/>
          </reference>
          <reference field="8" count="1" selected="0">
            <x v="25"/>
          </reference>
          <reference field="15" count="1">
            <x v="342"/>
          </reference>
        </references>
      </pivotArea>
    </format>
    <format dxfId="5257">
      <pivotArea dataOnly="0" labelOnly="1" fieldPosition="0">
        <references count="5">
          <reference field="4" count="1" selected="0">
            <x v="13"/>
          </reference>
          <reference field="6" count="1" selected="0">
            <x v="3"/>
          </reference>
          <reference field="7" count="1" selected="0">
            <x v="5"/>
          </reference>
          <reference field="8" count="1" selected="0">
            <x v="26"/>
          </reference>
          <reference field="15" count="1">
            <x v="338"/>
          </reference>
        </references>
      </pivotArea>
    </format>
    <format dxfId="5256">
      <pivotArea dataOnly="0" labelOnly="1" fieldPosition="0">
        <references count="5">
          <reference field="4" count="1" selected="0">
            <x v="13"/>
          </reference>
          <reference field="6" count="1" selected="0">
            <x v="3"/>
          </reference>
          <reference field="7" count="1" selected="0">
            <x v="5"/>
          </reference>
          <reference field="8" count="1" selected="0">
            <x v="27"/>
          </reference>
          <reference field="15" count="1">
            <x v="341"/>
          </reference>
        </references>
      </pivotArea>
    </format>
    <format dxfId="5255">
      <pivotArea dataOnly="0" labelOnly="1" fieldPosition="0">
        <references count="5">
          <reference field="4" count="1" selected="0">
            <x v="14"/>
          </reference>
          <reference field="6" count="1" selected="0">
            <x v="1"/>
          </reference>
          <reference field="7" count="1" selected="0">
            <x v="26"/>
          </reference>
          <reference field="8" count="1" selected="0">
            <x v="125"/>
          </reference>
          <reference field="15" count="4">
            <x v="26"/>
            <x v="27"/>
            <x v="28"/>
            <x v="99"/>
          </reference>
        </references>
      </pivotArea>
    </format>
    <format dxfId="5254">
      <pivotArea dataOnly="0" labelOnly="1" fieldPosition="0">
        <references count="5">
          <reference field="4" count="1" selected="0">
            <x v="14"/>
          </reference>
          <reference field="6" count="1" selected="0">
            <x v="1"/>
          </reference>
          <reference field="7" count="1" selected="0">
            <x v="26"/>
          </reference>
          <reference field="8" count="1" selected="0">
            <x v="126"/>
          </reference>
          <reference field="15" count="1">
            <x v="19"/>
          </reference>
        </references>
      </pivotArea>
    </format>
    <format dxfId="5253">
      <pivotArea dataOnly="0" labelOnly="1" fieldPosition="0">
        <references count="5">
          <reference field="4" count="1" selected="0">
            <x v="14"/>
          </reference>
          <reference field="6" count="1" selected="0">
            <x v="1"/>
          </reference>
          <reference field="7" count="1" selected="0">
            <x v="26"/>
          </reference>
          <reference field="8" count="1" selected="0">
            <x v="127"/>
          </reference>
          <reference field="15" count="2">
            <x v="150"/>
            <x v="151"/>
          </reference>
        </references>
      </pivotArea>
    </format>
    <format dxfId="5252">
      <pivotArea dataOnly="0" labelOnly="1" fieldPosition="0">
        <references count="5">
          <reference field="4" count="1" selected="0">
            <x v="14"/>
          </reference>
          <reference field="6" count="1" selected="0">
            <x v="1"/>
          </reference>
          <reference field="7" count="1" selected="0">
            <x v="26"/>
          </reference>
          <reference field="8" count="1" selected="0">
            <x v="128"/>
          </reference>
          <reference field="15" count="2">
            <x v="29"/>
            <x v="30"/>
          </reference>
        </references>
      </pivotArea>
    </format>
    <format dxfId="5251">
      <pivotArea dataOnly="0" labelOnly="1" fieldPosition="0">
        <references count="5">
          <reference field="4" count="1" selected="0">
            <x v="14"/>
          </reference>
          <reference field="6" count="1" selected="0">
            <x v="1"/>
          </reference>
          <reference field="7" count="1" selected="0">
            <x v="26"/>
          </reference>
          <reference field="8" count="1" selected="0">
            <x v="129"/>
          </reference>
          <reference field="15" count="2">
            <x v="330"/>
            <x v="331"/>
          </reference>
        </references>
      </pivotArea>
    </format>
    <format dxfId="5250">
      <pivotArea dataOnly="0" labelOnly="1" fieldPosition="0">
        <references count="5">
          <reference field="4" count="1" selected="0">
            <x v="14"/>
          </reference>
          <reference field="6" count="1" selected="0">
            <x v="1"/>
          </reference>
          <reference field="7" count="1" selected="0">
            <x v="26"/>
          </reference>
          <reference field="8" count="1" selected="0">
            <x v="130"/>
          </reference>
          <reference field="15" count="2">
            <x v="367"/>
            <x v="368"/>
          </reference>
        </references>
      </pivotArea>
    </format>
    <format dxfId="5249">
      <pivotArea dataOnly="0" labelOnly="1" fieldPosition="0">
        <references count="5">
          <reference field="4" count="1" selected="0">
            <x v="14"/>
          </reference>
          <reference field="6" count="1" selected="0">
            <x v="1"/>
          </reference>
          <reference field="7" count="1" selected="0">
            <x v="26"/>
          </reference>
          <reference field="8" count="1" selected="0">
            <x v="131"/>
          </reference>
          <reference field="15" count="3">
            <x v="14"/>
            <x v="15"/>
            <x v="16"/>
          </reference>
        </references>
      </pivotArea>
    </format>
    <format dxfId="5248">
      <pivotArea dataOnly="0" labelOnly="1" fieldPosition="0">
        <references count="5">
          <reference field="4" count="1" selected="0">
            <x v="15"/>
          </reference>
          <reference field="6" count="1" selected="0">
            <x v="0"/>
          </reference>
          <reference field="7" count="1" selected="0">
            <x v="20"/>
          </reference>
          <reference field="8" count="1" selected="0">
            <x v="82"/>
          </reference>
          <reference field="15" count="2">
            <x v="73"/>
            <x v="74"/>
          </reference>
        </references>
      </pivotArea>
    </format>
    <format dxfId="5247">
      <pivotArea dataOnly="0" labelOnly="1" fieldPosition="0">
        <references count="5">
          <reference field="4" count="1" selected="0">
            <x v="15"/>
          </reference>
          <reference field="6" count="1" selected="0">
            <x v="0"/>
          </reference>
          <reference field="7" count="1" selected="0">
            <x v="20"/>
          </reference>
          <reference field="8" count="1" selected="0">
            <x v="83"/>
          </reference>
          <reference field="15" count="1">
            <x v="75"/>
          </reference>
        </references>
      </pivotArea>
    </format>
    <format dxfId="5246">
      <pivotArea dataOnly="0" labelOnly="1" fieldPosition="0">
        <references count="5">
          <reference field="4" count="1" selected="0">
            <x v="15"/>
          </reference>
          <reference field="6" count="1" selected="0">
            <x v="0"/>
          </reference>
          <reference field="7" count="1" selected="0">
            <x v="20"/>
          </reference>
          <reference field="8" count="1" selected="0">
            <x v="84"/>
          </reference>
          <reference field="15" count="1">
            <x v="76"/>
          </reference>
        </references>
      </pivotArea>
    </format>
    <format dxfId="5245">
      <pivotArea dataOnly="0" labelOnly="1" fieldPosition="0">
        <references count="5">
          <reference field="4" count="1" selected="0">
            <x v="15"/>
          </reference>
          <reference field="6" count="1" selected="0">
            <x v="0"/>
          </reference>
          <reference field="7" count="1" selected="0">
            <x v="20"/>
          </reference>
          <reference field="8" count="1" selected="0">
            <x v="85"/>
          </reference>
          <reference field="15" count="1">
            <x v="259"/>
          </reference>
        </references>
      </pivotArea>
    </format>
    <format dxfId="5244">
      <pivotArea dataOnly="0" labelOnly="1" fieldPosition="0">
        <references count="5">
          <reference field="4" count="1" selected="0">
            <x v="15"/>
          </reference>
          <reference field="6" count="1" selected="0">
            <x v="0"/>
          </reference>
          <reference field="7" count="1" selected="0">
            <x v="20"/>
          </reference>
          <reference field="8" count="1" selected="0">
            <x v="86"/>
          </reference>
          <reference field="15" count="3">
            <x v="132"/>
            <x v="133"/>
            <x v="134"/>
          </reference>
        </references>
      </pivotArea>
    </format>
    <format dxfId="5243">
      <pivotArea dataOnly="0" labelOnly="1" fieldPosition="0">
        <references count="5">
          <reference field="4" count="1" selected="0">
            <x v="16"/>
          </reference>
          <reference field="6" count="1" selected="0">
            <x v="1"/>
          </reference>
          <reference field="7" count="1" selected="0">
            <x v="27"/>
          </reference>
          <reference field="8" count="1" selected="0">
            <x v="132"/>
          </reference>
          <reference field="15" count="1">
            <x v="20"/>
          </reference>
        </references>
      </pivotArea>
    </format>
    <format dxfId="5242">
      <pivotArea dataOnly="0" labelOnly="1" fieldPosition="0">
        <references count="5">
          <reference field="4" count="1" selected="0">
            <x v="16"/>
          </reference>
          <reference field="6" count="1" selected="0">
            <x v="1"/>
          </reference>
          <reference field="7" count="1" selected="0">
            <x v="27"/>
          </reference>
          <reference field="8" count="1" selected="0">
            <x v="133"/>
          </reference>
          <reference field="15" count="3">
            <x v="21"/>
            <x v="22"/>
            <x v="23"/>
          </reference>
        </references>
      </pivotArea>
    </format>
    <format dxfId="5241">
      <pivotArea dataOnly="0" labelOnly="1" fieldPosition="0">
        <references count="5">
          <reference field="4" count="1" selected="0">
            <x v="16"/>
          </reference>
          <reference field="6" count="1" selected="0">
            <x v="1"/>
          </reference>
          <reference field="7" count="1" selected="0">
            <x v="27"/>
          </reference>
          <reference field="8" count="1" selected="0">
            <x v="134"/>
          </reference>
          <reference field="15" count="2">
            <x v="149"/>
            <x v="354"/>
          </reference>
        </references>
      </pivotArea>
    </format>
    <format dxfId="5240">
      <pivotArea dataOnly="0" labelOnly="1" fieldPosition="0">
        <references count="5">
          <reference field="4" count="1" selected="0">
            <x v="16"/>
          </reference>
          <reference field="6" count="1" selected="0">
            <x v="1"/>
          </reference>
          <reference field="7" count="1" selected="0">
            <x v="27"/>
          </reference>
          <reference field="8" count="1" selected="0">
            <x v="135"/>
          </reference>
          <reference field="15" count="2">
            <x v="109"/>
            <x v="363"/>
          </reference>
        </references>
      </pivotArea>
    </format>
    <format dxfId="5239">
      <pivotArea dataOnly="0" labelOnly="1" fieldPosition="0">
        <references count="5">
          <reference field="4" count="1" selected="0">
            <x v="16"/>
          </reference>
          <reference field="6" count="1" selected="0">
            <x v="1"/>
          </reference>
          <reference field="7" count="1" selected="0">
            <x v="27"/>
          </reference>
          <reference field="8" count="1" selected="0">
            <x v="136"/>
          </reference>
          <reference field="15" count="2">
            <x v="81"/>
            <x v="148"/>
          </reference>
        </references>
      </pivotArea>
    </format>
    <format dxfId="5238">
      <pivotArea dataOnly="0" labelOnly="1" fieldPosition="0">
        <references count="5">
          <reference field="4" count="1" selected="0">
            <x v="16"/>
          </reference>
          <reference field="6" count="1" selected="0">
            <x v="1"/>
          </reference>
          <reference field="7" count="1" selected="0">
            <x v="27"/>
          </reference>
          <reference field="8" count="1" selected="0">
            <x v="137"/>
          </reference>
          <reference field="15" count="2">
            <x v="111"/>
            <x v="112"/>
          </reference>
        </references>
      </pivotArea>
    </format>
    <format dxfId="5237">
      <pivotArea dataOnly="0" labelOnly="1" fieldPosition="0">
        <references count="5">
          <reference field="4" count="1" selected="0">
            <x v="16"/>
          </reference>
          <reference field="6" count="1" selected="0">
            <x v="3"/>
          </reference>
          <reference field="7" count="1" selected="0">
            <x v="1"/>
          </reference>
          <reference field="8" count="1" selected="0">
            <x v="6"/>
          </reference>
          <reference field="15" count="1">
            <x v="362"/>
          </reference>
        </references>
      </pivotArea>
    </format>
    <format dxfId="5236">
      <pivotArea dataOnly="0" labelOnly="1" fieldPosition="0">
        <references count="5">
          <reference field="4" count="1" selected="0">
            <x v="16"/>
          </reference>
          <reference field="6" count="1" selected="0">
            <x v="4"/>
          </reference>
          <reference field="7" count="1" selected="0">
            <x v="8"/>
          </reference>
          <reference field="8" count="1" selected="0">
            <x v="38"/>
          </reference>
          <reference field="15" count="1">
            <x v="229"/>
          </reference>
        </references>
      </pivotArea>
    </format>
    <format dxfId="5235">
      <pivotArea dataOnly="0" labelOnly="1" fieldPosition="0">
        <references count="5">
          <reference field="4" count="1" selected="0">
            <x v="16"/>
          </reference>
          <reference field="6" count="1" selected="0">
            <x v="4"/>
          </reference>
          <reference field="7" count="1" selected="0">
            <x v="11"/>
          </reference>
          <reference field="8" count="1" selected="0">
            <x v="48"/>
          </reference>
          <reference field="15" count="1">
            <x v="200"/>
          </reference>
        </references>
      </pivotArea>
    </format>
    <format dxfId="5234">
      <pivotArea dataOnly="0" labelOnly="1" fieldPosition="0">
        <references count="5">
          <reference field="4" count="1" selected="0">
            <x v="17"/>
          </reference>
          <reference field="6" count="1" selected="0">
            <x v="0"/>
          </reference>
          <reference field="7" count="1" selected="0">
            <x v="16"/>
          </reference>
          <reference field="8" count="1" selected="0">
            <x v="57"/>
          </reference>
          <reference field="15" count="5">
            <x v="110"/>
            <x v="284"/>
            <x v="285"/>
            <x v="294"/>
            <x v="295"/>
          </reference>
        </references>
      </pivotArea>
    </format>
    <format dxfId="5233">
      <pivotArea dataOnly="0" labelOnly="1" fieldPosition="0">
        <references count="5">
          <reference field="4" count="1" selected="0">
            <x v="17"/>
          </reference>
          <reference field="6" count="1" selected="0">
            <x v="0"/>
          </reference>
          <reference field="7" count="1" selected="0">
            <x v="16"/>
          </reference>
          <reference field="8" count="1" selected="0">
            <x v="58"/>
          </reference>
          <reference field="15" count="2">
            <x v="299"/>
            <x v="300"/>
          </reference>
        </references>
      </pivotArea>
    </format>
    <format dxfId="5232">
      <pivotArea dataOnly="0" labelOnly="1" fieldPosition="0">
        <references count="5">
          <reference field="4" count="1" selected="0">
            <x v="17"/>
          </reference>
          <reference field="6" count="1" selected="0">
            <x v="0"/>
          </reference>
          <reference field="7" count="1" selected="0">
            <x v="16"/>
          </reference>
          <reference field="8" count="1" selected="0">
            <x v="59"/>
          </reference>
          <reference field="15" count="2">
            <x v="94"/>
            <x v="95"/>
          </reference>
        </references>
      </pivotArea>
    </format>
    <format dxfId="5231">
      <pivotArea dataOnly="0" labelOnly="1" fieldPosition="0">
        <references count="5">
          <reference field="4" count="1" selected="0">
            <x v="17"/>
          </reference>
          <reference field="6" count="1" selected="0">
            <x v="0"/>
          </reference>
          <reference field="7" count="1" selected="0">
            <x v="16"/>
          </reference>
          <reference field="8" count="1" selected="0">
            <x v="60"/>
          </reference>
          <reference field="15" count="5">
            <x v="102"/>
            <x v="103"/>
            <x v="104"/>
            <x v="322"/>
            <x v="323"/>
          </reference>
        </references>
      </pivotArea>
    </format>
    <format dxfId="5230">
      <pivotArea dataOnly="0" labelOnly="1" fieldPosition="0">
        <references count="5">
          <reference field="4" count="1" selected="0">
            <x v="17"/>
          </reference>
          <reference field="6" count="1" selected="0">
            <x v="0"/>
          </reference>
          <reference field="7" count="1" selected="0">
            <x v="16"/>
          </reference>
          <reference field="8" count="1" selected="0">
            <x v="61"/>
          </reference>
          <reference field="15" count="2">
            <x v="296"/>
            <x v="297"/>
          </reference>
        </references>
      </pivotArea>
    </format>
    <format dxfId="5229">
      <pivotArea dataOnly="0" labelOnly="1" fieldPosition="0">
        <references count="5">
          <reference field="4" count="1" selected="0">
            <x v="17"/>
          </reference>
          <reference field="6" count="1" selected="0">
            <x v="0"/>
          </reference>
          <reference field="7" count="1" selected="0">
            <x v="16"/>
          </reference>
          <reference field="8" count="1" selected="0">
            <x v="62"/>
          </reference>
          <reference field="15" count="1">
            <x v="93"/>
          </reference>
        </references>
      </pivotArea>
    </format>
    <format dxfId="5228">
      <pivotArea dataOnly="0" labelOnly="1" fieldPosition="0">
        <references count="5">
          <reference field="4" count="1" selected="0">
            <x v="17"/>
          </reference>
          <reference field="6" count="1" selected="0">
            <x v="0"/>
          </reference>
          <reference field="7" count="1" selected="0">
            <x v="16"/>
          </reference>
          <reference field="8" count="1" selected="0">
            <x v="63"/>
          </reference>
          <reference field="15" count="2">
            <x v="315"/>
            <x v="316"/>
          </reference>
        </references>
      </pivotArea>
    </format>
    <format dxfId="5227">
      <pivotArea dataOnly="0" labelOnly="1" fieldPosition="0">
        <references count="5">
          <reference field="4" count="1" selected="0">
            <x v="17"/>
          </reference>
          <reference field="6" count="1" selected="0">
            <x v="0"/>
          </reference>
          <reference field="7" count="1" selected="0">
            <x v="22"/>
          </reference>
          <reference field="8" count="1" selected="0">
            <x v="94"/>
          </reference>
          <reference field="15" count="2">
            <x v="105"/>
            <x v="106"/>
          </reference>
        </references>
      </pivotArea>
    </format>
    <format dxfId="5226">
      <pivotArea dataOnly="0" labelOnly="1" fieldPosition="0">
        <references count="5">
          <reference field="4" count="1" selected="0">
            <x v="18"/>
          </reference>
          <reference field="6" count="1" selected="0">
            <x v="3"/>
          </reference>
          <reference field="7" count="1" selected="0">
            <x v="2"/>
          </reference>
          <reference field="8" count="1" selected="0">
            <x v="8"/>
          </reference>
          <reference field="15" count="2">
            <x v="375"/>
            <x v="376"/>
          </reference>
        </references>
      </pivotArea>
    </format>
    <format dxfId="5225">
      <pivotArea dataOnly="0" labelOnly="1" fieldPosition="0">
        <references count="5">
          <reference field="4" count="1" selected="0">
            <x v="18"/>
          </reference>
          <reference field="6" count="1" selected="0">
            <x v="3"/>
          </reference>
          <reference field="7" count="1" selected="0">
            <x v="2"/>
          </reference>
          <reference field="8" count="1" selected="0">
            <x v="9"/>
          </reference>
          <reference field="15" count="1">
            <x v="266"/>
          </reference>
        </references>
      </pivotArea>
    </format>
    <format dxfId="5224">
      <pivotArea dataOnly="0" labelOnly="1" fieldPosition="0">
        <references count="5">
          <reference field="4" count="1" selected="0">
            <x v="18"/>
          </reference>
          <reference field="6" count="1" selected="0">
            <x v="3"/>
          </reference>
          <reference field="7" count="1" selected="0">
            <x v="2"/>
          </reference>
          <reference field="8" count="1" selected="0">
            <x v="16"/>
          </reference>
          <reference field="15" count="2">
            <x v="271"/>
            <x v="272"/>
          </reference>
        </references>
      </pivotArea>
    </format>
    <format dxfId="5223">
      <pivotArea dataOnly="0" labelOnly="1" fieldPosition="0">
        <references count="5">
          <reference field="4" count="1" selected="0">
            <x v="18"/>
          </reference>
          <reference field="6" count="1" selected="0">
            <x v="3"/>
          </reference>
          <reference field="7" count="1" selected="0">
            <x v="2"/>
          </reference>
          <reference field="8" count="1" selected="0">
            <x v="17"/>
          </reference>
          <reference field="15" count="3">
            <x v="286"/>
            <x v="287"/>
            <x v="288"/>
          </reference>
        </references>
      </pivotArea>
    </format>
    <format dxfId="5222">
      <pivotArea dataOnly="0" labelOnly="1" fieldPosition="0">
        <references count="5">
          <reference field="4" count="1" selected="0">
            <x v="19"/>
          </reference>
          <reference field="6" count="1" selected="0">
            <x v="3"/>
          </reference>
          <reference field="7" count="1" selected="0">
            <x v="6"/>
          </reference>
          <reference field="8" count="1" selected="0">
            <x v="29"/>
          </reference>
          <reference field="15" count="24">
            <x v="4"/>
            <x v="168"/>
            <x v="169"/>
            <x v="170"/>
            <x v="171"/>
            <x v="172"/>
            <x v="173"/>
            <x v="174"/>
            <x v="183"/>
            <x v="184"/>
            <x v="185"/>
            <x v="186"/>
            <x v="187"/>
            <x v="188"/>
            <x v="194"/>
            <x v="195"/>
            <x v="196"/>
            <x v="197"/>
            <x v="198"/>
            <x v="199"/>
            <x v="203"/>
            <x v="204"/>
            <x v="223"/>
            <x v="258"/>
          </reference>
        </references>
      </pivotArea>
    </format>
    <format dxfId="5221">
      <pivotArea dataOnly="0" labelOnly="1" fieldPosition="0">
        <references count="5">
          <reference field="4" count="1" selected="0">
            <x v="20"/>
          </reference>
          <reference field="6" count="1" selected="0">
            <x v="1"/>
          </reference>
          <reference field="7" count="1" selected="0">
            <x v="24"/>
          </reference>
          <reference field="8" count="1" selected="0">
            <x v="106"/>
          </reference>
          <reference field="15" count="2">
            <x v="239"/>
            <x v="240"/>
          </reference>
        </references>
      </pivotArea>
    </format>
    <format dxfId="5220">
      <pivotArea dataOnly="0" labelOnly="1" outline="0" fieldPosition="0">
        <references count="1">
          <reference field="4294967294" count="2">
            <x v="7"/>
            <x v="8"/>
          </reference>
        </references>
      </pivotArea>
    </format>
    <format dxfId="5219">
      <pivotArea outline="0" collapsedLevelsAreSubtotals="1" fieldPosition="0"/>
    </format>
    <format dxfId="5218">
      <pivotArea dataOnly="0" labelOnly="1" outline="0" fieldPosition="0">
        <references count="1">
          <reference field="2" count="0"/>
        </references>
      </pivotArea>
    </format>
    <format dxfId="5217">
      <pivotArea dataOnly="0" labelOnly="1" outline="0" fieldPosition="0">
        <references count="1">
          <reference field="4294967294" count="9">
            <x v="0"/>
            <x v="1"/>
            <x v="2"/>
            <x v="3"/>
            <x v="4"/>
            <x v="5"/>
            <x v="6"/>
            <x v="7"/>
            <x v="8"/>
          </reference>
        </references>
      </pivotArea>
    </format>
    <format dxfId="5216">
      <pivotArea field="2" type="button" dataOnly="0" labelOnly="1" outline="0" axis="axisPage" fieldPosition="0"/>
    </format>
    <format dxfId="5215">
      <pivotArea field="4" type="button" dataOnly="0" labelOnly="1" outline="0" axis="axisRow" fieldPosition="0"/>
    </format>
    <format dxfId="5214">
      <pivotArea dataOnly="0" labelOnly="1" fieldPosition="0">
        <references count="1">
          <reference field="4" count="1">
            <x v="5"/>
          </reference>
        </references>
      </pivotArea>
    </format>
    <format dxfId="5213">
      <pivotArea dataOnly="0" labelOnly="1" grandRow="1" outline="0" fieldPosition="0"/>
    </format>
    <format dxfId="5212">
      <pivotArea dataOnly="0" labelOnly="1" fieldPosition="0">
        <references count="2">
          <reference field="4" count="1" selected="0">
            <x v="5"/>
          </reference>
          <reference field="6" count="2">
            <x v="0"/>
            <x v="4"/>
          </reference>
        </references>
      </pivotArea>
    </format>
    <format dxfId="5211">
      <pivotArea dataOnly="0" labelOnly="1" fieldPosition="0">
        <references count="3">
          <reference field="4" count="1" selected="0">
            <x v="5"/>
          </reference>
          <reference field="6" count="1" selected="0">
            <x v="0"/>
          </reference>
          <reference field="7" count="2">
            <x v="18"/>
            <x v="22"/>
          </reference>
        </references>
      </pivotArea>
    </format>
    <format dxfId="5210">
      <pivotArea dataOnly="0" labelOnly="1" fieldPosition="0">
        <references count="3">
          <reference field="4" count="1" selected="0">
            <x v="5"/>
          </reference>
          <reference field="6" count="1" selected="0">
            <x v="4"/>
          </reference>
          <reference field="7" count="1">
            <x v="8"/>
          </reference>
        </references>
      </pivotArea>
    </format>
    <format dxfId="5209">
      <pivotArea dataOnly="0" labelOnly="1" fieldPosition="0">
        <references count="4">
          <reference field="4" count="1" selected="0">
            <x v="5"/>
          </reference>
          <reference field="6" count="1" selected="0">
            <x v="0"/>
          </reference>
          <reference field="7" count="1" selected="0">
            <x v="18"/>
          </reference>
          <reference field="8" count="3">
            <x v="73"/>
            <x v="74"/>
            <x v="77"/>
          </reference>
        </references>
      </pivotArea>
    </format>
    <format dxfId="5208">
      <pivotArea dataOnly="0" labelOnly="1" fieldPosition="0">
        <references count="4">
          <reference field="4" count="1" selected="0">
            <x v="5"/>
          </reference>
          <reference field="6" count="1" selected="0">
            <x v="0"/>
          </reference>
          <reference field="7" count="1" selected="0">
            <x v="22"/>
          </reference>
          <reference field="8" count="1">
            <x v="94"/>
          </reference>
        </references>
      </pivotArea>
    </format>
    <format dxfId="5207">
      <pivotArea dataOnly="0" labelOnly="1" fieldPosition="0">
        <references count="4">
          <reference field="4" count="1" selected="0">
            <x v="5"/>
          </reference>
          <reference field="6" count="1" selected="0">
            <x v="4"/>
          </reference>
          <reference field="7" count="1" selected="0">
            <x v="8"/>
          </reference>
          <reference field="8" count="1">
            <x v="37"/>
          </reference>
        </references>
      </pivotArea>
    </format>
    <format dxfId="5206">
      <pivotArea dataOnly="0" labelOnly="1" fieldPosition="0">
        <references count="5">
          <reference field="4" count="1" selected="0">
            <x v="5"/>
          </reference>
          <reference field="6" count="1" selected="0">
            <x v="0"/>
          </reference>
          <reference field="7" count="1" selected="0">
            <x v="18"/>
          </reference>
          <reference field="8" count="1" selected="0">
            <x v="73"/>
          </reference>
          <reference field="15" count="3">
            <x v="245"/>
            <x v="246"/>
            <x v="313"/>
          </reference>
        </references>
      </pivotArea>
    </format>
    <format dxfId="5205">
      <pivotArea dataOnly="0" labelOnly="1" fieldPosition="0">
        <references count="5">
          <reference field="4" count="1" selected="0">
            <x v="5"/>
          </reference>
          <reference field="6" count="1" selected="0">
            <x v="0"/>
          </reference>
          <reference field="7" count="1" selected="0">
            <x v="18"/>
          </reference>
          <reference field="8" count="1" selected="0">
            <x v="74"/>
          </reference>
          <reference field="15" count="1">
            <x v="230"/>
          </reference>
        </references>
      </pivotArea>
    </format>
    <format dxfId="5204">
      <pivotArea dataOnly="0" labelOnly="1" fieldPosition="0">
        <references count="5">
          <reference field="4" count="1" selected="0">
            <x v="5"/>
          </reference>
          <reference field="6" count="1" selected="0">
            <x v="0"/>
          </reference>
          <reference field="7" count="1" selected="0">
            <x v="18"/>
          </reference>
          <reference field="8" count="1" selected="0">
            <x v="77"/>
          </reference>
          <reference field="15" count="2">
            <x v="276"/>
            <x v="277"/>
          </reference>
        </references>
      </pivotArea>
    </format>
    <format dxfId="5203">
      <pivotArea dataOnly="0" labelOnly="1" fieldPosition="0">
        <references count="5">
          <reference field="4" count="1" selected="0">
            <x v="5"/>
          </reference>
          <reference field="6" count="1" selected="0">
            <x v="0"/>
          </reference>
          <reference field="7" count="1" selected="0">
            <x v="22"/>
          </reference>
          <reference field="8" count="1" selected="0">
            <x v="94"/>
          </reference>
          <reference field="15" count="1">
            <x v="164"/>
          </reference>
        </references>
      </pivotArea>
    </format>
    <format dxfId="5202">
      <pivotArea dataOnly="0" labelOnly="1" fieldPosition="0">
        <references count="5">
          <reference field="4" count="1" selected="0">
            <x v="5"/>
          </reference>
          <reference field="6" count="1" selected="0">
            <x v="4"/>
          </reference>
          <reference field="7" count="1" selected="0">
            <x v="8"/>
          </reference>
          <reference field="8" count="1" selected="0">
            <x v="37"/>
          </reference>
          <reference field="15" count="1">
            <x v="222"/>
          </reference>
        </references>
      </pivotArea>
    </format>
    <format dxfId="5201">
      <pivotArea outline="0" collapsedLevelsAreSubtotals="1" fieldPosition="0">
        <references count="1">
          <reference field="4294967294" count="2" selected="0">
            <x v="7"/>
            <x v="8"/>
          </reference>
        </references>
      </pivotArea>
    </format>
    <format dxfId="5200">
      <pivotArea dataOnly="0" labelOnly="1" outline="0" fieldPosition="0">
        <references count="1">
          <reference field="4294967294" count="2">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5" cacheId="2" applyNumberFormats="0" applyBorderFormats="0" applyFontFormats="0" applyPatternFormats="0" applyAlignmentFormats="0" applyWidthHeightFormats="1" dataCaption="Valores" grandTotalCaption="TOTAL " updatedVersion="8" minRefreshableVersion="3" useAutoFormatting="1" itemPrintTitles="1" createdVersion="8" indent="0" outline="1" outlineData="1" multipleFieldFilters="0" rowHeaderCaption="UNIDAD EJECUTORA">
  <location ref="A3:J46" firstHeaderRow="0" firstDataRow="1" firstDataCol="1" rowPageCount="1" colPageCount="1"/>
  <pivotFields count="33">
    <pivotField showAll="0"/>
    <pivotField showAll="0"/>
    <pivotField axis="axisPage" showAll="0">
      <items count="22">
        <item x="4"/>
        <item x="3"/>
        <item x="14"/>
        <item x="0"/>
        <item x="13"/>
        <item x="17"/>
        <item x="7"/>
        <item x="9"/>
        <item x="15"/>
        <item x="8"/>
        <item x="1"/>
        <item x="16"/>
        <item x="12"/>
        <item x="20"/>
        <item x="5"/>
        <item x="10"/>
        <item x="6"/>
        <item x="11"/>
        <item x="19"/>
        <item x="2"/>
        <item x="18"/>
        <item t="default"/>
      </items>
    </pivotField>
    <pivotField showAll="0"/>
    <pivotField axis="axisRow" showAll="0">
      <items count="22">
        <item x="4"/>
        <item x="3"/>
        <item x="14"/>
        <item x="0"/>
        <item x="13"/>
        <item x="17"/>
        <item x="7"/>
        <item x="9"/>
        <item x="15"/>
        <item x="8"/>
        <item x="1"/>
        <item x="16"/>
        <item x="12"/>
        <item x="20"/>
        <item x="5"/>
        <item x="10"/>
        <item x="6"/>
        <item x="11"/>
        <item x="19"/>
        <item x="2"/>
        <item x="18"/>
        <item t="default"/>
      </items>
    </pivotField>
    <pivotField numFmtId="1" showAll="0"/>
    <pivotField axis="axisRow" showAll="0">
      <items count="6">
        <item x="1"/>
        <item x="2"/>
        <item x="3"/>
        <item x="0"/>
        <item x="4"/>
        <item t="default"/>
      </items>
    </pivotField>
    <pivotField axis="axisRow" showAll="0">
      <items count="34">
        <item x="19"/>
        <item x="27"/>
        <item x="1"/>
        <item x="2"/>
        <item x="8"/>
        <item x="30"/>
        <item x="0"/>
        <item x="32"/>
        <item x="25"/>
        <item x="29"/>
        <item x="12"/>
        <item x="15"/>
        <item x="13"/>
        <item x="28"/>
        <item x="23"/>
        <item x="31"/>
        <item x="16"/>
        <item x="10"/>
        <item x="18"/>
        <item x="3"/>
        <item x="14"/>
        <item x="20"/>
        <item x="17"/>
        <item x="9"/>
        <item x="6"/>
        <item x="7"/>
        <item x="4"/>
        <item x="5"/>
        <item x="24"/>
        <item x="11"/>
        <item x="21"/>
        <item x="26"/>
        <item x="22"/>
        <item t="default"/>
      </items>
    </pivotField>
    <pivotField axis="axisRow" showAll="0">
      <items count="161">
        <item x="62"/>
        <item x="155"/>
        <item x="112"/>
        <item x="156"/>
        <item x="118"/>
        <item x="154"/>
        <item x="140"/>
        <item x="60"/>
        <item x="153"/>
        <item x="102"/>
        <item x="7"/>
        <item x="2"/>
        <item x="52"/>
        <item x="1"/>
        <item x="22"/>
        <item x="151"/>
        <item x="105"/>
        <item x="114"/>
        <item x="82"/>
        <item x="3"/>
        <item x="15"/>
        <item x="49"/>
        <item x="135"/>
        <item x="134"/>
        <item x="139"/>
        <item x="142"/>
        <item x="138"/>
        <item x="141"/>
        <item x="128"/>
        <item x="0"/>
        <item x="103"/>
        <item x="159"/>
        <item x="150"/>
        <item x="86"/>
        <item x="152"/>
        <item x="137"/>
        <item x="110"/>
        <item x="79"/>
        <item x="80"/>
        <item x="83"/>
        <item x="126"/>
        <item x="131"/>
        <item x="132"/>
        <item x="129"/>
        <item x="28"/>
        <item x="27"/>
        <item x="29"/>
        <item x="26"/>
        <item x="43"/>
        <item x="42"/>
        <item x="32"/>
        <item x="122"/>
        <item x="124"/>
        <item x="123"/>
        <item x="111"/>
        <item x="69"/>
        <item x="136"/>
        <item x="55"/>
        <item x="119"/>
        <item x="46"/>
        <item x="50"/>
        <item x="117"/>
        <item x="45"/>
        <item x="127"/>
        <item x="106"/>
        <item x="53"/>
        <item x="147"/>
        <item x="146"/>
        <item x="38"/>
        <item x="20"/>
        <item x="144"/>
        <item x="145"/>
        <item x="74"/>
        <item x="89"/>
        <item x="57"/>
        <item x="59"/>
        <item x="88"/>
        <item x="108"/>
        <item x="85"/>
        <item x="5"/>
        <item x="4"/>
        <item x="81"/>
        <item x="35"/>
        <item x="36"/>
        <item x="37"/>
        <item x="98"/>
        <item x="67"/>
        <item x="63"/>
        <item x="116"/>
        <item x="125"/>
        <item x="157"/>
        <item x="101"/>
        <item x="66"/>
        <item x="149"/>
        <item x="51"/>
        <item x="90"/>
        <item x="91"/>
        <item x="97"/>
        <item x="21"/>
        <item x="94"/>
        <item x="93"/>
        <item x="95"/>
        <item x="18"/>
        <item x="92"/>
        <item x="96"/>
        <item x="11"/>
        <item x="87"/>
        <item x="61"/>
        <item x="48"/>
        <item x="47"/>
        <item x="58"/>
        <item x="130"/>
        <item x="39"/>
        <item x="33"/>
        <item x="100"/>
        <item x="16"/>
        <item x="30"/>
        <item x="44"/>
        <item x="34"/>
        <item x="31"/>
        <item x="41"/>
        <item x="19"/>
        <item x="17"/>
        <item x="14"/>
        <item x="99"/>
        <item x="12"/>
        <item x="8"/>
        <item x="78"/>
        <item x="13"/>
        <item x="133"/>
        <item x="148"/>
        <item x="6"/>
        <item x="9"/>
        <item x="10"/>
        <item x="77"/>
        <item x="54"/>
        <item x="40"/>
        <item x="56"/>
        <item x="104"/>
        <item x="76"/>
        <item x="25"/>
        <item x="109"/>
        <item x="113"/>
        <item x="115"/>
        <item x="24"/>
        <item x="23"/>
        <item x="70"/>
        <item x="64"/>
        <item x="73"/>
        <item x="71"/>
        <item x="75"/>
        <item x="158"/>
        <item x="65"/>
        <item x="72"/>
        <item x="107"/>
        <item x="84"/>
        <item x="121"/>
        <item x="120"/>
        <item x="143"/>
        <item x="68"/>
        <item t="default"/>
      </items>
    </pivotField>
    <pivotField showAll="0"/>
    <pivotField showAll="0"/>
    <pivotField showAll="0"/>
    <pivotField showAll="0"/>
    <pivotField showAll="0"/>
    <pivotField showAll="0"/>
    <pivotField axis="axisRow" showAll="0">
      <items count="402">
        <item x="1"/>
        <item x="0"/>
        <item x="3"/>
        <item x="2"/>
        <item x="4"/>
        <item x="5"/>
        <item x="6"/>
        <item x="8"/>
        <item x="7"/>
        <item x="9"/>
        <item x="11"/>
        <item x="10"/>
        <item x="12"/>
        <item x="13"/>
        <item x="16"/>
        <item x="15"/>
        <item x="14"/>
        <item x="18"/>
        <item x="17"/>
        <item x="19"/>
        <item x="20"/>
        <item x="21"/>
        <item x="22"/>
        <item x="23"/>
        <item x="25"/>
        <item x="24"/>
        <item x="27"/>
        <item x="26"/>
        <item x="28"/>
        <item x="29"/>
        <item x="30"/>
        <item x="31"/>
        <item x="32"/>
        <item x="33"/>
        <item x="34"/>
        <item x="35"/>
        <item x="36"/>
        <item x="37"/>
        <item x="38"/>
        <item x="39"/>
        <item x="40"/>
        <item x="41"/>
        <item x="42"/>
        <item x="43"/>
        <item x="44"/>
        <item x="45"/>
        <item x="46"/>
        <item x="47"/>
        <item x="48"/>
        <item x="49"/>
        <item x="50"/>
        <item x="51"/>
        <item x="52"/>
        <item x="53"/>
        <item x="54"/>
        <item x="55"/>
        <item x="56"/>
        <item x="58"/>
        <item x="57"/>
        <item x="59"/>
        <item x="60"/>
        <item x="61"/>
        <item x="62"/>
        <item x="63"/>
        <item x="65"/>
        <item x="64"/>
        <item x="66"/>
        <item x="67"/>
        <item x="68"/>
        <item x="69"/>
        <item x="70"/>
        <item x="71"/>
        <item x="72"/>
        <item x="74"/>
        <item x="73"/>
        <item x="75"/>
        <item x="76"/>
        <item x="77"/>
        <item x="78"/>
        <item x="79"/>
        <item x="80"/>
        <item x="81"/>
        <item x="82"/>
        <item x="83"/>
        <item x="84"/>
        <item x="85"/>
        <item x="86"/>
        <item x="87"/>
        <item x="88"/>
        <item x="89"/>
        <item x="90"/>
        <item x="91"/>
        <item x="92"/>
        <item x="93"/>
        <item x="95"/>
        <item x="94"/>
        <item x="96"/>
        <item x="97"/>
        <item x="98"/>
        <item x="99"/>
        <item x="101"/>
        <item x="100"/>
        <item x="103"/>
        <item x="102"/>
        <item x="104"/>
        <item x="105"/>
        <item x="106"/>
        <item x="107"/>
        <item x="108"/>
        <item x="109"/>
        <item x="110"/>
        <item x="111"/>
        <item x="112"/>
        <item x="114"/>
        <item x="113"/>
        <item x="115"/>
        <item x="116"/>
        <item x="117"/>
        <item x="118"/>
        <item x="119"/>
        <item x="122"/>
        <item x="120"/>
        <item x="121"/>
        <item x="123"/>
        <item x="124"/>
        <item x="125"/>
        <item x="126"/>
        <item x="127"/>
        <item x="129"/>
        <item x="128"/>
        <item x="130"/>
        <item x="131"/>
        <item x="132"/>
        <item x="133"/>
        <item x="134"/>
        <item x="135"/>
        <item x="136"/>
        <item x="137"/>
        <item x="138"/>
        <item x="139"/>
        <item x="140"/>
        <item x="141"/>
        <item x="142"/>
        <item x="143"/>
        <item x="144"/>
        <item x="145"/>
        <item x="146"/>
        <item x="147"/>
        <item x="148"/>
        <item x="149"/>
        <item x="151"/>
        <item x="150"/>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3"/>
        <item x="192"/>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4"/>
        <item x="233"/>
        <item x="235"/>
        <item x="236"/>
        <item x="237"/>
        <item x="238"/>
        <item x="239"/>
        <item x="240"/>
        <item x="241"/>
        <item x="242"/>
        <item x="243"/>
        <item x="244"/>
        <item x="246"/>
        <item x="245"/>
        <item x="247"/>
        <item x="248"/>
        <item x="249"/>
        <item x="250"/>
        <item x="251"/>
        <item x="252"/>
        <item x="253"/>
        <item x="254"/>
        <item x="255"/>
        <item x="256"/>
        <item x="257"/>
        <item x="258"/>
        <item x="259"/>
        <item x="260"/>
        <item x="261"/>
        <item x="262"/>
        <item x="263"/>
        <item x="264"/>
        <item x="265"/>
        <item x="266"/>
        <item x="268"/>
        <item x="267"/>
        <item x="269"/>
        <item x="270"/>
        <item x="271"/>
        <item x="272"/>
        <item x="273"/>
        <item x="274"/>
        <item x="275"/>
        <item x="277"/>
        <item x="276"/>
        <item x="278"/>
        <item x="279"/>
        <item x="280"/>
        <item x="281"/>
        <item x="282"/>
        <item x="283"/>
        <item x="285"/>
        <item x="284"/>
        <item x="288"/>
        <item x="286"/>
        <item x="287"/>
        <item x="289"/>
        <item x="290"/>
        <item x="291"/>
        <item x="292"/>
        <item x="293"/>
        <item x="294"/>
        <item x="295"/>
        <item x="297"/>
        <item x="296"/>
        <item x="298"/>
        <item x="299"/>
        <item x="300"/>
        <item x="301"/>
        <item x="302"/>
        <item x="303"/>
        <item x="304"/>
        <item x="305"/>
        <item x="306"/>
        <item x="307"/>
        <item x="308"/>
        <item x="309"/>
        <item x="310"/>
        <item x="311"/>
        <item x="312"/>
        <item x="313"/>
        <item x="314"/>
        <item x="316"/>
        <item x="315"/>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7"/>
        <item x="346"/>
        <item x="348"/>
        <item x="349"/>
        <item x="350"/>
        <item x="351"/>
        <item x="352"/>
        <item x="353"/>
        <item x="354"/>
        <item x="355"/>
        <item x="357"/>
        <item x="356"/>
        <item x="358"/>
        <item x="360"/>
        <item x="359"/>
        <item x="361"/>
        <item x="362"/>
        <item x="363"/>
        <item x="364"/>
        <item x="365"/>
        <item x="366"/>
        <item x="368"/>
        <item x="367"/>
        <item x="369"/>
        <item x="370"/>
        <item x="371"/>
        <item x="372"/>
        <item x="373"/>
        <item x="374"/>
        <item x="376"/>
        <item x="375"/>
        <item x="377"/>
        <item x="378"/>
        <item x="379"/>
        <item x="380"/>
        <item x="381"/>
        <item x="382"/>
        <item x="383"/>
        <item x="384"/>
        <item x="385"/>
        <item x="386"/>
        <item x="387"/>
        <item x="389"/>
        <item x="388"/>
        <item x="390"/>
        <item x="391"/>
        <item x="392"/>
        <item x="393"/>
        <item x="394"/>
        <item x="395"/>
        <item x="396"/>
        <item x="397"/>
        <item x="398"/>
        <item x="399"/>
        <item x="400"/>
        <item t="default"/>
      </items>
    </pivotField>
    <pivotField showAll="0"/>
    <pivotField showAll="0"/>
    <pivotField dataField="1" numFmtId="43" showAll="0"/>
    <pivotField numFmtId="43" showAll="0"/>
    <pivotField dataField="1" numFmtId="43" showAll="0"/>
    <pivotField numFmtId="43" showAll="0"/>
    <pivotField numFmtId="43" showAll="0"/>
    <pivotField dataField="1" numFmtId="43" showAll="0"/>
    <pivotField numFmtId="43" showAll="0"/>
    <pivotField dataField="1" numFmtId="43" showAll="0"/>
    <pivotField numFmtId="43" showAll="0"/>
    <pivotField numFmtId="43" showAll="0"/>
    <pivotField dataField="1" numFmtId="43" showAl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5">
    <field x="4"/>
    <field x="6"/>
    <field x="7"/>
    <field x="8"/>
    <field x="15"/>
  </rowFields>
  <rowItems count="43">
    <i>
      <x v="6"/>
    </i>
    <i r="1">
      <x v="1"/>
    </i>
    <i r="2">
      <x v="24"/>
    </i>
    <i r="3">
      <x v="105"/>
    </i>
    <i r="4">
      <x v="24"/>
    </i>
    <i r="4">
      <x v="25"/>
    </i>
    <i r="4">
      <x v="31"/>
    </i>
    <i r="4">
      <x v="37"/>
    </i>
    <i r="4">
      <x v="44"/>
    </i>
    <i r="4">
      <x v="45"/>
    </i>
    <i r="4">
      <x v="48"/>
    </i>
    <i r="4">
      <x v="49"/>
    </i>
    <i r="4">
      <x v="50"/>
    </i>
    <i r="4">
      <x v="56"/>
    </i>
    <i r="4">
      <x v="66"/>
    </i>
    <i r="4">
      <x v="100"/>
    </i>
    <i r="4">
      <x v="101"/>
    </i>
    <i r="3">
      <x v="107"/>
    </i>
    <i r="4">
      <x v="118"/>
    </i>
    <i r="4">
      <x v="123"/>
    </i>
    <i r="4">
      <x v="165"/>
    </i>
    <i r="3">
      <x v="108"/>
    </i>
    <i r="4">
      <x v="97"/>
    </i>
    <i r="4">
      <x v="119"/>
    </i>
    <i r="3">
      <x v="109"/>
    </i>
    <i r="4">
      <x v="96"/>
    </i>
    <i r="4">
      <x v="327"/>
    </i>
    <i r="3">
      <x v="110"/>
    </i>
    <i r="4">
      <x v="115"/>
    </i>
    <i r="4">
      <x v="324"/>
    </i>
    <i r="3">
      <x v="111"/>
    </i>
    <i r="4">
      <x v="326"/>
    </i>
    <i r="3">
      <x v="112"/>
    </i>
    <i r="4">
      <x v="80"/>
    </i>
    <i r="4">
      <x v="120"/>
    </i>
    <i r="4">
      <x v="121"/>
    </i>
    <i r="4">
      <x v="122"/>
    </i>
    <i r="4">
      <x v="135"/>
    </i>
    <i r="3">
      <x v="113"/>
    </i>
    <i r="4">
      <x v="67"/>
    </i>
    <i r="4">
      <x v="84"/>
    </i>
    <i r="4">
      <x v="166"/>
    </i>
    <i t="grand">
      <x/>
    </i>
  </rowItems>
  <colFields count="1">
    <field x="-2"/>
  </colFields>
  <colItems count="9">
    <i>
      <x/>
    </i>
    <i i="1">
      <x v="1"/>
    </i>
    <i i="2">
      <x v="2"/>
    </i>
    <i i="3">
      <x v="3"/>
    </i>
    <i i="4">
      <x v="4"/>
    </i>
    <i i="5">
      <x v="5"/>
    </i>
    <i i="6">
      <x v="6"/>
    </i>
    <i i="7">
      <x v="7"/>
    </i>
    <i i="8">
      <x v="8"/>
    </i>
  </colItems>
  <pageFields count="1">
    <pageField fld="2" item="6" hier="-1"/>
  </pageFields>
  <dataFields count="9">
    <dataField name="PPTO INICIAL" fld="18" baseField="4" baseItem="0"/>
    <dataField name="PPTO VIGENTE" fld="20" baseField="4" baseItem="0"/>
    <dataField name="COMPROMISOS." fld="23" baseField="4" baseItem="0"/>
    <dataField name="GIROS." fld="25" baseField="4" baseItem="0"/>
    <dataField name="PAGOS " fld="28" baseField="4" baseItem="0"/>
    <dataField name=" SALDO APROPIACIÓN CDP" fld="29" baseField="4" baseItem="0" numFmtId="43"/>
    <dataField name="SALDO APROPIACIÓN RP" fld="30" baseField="4" baseItem="0" numFmtId="43"/>
    <dataField name="Suma de % CDP" fld="31" baseField="0" baseItem="0" numFmtId="43"/>
    <dataField name="Suma de % RP" fld="32" baseField="0" baseItem="0" numFmtId="43"/>
  </dataFields>
  <formats count="326">
    <format dxfId="5199">
      <pivotArea dataOnly="0" labelOnly="1" fieldPosition="0">
        <references count="1">
          <reference field="4" count="0"/>
        </references>
      </pivotArea>
    </format>
    <format dxfId="5198">
      <pivotArea dataOnly="0" labelOnly="1" fieldPosition="0">
        <references count="1">
          <reference field="4" count="1">
            <x v="0"/>
          </reference>
        </references>
      </pivotArea>
    </format>
    <format dxfId="5197">
      <pivotArea dataOnly="0" labelOnly="1" fieldPosition="0">
        <references count="1">
          <reference field="6" count="0"/>
        </references>
      </pivotArea>
    </format>
    <format dxfId="5196">
      <pivotArea dataOnly="0" labelOnly="1" fieldPosition="0">
        <references count="1">
          <reference field="7" count="0"/>
        </references>
      </pivotArea>
    </format>
    <format dxfId="5195">
      <pivotArea dataOnly="0" labelOnly="1" fieldPosition="0">
        <references count="1">
          <reference field="7" count="0"/>
        </references>
      </pivotArea>
    </format>
    <format dxfId="5194">
      <pivotArea dataOnly="0" labelOnly="1" fieldPosition="0">
        <references count="1">
          <reference field="8" count="0"/>
        </references>
      </pivotArea>
    </format>
    <format dxfId="5193">
      <pivotArea outline="0" collapsedLevelsAreSubtotals="1" fieldPosition="0"/>
    </format>
    <format dxfId="5192">
      <pivotArea dataOnly="0" labelOnly="1" outline="0" fieldPosition="0">
        <references count="1">
          <reference field="2" count="0"/>
        </references>
      </pivotArea>
    </format>
    <format dxfId="5191">
      <pivotArea dataOnly="0" labelOnly="1" outline="0" fieldPosition="0">
        <references count="1">
          <reference field="4294967294" count="9">
            <x v="0"/>
            <x v="1"/>
            <x v="2"/>
            <x v="3"/>
            <x v="4"/>
            <x v="5"/>
            <x v="6"/>
            <x v="7"/>
            <x v="8"/>
          </reference>
        </references>
      </pivotArea>
    </format>
    <format dxfId="5190">
      <pivotArea field="2" type="button" dataOnly="0" labelOnly="1" outline="0" axis="axisPage" fieldPosition="0"/>
    </format>
    <format dxfId="5189">
      <pivotArea field="4" type="button" dataOnly="0" labelOnly="1" outline="0" axis="axisRow" fieldPosition="0"/>
    </format>
    <format dxfId="5188">
      <pivotArea dataOnly="0" labelOnly="1" fieldPosition="0">
        <references count="1">
          <reference field="4" count="0"/>
        </references>
      </pivotArea>
    </format>
    <format dxfId="5187">
      <pivotArea dataOnly="0" labelOnly="1" grandRow="1" outline="0" fieldPosition="0"/>
    </format>
    <format dxfId="5186">
      <pivotArea dataOnly="0" labelOnly="1" fieldPosition="0">
        <references count="2">
          <reference field="4" count="1" selected="0">
            <x v="0"/>
          </reference>
          <reference field="6" count="2">
            <x v="0"/>
            <x v="1"/>
          </reference>
        </references>
      </pivotArea>
    </format>
    <format dxfId="5185">
      <pivotArea dataOnly="0" labelOnly="1" fieldPosition="0">
        <references count="2">
          <reference field="4" count="1" selected="0">
            <x v="1"/>
          </reference>
          <reference field="6" count="3">
            <x v="0"/>
            <x v="3"/>
            <x v="4"/>
          </reference>
        </references>
      </pivotArea>
    </format>
    <format dxfId="5184">
      <pivotArea dataOnly="0" labelOnly="1" fieldPosition="0">
        <references count="2">
          <reference field="4" count="1" selected="0">
            <x v="2"/>
          </reference>
          <reference field="6" count="3">
            <x v="2"/>
            <x v="3"/>
            <x v="4"/>
          </reference>
        </references>
      </pivotArea>
    </format>
    <format dxfId="5183">
      <pivotArea dataOnly="0" labelOnly="1" fieldPosition="0">
        <references count="2">
          <reference field="4" count="1" selected="0">
            <x v="3"/>
          </reference>
          <reference field="6" count="1">
            <x v="3"/>
          </reference>
        </references>
      </pivotArea>
    </format>
    <format dxfId="5182">
      <pivotArea dataOnly="0" labelOnly="1" fieldPosition="0">
        <references count="2">
          <reference field="4" count="1" selected="0">
            <x v="4"/>
          </reference>
          <reference field="6" count="4">
            <x v="0"/>
            <x v="1"/>
            <x v="2"/>
            <x v="3"/>
          </reference>
        </references>
      </pivotArea>
    </format>
    <format dxfId="5181">
      <pivotArea dataOnly="0" labelOnly="1" fieldPosition="0">
        <references count="2">
          <reference field="4" count="1" selected="0">
            <x v="5"/>
          </reference>
          <reference field="6" count="2">
            <x v="0"/>
            <x v="4"/>
          </reference>
        </references>
      </pivotArea>
    </format>
    <format dxfId="5180">
      <pivotArea dataOnly="0" labelOnly="1" fieldPosition="0">
        <references count="2">
          <reference field="4" count="1" selected="0">
            <x v="6"/>
          </reference>
          <reference field="6" count="1">
            <x v="1"/>
          </reference>
        </references>
      </pivotArea>
    </format>
    <format dxfId="5179">
      <pivotArea dataOnly="0" labelOnly="1" fieldPosition="0">
        <references count="2">
          <reference field="4" count="1" selected="0">
            <x v="7"/>
          </reference>
          <reference field="6" count="4">
            <x v="0"/>
            <x v="2"/>
            <x v="3"/>
            <x v="4"/>
          </reference>
        </references>
      </pivotArea>
    </format>
    <format dxfId="5178">
      <pivotArea dataOnly="0" labelOnly="1" fieldPosition="0">
        <references count="2">
          <reference field="4" count="1" selected="0">
            <x v="8"/>
          </reference>
          <reference field="6" count="4">
            <x v="0"/>
            <x v="1"/>
            <x v="2"/>
            <x v="3"/>
          </reference>
        </references>
      </pivotArea>
    </format>
    <format dxfId="5177">
      <pivotArea dataOnly="0" labelOnly="1" fieldPosition="0">
        <references count="2">
          <reference field="4" count="1" selected="0">
            <x v="9"/>
          </reference>
          <reference field="6" count="1">
            <x v="1"/>
          </reference>
        </references>
      </pivotArea>
    </format>
    <format dxfId="5176">
      <pivotArea dataOnly="0" labelOnly="1" fieldPosition="0">
        <references count="2">
          <reference field="4" count="1" selected="0">
            <x v="10"/>
          </reference>
          <reference field="6" count="1">
            <x v="3"/>
          </reference>
        </references>
      </pivotArea>
    </format>
    <format dxfId="5175">
      <pivotArea dataOnly="0" labelOnly="1" fieldPosition="0">
        <references count="2">
          <reference field="4" count="1" selected="0">
            <x v="11"/>
          </reference>
          <reference field="6" count="1">
            <x v="0"/>
          </reference>
        </references>
      </pivotArea>
    </format>
    <format dxfId="5174">
      <pivotArea dataOnly="0" labelOnly="1" fieldPosition="0">
        <references count="2">
          <reference field="4" count="1" selected="0">
            <x v="12"/>
          </reference>
          <reference field="6" count="1">
            <x v="0"/>
          </reference>
        </references>
      </pivotArea>
    </format>
    <format dxfId="5173">
      <pivotArea dataOnly="0" labelOnly="1" fieldPosition="0">
        <references count="2">
          <reference field="4" count="1" selected="0">
            <x v="13"/>
          </reference>
          <reference field="6" count="1">
            <x v="3"/>
          </reference>
        </references>
      </pivotArea>
    </format>
    <format dxfId="5172">
      <pivotArea dataOnly="0" labelOnly="1" fieldPosition="0">
        <references count="2">
          <reference field="4" count="1" selected="0">
            <x v="14"/>
          </reference>
          <reference field="6" count="1">
            <x v="1"/>
          </reference>
        </references>
      </pivotArea>
    </format>
    <format dxfId="5171">
      <pivotArea dataOnly="0" labelOnly="1" fieldPosition="0">
        <references count="2">
          <reference field="4" count="1" selected="0">
            <x v="15"/>
          </reference>
          <reference field="6" count="1">
            <x v="0"/>
          </reference>
        </references>
      </pivotArea>
    </format>
    <format dxfId="5170">
      <pivotArea dataOnly="0" labelOnly="1" fieldPosition="0">
        <references count="2">
          <reference field="4" count="1" selected="0">
            <x v="16"/>
          </reference>
          <reference field="6" count="3">
            <x v="1"/>
            <x v="3"/>
            <x v="4"/>
          </reference>
        </references>
      </pivotArea>
    </format>
    <format dxfId="5169">
      <pivotArea dataOnly="0" labelOnly="1" fieldPosition="0">
        <references count="2">
          <reference field="4" count="1" selected="0">
            <x v="17"/>
          </reference>
          <reference field="6" count="1">
            <x v="0"/>
          </reference>
        </references>
      </pivotArea>
    </format>
    <format dxfId="5168">
      <pivotArea dataOnly="0" labelOnly="1" fieldPosition="0">
        <references count="2">
          <reference field="4" count="1" selected="0">
            <x v="18"/>
          </reference>
          <reference field="6" count="1">
            <x v="3"/>
          </reference>
        </references>
      </pivotArea>
    </format>
    <format dxfId="5167">
      <pivotArea dataOnly="0" labelOnly="1" fieldPosition="0">
        <references count="2">
          <reference field="4" count="1" selected="0">
            <x v="19"/>
          </reference>
          <reference field="6" count="1">
            <x v="3"/>
          </reference>
        </references>
      </pivotArea>
    </format>
    <format dxfId="5166">
      <pivotArea dataOnly="0" labelOnly="1" fieldPosition="0">
        <references count="2">
          <reference field="4" count="1" selected="0">
            <x v="20"/>
          </reference>
          <reference field="6" count="1">
            <x v="1"/>
          </reference>
        </references>
      </pivotArea>
    </format>
    <format dxfId="5165">
      <pivotArea dataOnly="0" labelOnly="1" fieldPosition="0">
        <references count="3">
          <reference field="4" count="1" selected="0">
            <x v="0"/>
          </reference>
          <reference field="6" count="1" selected="0">
            <x v="0"/>
          </reference>
          <reference field="7" count="2">
            <x v="17"/>
            <x v="19"/>
          </reference>
        </references>
      </pivotArea>
    </format>
    <format dxfId="5164">
      <pivotArea dataOnly="0" labelOnly="1" fieldPosition="0">
        <references count="3">
          <reference field="4" count="1" selected="0">
            <x v="0"/>
          </reference>
          <reference field="6" count="1" selected="0">
            <x v="1"/>
          </reference>
          <reference field="7" count="2">
            <x v="23"/>
            <x v="26"/>
          </reference>
        </references>
      </pivotArea>
    </format>
    <format dxfId="5163">
      <pivotArea dataOnly="0" labelOnly="1" fieldPosition="0">
        <references count="3">
          <reference field="4" count="1" selected="0">
            <x v="1"/>
          </reference>
          <reference field="6" count="1" selected="0">
            <x v="0"/>
          </reference>
          <reference field="7" count="1">
            <x v="19"/>
          </reference>
        </references>
      </pivotArea>
    </format>
    <format dxfId="5162">
      <pivotArea dataOnly="0" labelOnly="1" fieldPosition="0">
        <references count="3">
          <reference field="4" count="1" selected="0">
            <x v="1"/>
          </reference>
          <reference field="6" count="1" selected="0">
            <x v="3"/>
          </reference>
          <reference field="7" count="3">
            <x v="2"/>
            <x v="3"/>
            <x v="4"/>
          </reference>
        </references>
      </pivotArea>
    </format>
    <format dxfId="5161">
      <pivotArea dataOnly="0" labelOnly="1" fieldPosition="0">
        <references count="3">
          <reference field="4" count="1" selected="0">
            <x v="1"/>
          </reference>
          <reference field="6" count="1" selected="0">
            <x v="4"/>
          </reference>
          <reference field="7" count="1">
            <x v="8"/>
          </reference>
        </references>
      </pivotArea>
    </format>
    <format dxfId="5160">
      <pivotArea dataOnly="0" labelOnly="1" fieldPosition="0">
        <references count="3">
          <reference field="4" count="1" selected="0">
            <x v="2"/>
          </reference>
          <reference field="6" count="1" selected="0">
            <x v="2"/>
          </reference>
          <reference field="7" count="2">
            <x v="29"/>
            <x v="30"/>
          </reference>
        </references>
      </pivotArea>
    </format>
    <format dxfId="5159">
      <pivotArea dataOnly="0" labelOnly="1" fieldPosition="0">
        <references count="3">
          <reference field="4" count="1" selected="0">
            <x v="2"/>
          </reference>
          <reference field="6" count="1" selected="0">
            <x v="3"/>
          </reference>
          <reference field="7" count="2">
            <x v="5"/>
            <x v="7"/>
          </reference>
        </references>
      </pivotArea>
    </format>
    <format dxfId="5158">
      <pivotArea dataOnly="0" labelOnly="1" fieldPosition="0">
        <references count="3">
          <reference field="4" count="1" selected="0">
            <x v="2"/>
          </reference>
          <reference field="6" count="1" selected="0">
            <x v="4"/>
          </reference>
          <reference field="7" count="1">
            <x v="8"/>
          </reference>
        </references>
      </pivotArea>
    </format>
    <format dxfId="5157">
      <pivotArea dataOnly="0" labelOnly="1" fieldPosition="0">
        <references count="3">
          <reference field="4" count="1" selected="0">
            <x v="3"/>
          </reference>
          <reference field="6" count="1" selected="0">
            <x v="3"/>
          </reference>
          <reference field="7" count="1">
            <x v="6"/>
          </reference>
        </references>
      </pivotArea>
    </format>
    <format dxfId="5156">
      <pivotArea dataOnly="0" labelOnly="1" fieldPosition="0">
        <references count="3">
          <reference field="4" count="1" selected="0">
            <x v="4"/>
          </reference>
          <reference field="6" count="1" selected="0">
            <x v="0"/>
          </reference>
          <reference field="7" count="1">
            <x v="21"/>
          </reference>
        </references>
      </pivotArea>
    </format>
    <format dxfId="5155">
      <pivotArea dataOnly="0" labelOnly="1" fieldPosition="0">
        <references count="3">
          <reference field="4" count="1" selected="0">
            <x v="4"/>
          </reference>
          <reference field="6" count="1" selected="0">
            <x v="1"/>
          </reference>
          <reference field="7" count="1">
            <x v="24"/>
          </reference>
        </references>
      </pivotArea>
    </format>
    <format dxfId="5154">
      <pivotArea dataOnly="0" labelOnly="1" fieldPosition="0">
        <references count="3">
          <reference field="4" count="1" selected="0">
            <x v="4"/>
          </reference>
          <reference field="6" count="1" selected="0">
            <x v="2"/>
          </reference>
          <reference field="7" count="2">
            <x v="29"/>
            <x v="31"/>
          </reference>
        </references>
      </pivotArea>
    </format>
    <format dxfId="5153">
      <pivotArea dataOnly="0" labelOnly="1" fieldPosition="0">
        <references count="3">
          <reference field="4" count="1" selected="0">
            <x v="4"/>
          </reference>
          <reference field="6" count="1" selected="0">
            <x v="3"/>
          </reference>
          <reference field="7" count="2">
            <x v="0"/>
            <x v="1"/>
          </reference>
        </references>
      </pivotArea>
    </format>
    <format dxfId="5152">
      <pivotArea dataOnly="0" labelOnly="1" fieldPosition="0">
        <references count="3">
          <reference field="4" count="1" selected="0">
            <x v="5"/>
          </reference>
          <reference field="6" count="1" selected="0">
            <x v="0"/>
          </reference>
          <reference field="7" count="2">
            <x v="18"/>
            <x v="22"/>
          </reference>
        </references>
      </pivotArea>
    </format>
    <format dxfId="5151">
      <pivotArea dataOnly="0" labelOnly="1" fieldPosition="0">
        <references count="3">
          <reference field="4" count="1" selected="0">
            <x v="5"/>
          </reference>
          <reference field="6" count="1" selected="0">
            <x v="4"/>
          </reference>
          <reference field="7" count="1">
            <x v="8"/>
          </reference>
        </references>
      </pivotArea>
    </format>
    <format dxfId="5150">
      <pivotArea dataOnly="0" labelOnly="1" fieldPosition="0">
        <references count="3">
          <reference field="4" count="1" selected="0">
            <x v="6"/>
          </reference>
          <reference field="6" count="1" selected="0">
            <x v="1"/>
          </reference>
          <reference field="7" count="1">
            <x v="24"/>
          </reference>
        </references>
      </pivotArea>
    </format>
    <format dxfId="5149">
      <pivotArea dataOnly="0" labelOnly="1" fieldPosition="0">
        <references count="3">
          <reference field="4" count="1" selected="0">
            <x v="7"/>
          </reference>
          <reference field="6" count="1" selected="0">
            <x v="0"/>
          </reference>
          <reference field="7" count="1">
            <x v="16"/>
          </reference>
        </references>
      </pivotArea>
    </format>
    <format dxfId="5148">
      <pivotArea dataOnly="0" labelOnly="1" fieldPosition="0">
        <references count="3">
          <reference field="4" count="1" selected="0">
            <x v="7"/>
          </reference>
          <reference field="6" count="1" selected="0">
            <x v="2"/>
          </reference>
          <reference field="7" count="2">
            <x v="29"/>
            <x v="30"/>
          </reference>
        </references>
      </pivotArea>
    </format>
    <format dxfId="5147">
      <pivotArea dataOnly="0" labelOnly="1" fieldPosition="0">
        <references count="3">
          <reference field="4" count="1" selected="0">
            <x v="7"/>
          </reference>
          <reference field="6" count="1" selected="0">
            <x v="3"/>
          </reference>
          <reference field="7" count="1">
            <x v="6"/>
          </reference>
        </references>
      </pivotArea>
    </format>
    <format dxfId="5146">
      <pivotArea dataOnly="0" labelOnly="1" fieldPosition="0">
        <references count="3">
          <reference field="4" count="1" selected="0">
            <x v="7"/>
          </reference>
          <reference field="6" count="1" selected="0">
            <x v="4"/>
          </reference>
          <reference field="7" count="8">
            <x v="8"/>
            <x v="9"/>
            <x v="10"/>
            <x v="11"/>
            <x v="12"/>
            <x v="13"/>
            <x v="14"/>
            <x v="15"/>
          </reference>
        </references>
      </pivotArea>
    </format>
    <format dxfId="5145">
      <pivotArea dataOnly="0" labelOnly="1" fieldPosition="0">
        <references count="3">
          <reference field="4" count="1" selected="0">
            <x v="8"/>
          </reference>
          <reference field="6" count="1" selected="0">
            <x v="0"/>
          </reference>
          <reference field="7" count="2">
            <x v="18"/>
            <x v="22"/>
          </reference>
        </references>
      </pivotArea>
    </format>
    <format dxfId="5144">
      <pivotArea dataOnly="0" labelOnly="1" fieldPosition="0">
        <references count="3">
          <reference field="4" count="1" selected="0">
            <x v="8"/>
          </reference>
          <reference field="6" count="1" selected="0">
            <x v="1"/>
          </reference>
          <reference field="7" count="1">
            <x v="28"/>
          </reference>
        </references>
      </pivotArea>
    </format>
    <format dxfId="5143">
      <pivotArea dataOnly="0" labelOnly="1" fieldPosition="0">
        <references count="3">
          <reference field="4" count="1" selected="0">
            <x v="8"/>
          </reference>
          <reference field="6" count="1" selected="0">
            <x v="2"/>
          </reference>
          <reference field="7" count="1">
            <x v="32"/>
          </reference>
        </references>
      </pivotArea>
    </format>
    <format dxfId="5142">
      <pivotArea dataOnly="0" labelOnly="1" fieldPosition="0">
        <references count="3">
          <reference field="4" count="1" selected="0">
            <x v="8"/>
          </reference>
          <reference field="6" count="1" selected="0">
            <x v="3"/>
          </reference>
          <reference field="7" count="1">
            <x v="6"/>
          </reference>
        </references>
      </pivotArea>
    </format>
    <format dxfId="5141">
      <pivotArea dataOnly="0" labelOnly="1" fieldPosition="0">
        <references count="3">
          <reference field="4" count="1" selected="0">
            <x v="9"/>
          </reference>
          <reference field="6" count="1" selected="0">
            <x v="1"/>
          </reference>
          <reference field="7" count="1">
            <x v="25"/>
          </reference>
        </references>
      </pivotArea>
    </format>
    <format dxfId="5140">
      <pivotArea dataOnly="0" labelOnly="1" fieldPosition="0">
        <references count="3">
          <reference field="4" count="1" selected="0">
            <x v="10"/>
          </reference>
          <reference field="6" count="1" selected="0">
            <x v="3"/>
          </reference>
          <reference field="7" count="1">
            <x v="6"/>
          </reference>
        </references>
      </pivotArea>
    </format>
    <format dxfId="5139">
      <pivotArea dataOnly="0" labelOnly="1" fieldPosition="0">
        <references count="3">
          <reference field="4" count="1" selected="0">
            <x v="11"/>
          </reference>
          <reference field="6" count="1" selected="0">
            <x v="0"/>
          </reference>
          <reference field="7" count="1">
            <x v="17"/>
          </reference>
        </references>
      </pivotArea>
    </format>
    <format dxfId="5138">
      <pivotArea dataOnly="0" labelOnly="1" fieldPosition="0">
        <references count="3">
          <reference field="4" count="1" selected="0">
            <x v="12"/>
          </reference>
          <reference field="6" count="1" selected="0">
            <x v="0"/>
          </reference>
          <reference field="7" count="1">
            <x v="18"/>
          </reference>
        </references>
      </pivotArea>
    </format>
    <format dxfId="5137">
      <pivotArea dataOnly="0" labelOnly="1" fieldPosition="0">
        <references count="3">
          <reference field="4" count="1" selected="0">
            <x v="13"/>
          </reference>
          <reference field="6" count="1" selected="0">
            <x v="3"/>
          </reference>
          <reference field="7" count="2">
            <x v="1"/>
            <x v="5"/>
          </reference>
        </references>
      </pivotArea>
    </format>
    <format dxfId="5136">
      <pivotArea dataOnly="0" labelOnly="1" fieldPosition="0">
        <references count="3">
          <reference field="4" count="1" selected="0">
            <x v="14"/>
          </reference>
          <reference field="6" count="1" selected="0">
            <x v="1"/>
          </reference>
          <reference field="7" count="1">
            <x v="26"/>
          </reference>
        </references>
      </pivotArea>
    </format>
    <format dxfId="5135">
      <pivotArea dataOnly="0" labelOnly="1" fieldPosition="0">
        <references count="3">
          <reference field="4" count="1" selected="0">
            <x v="15"/>
          </reference>
          <reference field="6" count="1" selected="0">
            <x v="0"/>
          </reference>
          <reference field="7" count="1">
            <x v="20"/>
          </reference>
        </references>
      </pivotArea>
    </format>
    <format dxfId="5134">
      <pivotArea dataOnly="0" labelOnly="1" fieldPosition="0">
        <references count="3">
          <reference field="4" count="1" selected="0">
            <x v="16"/>
          </reference>
          <reference field="6" count="1" selected="0">
            <x v="1"/>
          </reference>
          <reference field="7" count="1">
            <x v="27"/>
          </reference>
        </references>
      </pivotArea>
    </format>
    <format dxfId="5133">
      <pivotArea dataOnly="0" labelOnly="1" fieldPosition="0">
        <references count="3">
          <reference field="4" count="1" selected="0">
            <x v="16"/>
          </reference>
          <reference field="6" count="1" selected="0">
            <x v="3"/>
          </reference>
          <reference field="7" count="1">
            <x v="1"/>
          </reference>
        </references>
      </pivotArea>
    </format>
    <format dxfId="5132">
      <pivotArea dataOnly="0" labelOnly="1" fieldPosition="0">
        <references count="3">
          <reference field="4" count="1" selected="0">
            <x v="16"/>
          </reference>
          <reference field="6" count="1" selected="0">
            <x v="4"/>
          </reference>
          <reference field="7" count="2">
            <x v="8"/>
            <x v="11"/>
          </reference>
        </references>
      </pivotArea>
    </format>
    <format dxfId="5131">
      <pivotArea dataOnly="0" labelOnly="1" fieldPosition="0">
        <references count="3">
          <reference field="4" count="1" selected="0">
            <x v="17"/>
          </reference>
          <reference field="6" count="1" selected="0">
            <x v="0"/>
          </reference>
          <reference field="7" count="2">
            <x v="16"/>
            <x v="22"/>
          </reference>
        </references>
      </pivotArea>
    </format>
    <format dxfId="5130">
      <pivotArea dataOnly="0" labelOnly="1" fieldPosition="0">
        <references count="3">
          <reference field="4" count="1" selected="0">
            <x v="18"/>
          </reference>
          <reference field="6" count="1" selected="0">
            <x v="3"/>
          </reference>
          <reference field="7" count="1">
            <x v="2"/>
          </reference>
        </references>
      </pivotArea>
    </format>
    <format dxfId="5129">
      <pivotArea dataOnly="0" labelOnly="1" fieldPosition="0">
        <references count="3">
          <reference field="4" count="1" selected="0">
            <x v="19"/>
          </reference>
          <reference field="6" count="1" selected="0">
            <x v="3"/>
          </reference>
          <reference field="7" count="1">
            <x v="6"/>
          </reference>
        </references>
      </pivotArea>
    </format>
    <format dxfId="5128">
      <pivotArea dataOnly="0" labelOnly="1" fieldPosition="0">
        <references count="3">
          <reference field="4" count="1" selected="0">
            <x v="20"/>
          </reference>
          <reference field="6" count="1" selected="0">
            <x v="1"/>
          </reference>
          <reference field="7" count="1">
            <x v="24"/>
          </reference>
        </references>
      </pivotArea>
    </format>
    <format dxfId="5127">
      <pivotArea dataOnly="0" labelOnly="1" fieldPosition="0">
        <references count="4">
          <reference field="4" count="1" selected="0">
            <x v="0"/>
          </reference>
          <reference field="6" count="1" selected="0">
            <x v="0"/>
          </reference>
          <reference field="7" count="1" selected="0">
            <x v="17"/>
          </reference>
          <reference field="8" count="5">
            <x v="65"/>
            <x v="66"/>
            <x v="67"/>
            <x v="68"/>
            <x v="69"/>
          </reference>
        </references>
      </pivotArea>
    </format>
    <format dxfId="5126">
      <pivotArea dataOnly="0" labelOnly="1" fieldPosition="0">
        <references count="4">
          <reference field="4" count="1" selected="0">
            <x v="0"/>
          </reference>
          <reference field="6" count="1" selected="0">
            <x v="0"/>
          </reference>
          <reference field="7" count="1" selected="0">
            <x v="19"/>
          </reference>
          <reference field="8" count="3">
            <x v="78"/>
            <x v="79"/>
            <x v="80"/>
          </reference>
        </references>
      </pivotArea>
    </format>
    <format dxfId="5125">
      <pivotArea dataOnly="0" labelOnly="1" fieldPosition="0">
        <references count="4">
          <reference field="4" count="1" selected="0">
            <x v="0"/>
          </reference>
          <reference field="6" count="1" selected="0">
            <x v="1"/>
          </reference>
          <reference field="7" count="1" selected="0">
            <x v="23"/>
          </reference>
          <reference field="8" count="10">
            <x v="95"/>
            <x v="96"/>
            <x v="97"/>
            <x v="98"/>
            <x v="99"/>
            <x v="100"/>
            <x v="101"/>
            <x v="102"/>
            <x v="103"/>
            <x v="104"/>
          </reference>
        </references>
      </pivotArea>
    </format>
    <format dxfId="5124">
      <pivotArea dataOnly="0" labelOnly="1" fieldPosition="0">
        <references count="4">
          <reference field="4" count="1" selected="0">
            <x v="0"/>
          </reference>
          <reference field="6" count="1" selected="0">
            <x v="1"/>
          </reference>
          <reference field="7" count="1" selected="0">
            <x v="26"/>
          </reference>
          <reference field="8" count="1">
            <x v="131"/>
          </reference>
        </references>
      </pivotArea>
    </format>
    <format dxfId="5123">
      <pivotArea dataOnly="0" labelOnly="1" fieldPosition="0">
        <references count="4">
          <reference field="4" count="1" selected="0">
            <x v="1"/>
          </reference>
          <reference field="6" count="1" selected="0">
            <x v="0"/>
          </reference>
          <reference field="7" count="1" selected="0">
            <x v="19"/>
          </reference>
          <reference field="8" count="1">
            <x v="81"/>
          </reference>
        </references>
      </pivotArea>
    </format>
    <format dxfId="5122">
      <pivotArea dataOnly="0" labelOnly="1" fieldPosition="0">
        <references count="4">
          <reference field="4" count="1" selected="0">
            <x v="1"/>
          </reference>
          <reference field="6" count="1" selected="0">
            <x v="3"/>
          </reference>
          <reference field="7" count="1" selected="0">
            <x v="2"/>
          </reference>
          <reference field="8" count="7">
            <x v="7"/>
            <x v="10"/>
            <x v="11"/>
            <x v="12"/>
            <x v="13"/>
            <x v="14"/>
            <x v="15"/>
          </reference>
        </references>
      </pivotArea>
    </format>
    <format dxfId="5121">
      <pivotArea dataOnly="0" labelOnly="1" fieldPosition="0">
        <references count="4">
          <reference field="4" count="1" selected="0">
            <x v="1"/>
          </reference>
          <reference field="6" count="1" selected="0">
            <x v="3"/>
          </reference>
          <reference field="7" count="1" selected="0">
            <x v="3"/>
          </reference>
          <reference field="8" count="2">
            <x v="18"/>
            <x v="19"/>
          </reference>
        </references>
      </pivotArea>
    </format>
    <format dxfId="5120">
      <pivotArea dataOnly="0" labelOnly="1" fieldPosition="0">
        <references count="4">
          <reference field="4" count="1" selected="0">
            <x v="1"/>
          </reference>
          <reference field="6" count="1" selected="0">
            <x v="3"/>
          </reference>
          <reference field="7" count="1" selected="0">
            <x v="4"/>
          </reference>
          <reference field="8" count="2">
            <x v="20"/>
            <x v="21"/>
          </reference>
        </references>
      </pivotArea>
    </format>
    <format dxfId="5119">
      <pivotArea dataOnly="0" labelOnly="1" fieldPosition="0">
        <references count="4">
          <reference field="4" count="1" selected="0">
            <x v="1"/>
          </reference>
          <reference field="6" count="1" selected="0">
            <x v="4"/>
          </reference>
          <reference field="7" count="1" selected="0">
            <x v="8"/>
          </reference>
          <reference field="8" count="3">
            <x v="33"/>
            <x v="34"/>
            <x v="39"/>
          </reference>
        </references>
      </pivotArea>
    </format>
    <format dxfId="5118">
      <pivotArea dataOnly="0" labelOnly="1" fieldPosition="0">
        <references count="4">
          <reference field="4" count="1" selected="0">
            <x v="2"/>
          </reference>
          <reference field="6" count="1" selected="0">
            <x v="2"/>
          </reference>
          <reference field="7" count="1" selected="0">
            <x v="29"/>
          </reference>
          <reference field="8" count="6">
            <x v="145"/>
            <x v="146"/>
            <x v="147"/>
            <x v="148"/>
            <x v="149"/>
            <x v="150"/>
          </reference>
        </references>
      </pivotArea>
    </format>
    <format dxfId="5117">
      <pivotArea dataOnly="0" labelOnly="1" fieldPosition="0">
        <references count="4">
          <reference field="4" count="1" selected="0">
            <x v="2"/>
          </reference>
          <reference field="6" count="1" selected="0">
            <x v="2"/>
          </reference>
          <reference field="7" count="1" selected="0">
            <x v="30"/>
          </reference>
          <reference field="8" count="2">
            <x v="152"/>
            <x v="153"/>
          </reference>
        </references>
      </pivotArea>
    </format>
    <format dxfId="5116">
      <pivotArea dataOnly="0" labelOnly="1" fieldPosition="0">
        <references count="4">
          <reference field="4" count="1" selected="0">
            <x v="2"/>
          </reference>
          <reference field="6" count="1" selected="0">
            <x v="3"/>
          </reference>
          <reference field="7" count="1" selected="0">
            <x v="5"/>
          </reference>
          <reference field="8" count="1">
            <x v="24"/>
          </reference>
        </references>
      </pivotArea>
    </format>
    <format dxfId="5115">
      <pivotArea dataOnly="0" labelOnly="1" fieldPosition="0">
        <references count="4">
          <reference field="4" count="1" selected="0">
            <x v="2"/>
          </reference>
          <reference field="6" count="1" selected="0">
            <x v="3"/>
          </reference>
          <reference field="7" count="1" selected="0">
            <x v="7"/>
          </reference>
          <reference field="8" count="2">
            <x v="31"/>
            <x v="32"/>
          </reference>
        </references>
      </pivotArea>
    </format>
    <format dxfId="5114">
      <pivotArea dataOnly="0" labelOnly="1" fieldPosition="0">
        <references count="4">
          <reference field="4" count="1" selected="0">
            <x v="2"/>
          </reference>
          <reference field="6" count="1" selected="0">
            <x v="4"/>
          </reference>
          <reference field="7" count="1" selected="0">
            <x v="8"/>
          </reference>
          <reference field="8" count="2">
            <x v="36"/>
            <x v="39"/>
          </reference>
        </references>
      </pivotArea>
    </format>
    <format dxfId="5113">
      <pivotArea dataOnly="0" labelOnly="1" fieldPosition="0">
        <references count="4">
          <reference field="4" count="1" selected="0">
            <x v="3"/>
          </reference>
          <reference field="6" count="1" selected="0">
            <x v="3"/>
          </reference>
          <reference field="7" count="1" selected="0">
            <x v="6"/>
          </reference>
          <reference field="8" count="1">
            <x v="29"/>
          </reference>
        </references>
      </pivotArea>
    </format>
    <format dxfId="5112">
      <pivotArea dataOnly="0" labelOnly="1" fieldPosition="0">
        <references count="4">
          <reference field="4" count="1" selected="0">
            <x v="4"/>
          </reference>
          <reference field="6" count="1" selected="0">
            <x v="0"/>
          </reference>
          <reference field="7" count="1" selected="0">
            <x v="21"/>
          </reference>
          <reference field="8" count="5">
            <x v="87"/>
            <x v="88"/>
            <x v="89"/>
            <x v="90"/>
            <x v="91"/>
          </reference>
        </references>
      </pivotArea>
    </format>
    <format dxfId="5111">
      <pivotArea dataOnly="0" labelOnly="1" fieldPosition="0">
        <references count="4">
          <reference field="4" count="1" selected="0">
            <x v="4"/>
          </reference>
          <reference field="6" count="1" selected="0">
            <x v="1"/>
          </reference>
          <reference field="7" count="1" selected="0">
            <x v="24"/>
          </reference>
          <reference field="8" count="1">
            <x v="114"/>
          </reference>
        </references>
      </pivotArea>
    </format>
    <format dxfId="5110">
      <pivotArea dataOnly="0" labelOnly="1" fieldPosition="0">
        <references count="4">
          <reference field="4" count="1" selected="0">
            <x v="4"/>
          </reference>
          <reference field="6" count="1" selected="0">
            <x v="2"/>
          </reference>
          <reference field="7" count="1" selected="0">
            <x v="29"/>
          </reference>
          <reference field="8" count="3">
            <x v="142"/>
            <x v="143"/>
            <x v="151"/>
          </reference>
        </references>
      </pivotArea>
    </format>
    <format dxfId="5109">
      <pivotArea dataOnly="0" labelOnly="1" fieldPosition="0">
        <references count="4">
          <reference field="4" count="1" selected="0">
            <x v="4"/>
          </reference>
          <reference field="6" count="1" selected="0">
            <x v="2"/>
          </reference>
          <reference field="7" count="1" selected="0">
            <x v="31"/>
          </reference>
          <reference field="8" count="3">
            <x v="155"/>
            <x v="156"/>
            <x v="157"/>
          </reference>
        </references>
      </pivotArea>
    </format>
    <format dxfId="5108">
      <pivotArea dataOnly="0" labelOnly="1" fieldPosition="0">
        <references count="4">
          <reference field="4" count="1" selected="0">
            <x v="4"/>
          </reference>
          <reference field="6" count="1" selected="0">
            <x v="3"/>
          </reference>
          <reference field="7" count="1" selected="0">
            <x v="0"/>
          </reference>
          <reference field="8" count="2">
            <x v="0"/>
            <x v="1"/>
          </reference>
        </references>
      </pivotArea>
    </format>
    <format dxfId="5107">
      <pivotArea dataOnly="0" labelOnly="1" fieldPosition="0">
        <references count="4">
          <reference field="4" count="1" selected="0">
            <x v="4"/>
          </reference>
          <reference field="6" count="1" selected="0">
            <x v="3"/>
          </reference>
          <reference field="7" count="1" selected="0">
            <x v="1"/>
          </reference>
          <reference field="8" count="4">
            <x v="2"/>
            <x v="3"/>
            <x v="4"/>
            <x v="5"/>
          </reference>
        </references>
      </pivotArea>
    </format>
    <format dxfId="5106">
      <pivotArea dataOnly="0" labelOnly="1" fieldPosition="0">
        <references count="4">
          <reference field="4" count="1" selected="0">
            <x v="5"/>
          </reference>
          <reference field="6" count="1" selected="0">
            <x v="0"/>
          </reference>
          <reference field="7" count="1" selected="0">
            <x v="18"/>
          </reference>
          <reference field="8" count="3">
            <x v="73"/>
            <x v="74"/>
            <x v="77"/>
          </reference>
        </references>
      </pivotArea>
    </format>
    <format dxfId="5105">
      <pivotArea dataOnly="0" labelOnly="1" fieldPosition="0">
        <references count="4">
          <reference field="4" count="1" selected="0">
            <x v="5"/>
          </reference>
          <reference field="6" count="1" selected="0">
            <x v="0"/>
          </reference>
          <reference field="7" count="1" selected="0">
            <x v="22"/>
          </reference>
          <reference field="8" count="1">
            <x v="94"/>
          </reference>
        </references>
      </pivotArea>
    </format>
    <format dxfId="5104">
      <pivotArea dataOnly="0" labelOnly="1" fieldPosition="0">
        <references count="4">
          <reference field="4" count="1" selected="0">
            <x v="5"/>
          </reference>
          <reference field="6" count="1" selected="0">
            <x v="4"/>
          </reference>
          <reference field="7" count="1" selected="0">
            <x v="8"/>
          </reference>
          <reference field="8" count="1">
            <x v="37"/>
          </reference>
        </references>
      </pivotArea>
    </format>
    <format dxfId="5103">
      <pivotArea dataOnly="0" labelOnly="1" fieldPosition="0">
        <references count="4">
          <reference field="4" count="1" selected="0">
            <x v="6"/>
          </reference>
          <reference field="6" count="1" selected="0">
            <x v="1"/>
          </reference>
          <reference field="7" count="1" selected="0">
            <x v="24"/>
          </reference>
          <reference field="8" count="8">
            <x v="105"/>
            <x v="107"/>
            <x v="108"/>
            <x v="109"/>
            <x v="110"/>
            <x v="111"/>
            <x v="112"/>
            <x v="113"/>
          </reference>
        </references>
      </pivotArea>
    </format>
    <format dxfId="5102">
      <pivotArea dataOnly="0" labelOnly="1" fieldPosition="0">
        <references count="4">
          <reference field="4" count="1" selected="0">
            <x v="7"/>
          </reference>
          <reference field="6" count="1" selected="0">
            <x v="0"/>
          </reference>
          <reference field="7" count="1" selected="0">
            <x v="16"/>
          </reference>
          <reference field="8" count="1">
            <x v="64"/>
          </reference>
        </references>
      </pivotArea>
    </format>
    <format dxfId="5101">
      <pivotArea dataOnly="0" labelOnly="1" fieldPosition="0">
        <references count="4">
          <reference field="4" count="1" selected="0">
            <x v="7"/>
          </reference>
          <reference field="6" count="1" selected="0">
            <x v="2"/>
          </reference>
          <reference field="7" count="1" selected="0">
            <x v="29"/>
          </reference>
          <reference field="8" count="4">
            <x v="140"/>
            <x v="141"/>
            <x v="144"/>
            <x v="145"/>
          </reference>
        </references>
      </pivotArea>
    </format>
    <format dxfId="5100">
      <pivotArea dataOnly="0" labelOnly="1" fieldPosition="0">
        <references count="4">
          <reference field="4" count="1" selected="0">
            <x v="7"/>
          </reference>
          <reference field="6" count="1" selected="0">
            <x v="2"/>
          </reference>
          <reference field="7" count="1" selected="0">
            <x v="30"/>
          </reference>
          <reference field="8" count="1">
            <x v="154"/>
          </reference>
        </references>
      </pivotArea>
    </format>
    <format dxfId="5099">
      <pivotArea dataOnly="0" labelOnly="1" fieldPosition="0">
        <references count="4">
          <reference field="4" count="1" selected="0">
            <x v="7"/>
          </reference>
          <reference field="6" count="1" selected="0">
            <x v="3"/>
          </reference>
          <reference field="7" count="1" selected="0">
            <x v="6"/>
          </reference>
          <reference field="8" count="1">
            <x v="28"/>
          </reference>
        </references>
      </pivotArea>
    </format>
    <format dxfId="5098">
      <pivotArea dataOnly="0" labelOnly="1" fieldPosition="0">
        <references count="4">
          <reference field="4" count="1" selected="0">
            <x v="7"/>
          </reference>
          <reference field="6" count="1" selected="0">
            <x v="4"/>
          </reference>
          <reference field="7" count="1" selected="0">
            <x v="8"/>
          </reference>
          <reference field="8" count="2">
            <x v="35"/>
            <x v="36"/>
          </reference>
        </references>
      </pivotArea>
    </format>
    <format dxfId="5097">
      <pivotArea dataOnly="0" labelOnly="1" fieldPosition="0">
        <references count="4">
          <reference field="4" count="1" selected="0">
            <x v="7"/>
          </reference>
          <reference field="6" count="1" selected="0">
            <x v="4"/>
          </reference>
          <reference field="7" count="1" selected="0">
            <x v="9"/>
          </reference>
          <reference field="8" count="4">
            <x v="40"/>
            <x v="41"/>
            <x v="42"/>
            <x v="43"/>
          </reference>
        </references>
      </pivotArea>
    </format>
    <format dxfId="5096">
      <pivotArea dataOnly="0" labelOnly="1" fieldPosition="0">
        <references count="4">
          <reference field="4" count="1" selected="0">
            <x v="7"/>
          </reference>
          <reference field="6" count="1" selected="0">
            <x v="4"/>
          </reference>
          <reference field="7" count="1" selected="0">
            <x v="10"/>
          </reference>
          <reference field="8" count="4">
            <x v="44"/>
            <x v="45"/>
            <x v="46"/>
            <x v="47"/>
          </reference>
        </references>
      </pivotArea>
    </format>
    <format dxfId="5095">
      <pivotArea dataOnly="0" labelOnly="1" fieldPosition="0">
        <references count="4">
          <reference field="4" count="1" selected="0">
            <x v="7"/>
          </reference>
          <reference field="6" count="1" selected="0">
            <x v="4"/>
          </reference>
          <reference field="7" count="1" selected="0">
            <x v="11"/>
          </reference>
          <reference field="8" count="2">
            <x v="48"/>
            <x v="49"/>
          </reference>
        </references>
      </pivotArea>
    </format>
    <format dxfId="5094">
      <pivotArea dataOnly="0" labelOnly="1" fieldPosition="0">
        <references count="4">
          <reference field="4" count="1" selected="0">
            <x v="7"/>
          </reference>
          <reference field="6" count="1" selected="0">
            <x v="4"/>
          </reference>
          <reference field="7" count="1" selected="0">
            <x v="12"/>
          </reference>
          <reference field="8" count="1">
            <x v="50"/>
          </reference>
        </references>
      </pivotArea>
    </format>
    <format dxfId="5093">
      <pivotArea dataOnly="0" labelOnly="1" fieldPosition="0">
        <references count="4">
          <reference field="4" count="1" selected="0">
            <x v="7"/>
          </reference>
          <reference field="6" count="1" selected="0">
            <x v="4"/>
          </reference>
          <reference field="7" count="1" selected="0">
            <x v="13"/>
          </reference>
          <reference field="8" count="3">
            <x v="51"/>
            <x v="52"/>
            <x v="53"/>
          </reference>
        </references>
      </pivotArea>
    </format>
    <format dxfId="5092">
      <pivotArea dataOnly="0" labelOnly="1" fieldPosition="0">
        <references count="4">
          <reference field="4" count="1" selected="0">
            <x v="7"/>
          </reference>
          <reference field="6" count="1" selected="0">
            <x v="4"/>
          </reference>
          <reference field="7" count="1" selected="0">
            <x v="14"/>
          </reference>
          <reference field="8" count="2">
            <x v="54"/>
            <x v="55"/>
          </reference>
        </references>
      </pivotArea>
    </format>
    <format dxfId="5091">
      <pivotArea dataOnly="0" labelOnly="1" fieldPosition="0">
        <references count="4">
          <reference field="4" count="1" selected="0">
            <x v="7"/>
          </reference>
          <reference field="6" count="1" selected="0">
            <x v="4"/>
          </reference>
          <reference field="7" count="1" selected="0">
            <x v="15"/>
          </reference>
          <reference field="8" count="1">
            <x v="56"/>
          </reference>
        </references>
      </pivotArea>
    </format>
    <format dxfId="5090">
      <pivotArea dataOnly="0" labelOnly="1" fieldPosition="0">
        <references count="4">
          <reference field="4" count="1" selected="0">
            <x v="8"/>
          </reference>
          <reference field="6" count="1" selected="0">
            <x v="0"/>
          </reference>
          <reference field="7" count="1" selected="0">
            <x v="18"/>
          </reference>
          <reference field="8" count="1">
            <x v="77"/>
          </reference>
        </references>
      </pivotArea>
    </format>
    <format dxfId="5089">
      <pivotArea dataOnly="0" labelOnly="1" fieldPosition="0">
        <references count="4">
          <reference field="4" count="1" selected="0">
            <x v="8"/>
          </reference>
          <reference field="6" count="1" selected="0">
            <x v="0"/>
          </reference>
          <reference field="7" count="1" selected="0">
            <x v="22"/>
          </reference>
          <reference field="8" count="3">
            <x v="92"/>
            <x v="93"/>
            <x v="94"/>
          </reference>
        </references>
      </pivotArea>
    </format>
    <format dxfId="5088">
      <pivotArea dataOnly="0" labelOnly="1" fieldPosition="0">
        <references count="4">
          <reference field="4" count="1" selected="0">
            <x v="8"/>
          </reference>
          <reference field="6" count="1" selected="0">
            <x v="1"/>
          </reference>
          <reference field="7" count="1" selected="0">
            <x v="28"/>
          </reference>
          <reference field="8" count="2">
            <x v="138"/>
            <x v="139"/>
          </reference>
        </references>
      </pivotArea>
    </format>
    <format dxfId="5087">
      <pivotArea dataOnly="0" labelOnly="1" fieldPosition="0">
        <references count="4">
          <reference field="4" count="1" selected="0">
            <x v="8"/>
          </reference>
          <reference field="6" count="1" selected="0">
            <x v="2"/>
          </reference>
          <reference field="7" count="1" selected="0">
            <x v="32"/>
          </reference>
          <reference field="8" count="2">
            <x v="158"/>
            <x v="159"/>
          </reference>
        </references>
      </pivotArea>
    </format>
    <format dxfId="5086">
      <pivotArea dataOnly="0" labelOnly="1" fieldPosition="0">
        <references count="4">
          <reference field="4" count="1" selected="0">
            <x v="8"/>
          </reference>
          <reference field="6" count="1" selected="0">
            <x v="3"/>
          </reference>
          <reference field="7" count="1" selected="0">
            <x v="6"/>
          </reference>
          <reference field="8" count="2">
            <x v="29"/>
            <x v="30"/>
          </reference>
        </references>
      </pivotArea>
    </format>
    <format dxfId="5085">
      <pivotArea dataOnly="0" labelOnly="1" fieldPosition="0">
        <references count="4">
          <reference field="4" count="1" selected="0">
            <x v="9"/>
          </reference>
          <reference field="6" count="1" selected="0">
            <x v="1"/>
          </reference>
          <reference field="7" count="1" selected="0">
            <x v="25"/>
          </reference>
          <reference field="8" count="10">
            <x v="115"/>
            <x v="116"/>
            <x v="117"/>
            <x v="118"/>
            <x v="119"/>
            <x v="120"/>
            <x v="121"/>
            <x v="122"/>
            <x v="123"/>
            <x v="124"/>
          </reference>
        </references>
      </pivotArea>
    </format>
    <format dxfId="5084">
      <pivotArea dataOnly="0" labelOnly="1" fieldPosition="0">
        <references count="4">
          <reference field="4" count="1" selected="0">
            <x v="10"/>
          </reference>
          <reference field="6" count="1" selected="0">
            <x v="3"/>
          </reference>
          <reference field="7" count="1" selected="0">
            <x v="6"/>
          </reference>
          <reference field="8" count="1">
            <x v="29"/>
          </reference>
        </references>
      </pivotArea>
    </format>
    <format dxfId="5083">
      <pivotArea dataOnly="0" labelOnly="1" fieldPosition="0">
        <references count="4">
          <reference field="4" count="1" selected="0">
            <x v="11"/>
          </reference>
          <reference field="6" count="1" selected="0">
            <x v="0"/>
          </reference>
          <reference field="7" count="1" selected="0">
            <x v="17"/>
          </reference>
          <reference field="8" count="3">
            <x v="70"/>
            <x v="71"/>
            <x v="72"/>
          </reference>
        </references>
      </pivotArea>
    </format>
    <format dxfId="5082">
      <pivotArea dataOnly="0" labelOnly="1" fieldPosition="0">
        <references count="4">
          <reference field="4" count="1" selected="0">
            <x v="12"/>
          </reference>
          <reference field="6" count="1" selected="0">
            <x v="0"/>
          </reference>
          <reference field="7" count="1" selected="0">
            <x v="18"/>
          </reference>
          <reference field="8" count="3">
            <x v="74"/>
            <x v="75"/>
            <x v="76"/>
          </reference>
        </references>
      </pivotArea>
    </format>
    <format dxfId="5081">
      <pivotArea dataOnly="0" labelOnly="1" fieldPosition="0">
        <references count="4">
          <reference field="4" count="1" selected="0">
            <x v="13"/>
          </reference>
          <reference field="6" count="1" selected="0">
            <x v="3"/>
          </reference>
          <reference field="7" count="1" selected="0">
            <x v="1"/>
          </reference>
          <reference field="8" count="1">
            <x v="6"/>
          </reference>
        </references>
      </pivotArea>
    </format>
    <format dxfId="5080">
      <pivotArea dataOnly="0" labelOnly="1" fieldPosition="0">
        <references count="4">
          <reference field="4" count="1" selected="0">
            <x v="13"/>
          </reference>
          <reference field="6" count="1" selected="0">
            <x v="3"/>
          </reference>
          <reference field="7" count="1" selected="0">
            <x v="5"/>
          </reference>
          <reference field="8" count="6">
            <x v="22"/>
            <x v="23"/>
            <x v="24"/>
            <x v="25"/>
            <x v="26"/>
            <x v="27"/>
          </reference>
        </references>
      </pivotArea>
    </format>
    <format dxfId="5079">
      <pivotArea dataOnly="0" labelOnly="1" fieldPosition="0">
        <references count="4">
          <reference field="4" count="1" selected="0">
            <x v="14"/>
          </reference>
          <reference field="6" count="1" selected="0">
            <x v="1"/>
          </reference>
          <reference field="7" count="1" selected="0">
            <x v="26"/>
          </reference>
          <reference field="8" count="7">
            <x v="125"/>
            <x v="126"/>
            <x v="127"/>
            <x v="128"/>
            <x v="129"/>
            <x v="130"/>
            <x v="131"/>
          </reference>
        </references>
      </pivotArea>
    </format>
    <format dxfId="5078">
      <pivotArea dataOnly="0" labelOnly="1" fieldPosition="0">
        <references count="4">
          <reference field="4" count="1" selected="0">
            <x v="15"/>
          </reference>
          <reference field="6" count="1" selected="0">
            <x v="0"/>
          </reference>
          <reference field="7" count="1" selected="0">
            <x v="20"/>
          </reference>
          <reference field="8" count="5">
            <x v="82"/>
            <x v="83"/>
            <x v="84"/>
            <x v="85"/>
            <x v="86"/>
          </reference>
        </references>
      </pivotArea>
    </format>
    <format dxfId="5077">
      <pivotArea dataOnly="0" labelOnly="1" fieldPosition="0">
        <references count="4">
          <reference field="4" count="1" selected="0">
            <x v="16"/>
          </reference>
          <reference field="6" count="1" selected="0">
            <x v="1"/>
          </reference>
          <reference field="7" count="1" selected="0">
            <x v="27"/>
          </reference>
          <reference field="8" count="6">
            <x v="132"/>
            <x v="133"/>
            <x v="134"/>
            <x v="135"/>
            <x v="136"/>
            <x v="137"/>
          </reference>
        </references>
      </pivotArea>
    </format>
    <format dxfId="5076">
      <pivotArea dataOnly="0" labelOnly="1" fieldPosition="0">
        <references count="4">
          <reference field="4" count="1" selected="0">
            <x v="16"/>
          </reference>
          <reference field="6" count="1" selected="0">
            <x v="3"/>
          </reference>
          <reference field="7" count="1" selected="0">
            <x v="1"/>
          </reference>
          <reference field="8" count="1">
            <x v="6"/>
          </reference>
        </references>
      </pivotArea>
    </format>
    <format dxfId="5075">
      <pivotArea dataOnly="0" labelOnly="1" fieldPosition="0">
        <references count="4">
          <reference field="4" count="1" selected="0">
            <x v="16"/>
          </reference>
          <reference field="6" count="1" selected="0">
            <x v="4"/>
          </reference>
          <reference field="7" count="1" selected="0">
            <x v="8"/>
          </reference>
          <reference field="8" count="1">
            <x v="38"/>
          </reference>
        </references>
      </pivotArea>
    </format>
    <format dxfId="5074">
      <pivotArea dataOnly="0" labelOnly="1" fieldPosition="0">
        <references count="4">
          <reference field="4" count="1" selected="0">
            <x v="16"/>
          </reference>
          <reference field="6" count="1" selected="0">
            <x v="4"/>
          </reference>
          <reference field="7" count="1" selected="0">
            <x v="11"/>
          </reference>
          <reference field="8" count="1">
            <x v="48"/>
          </reference>
        </references>
      </pivotArea>
    </format>
    <format dxfId="5073">
      <pivotArea dataOnly="0" labelOnly="1" fieldPosition="0">
        <references count="4">
          <reference field="4" count="1" selected="0">
            <x v="17"/>
          </reference>
          <reference field="6" count="1" selected="0">
            <x v="0"/>
          </reference>
          <reference field="7" count="1" selected="0">
            <x v="16"/>
          </reference>
          <reference field="8" count="7">
            <x v="57"/>
            <x v="58"/>
            <x v="59"/>
            <x v="60"/>
            <x v="61"/>
            <x v="62"/>
            <x v="63"/>
          </reference>
        </references>
      </pivotArea>
    </format>
    <format dxfId="5072">
      <pivotArea dataOnly="0" labelOnly="1" fieldPosition="0">
        <references count="4">
          <reference field="4" count="1" selected="0">
            <x v="17"/>
          </reference>
          <reference field="6" count="1" selected="0">
            <x v="0"/>
          </reference>
          <reference field="7" count="1" selected="0">
            <x v="22"/>
          </reference>
          <reference field="8" count="1">
            <x v="94"/>
          </reference>
        </references>
      </pivotArea>
    </format>
    <format dxfId="5071">
      <pivotArea dataOnly="0" labelOnly="1" fieldPosition="0">
        <references count="4">
          <reference field="4" count="1" selected="0">
            <x v="18"/>
          </reference>
          <reference field="6" count="1" selected="0">
            <x v="3"/>
          </reference>
          <reference field="7" count="1" selected="0">
            <x v="2"/>
          </reference>
          <reference field="8" count="4">
            <x v="8"/>
            <x v="9"/>
            <x v="16"/>
            <x v="17"/>
          </reference>
        </references>
      </pivotArea>
    </format>
    <format dxfId="5070">
      <pivotArea dataOnly="0" labelOnly="1" fieldPosition="0">
        <references count="4">
          <reference field="4" count="1" selected="0">
            <x v="19"/>
          </reference>
          <reference field="6" count="1" selected="0">
            <x v="3"/>
          </reference>
          <reference field="7" count="1" selected="0">
            <x v="6"/>
          </reference>
          <reference field="8" count="1">
            <x v="29"/>
          </reference>
        </references>
      </pivotArea>
    </format>
    <format dxfId="5069">
      <pivotArea dataOnly="0" labelOnly="1" fieldPosition="0">
        <references count="4">
          <reference field="4" count="1" selected="0">
            <x v="20"/>
          </reference>
          <reference field="6" count="1" selected="0">
            <x v="1"/>
          </reference>
          <reference field="7" count="1" selected="0">
            <x v="24"/>
          </reference>
          <reference field="8" count="1">
            <x v="106"/>
          </reference>
        </references>
      </pivotArea>
    </format>
    <format dxfId="5068">
      <pivotArea dataOnly="0" labelOnly="1" fieldPosition="0">
        <references count="5">
          <reference field="4" count="1" selected="0">
            <x v="0"/>
          </reference>
          <reference field="6" count="1" selected="0">
            <x v="0"/>
          </reference>
          <reference field="7" count="1" selected="0">
            <x v="17"/>
          </reference>
          <reference field="8" count="1" selected="0">
            <x v="65"/>
          </reference>
          <reference field="15" count="1">
            <x v="108"/>
          </reference>
        </references>
      </pivotArea>
    </format>
    <format dxfId="5067">
      <pivotArea dataOnly="0" labelOnly="1" fieldPosition="0">
        <references count="5">
          <reference field="4" count="1" selected="0">
            <x v="0"/>
          </reference>
          <reference field="6" count="1" selected="0">
            <x v="0"/>
          </reference>
          <reference field="7" count="1" selected="0">
            <x v="17"/>
          </reference>
          <reference field="8" count="1" selected="0">
            <x v="66"/>
          </reference>
          <reference field="15" count="2">
            <x v="365"/>
            <x v="366"/>
          </reference>
        </references>
      </pivotArea>
    </format>
    <format dxfId="5066">
      <pivotArea dataOnly="0" labelOnly="1" fieldPosition="0">
        <references count="5">
          <reference field="4" count="1" selected="0">
            <x v="0"/>
          </reference>
          <reference field="6" count="1" selected="0">
            <x v="0"/>
          </reference>
          <reference field="7" count="1" selected="0">
            <x v="17"/>
          </reference>
          <reference field="8" count="1" selected="0">
            <x v="67"/>
          </reference>
          <reference field="15" count="2">
            <x v="364"/>
            <x v="370"/>
          </reference>
        </references>
      </pivotArea>
    </format>
    <format dxfId="5065">
      <pivotArea dataOnly="0" labelOnly="1" fieldPosition="0">
        <references count="5">
          <reference field="4" count="1" selected="0">
            <x v="0"/>
          </reference>
          <reference field="6" count="1" selected="0">
            <x v="0"/>
          </reference>
          <reference field="7" count="1" selected="0">
            <x v="17"/>
          </reference>
          <reference field="8" count="1" selected="0">
            <x v="68"/>
          </reference>
          <reference field="15" count="1">
            <x v="79"/>
          </reference>
        </references>
      </pivotArea>
    </format>
    <format dxfId="5064">
      <pivotArea dataOnly="0" labelOnly="1" fieldPosition="0">
        <references count="5">
          <reference field="4" count="1" selected="0">
            <x v="0"/>
          </reference>
          <reference field="6" count="1" selected="0">
            <x v="0"/>
          </reference>
          <reference field="7" count="1" selected="0">
            <x v="17"/>
          </reference>
          <reference field="8" count="1" selected="0">
            <x v="69"/>
          </reference>
          <reference field="15" count="1">
            <x v="42"/>
          </reference>
        </references>
      </pivotArea>
    </format>
    <format dxfId="5063">
      <pivotArea dataOnly="0" labelOnly="1" fieldPosition="0">
        <references count="5">
          <reference field="4" count="1" selected="0">
            <x v="0"/>
          </reference>
          <reference field="6" count="1" selected="0">
            <x v="0"/>
          </reference>
          <reference field="7" count="1" selected="0">
            <x v="19"/>
          </reference>
          <reference field="8" count="1" selected="0">
            <x v="78"/>
          </reference>
          <reference field="15" count="1">
            <x v="236"/>
          </reference>
        </references>
      </pivotArea>
    </format>
    <format dxfId="5062">
      <pivotArea dataOnly="0" labelOnly="1" fieldPosition="0">
        <references count="5">
          <reference field="4" count="1" selected="0">
            <x v="0"/>
          </reference>
          <reference field="6" count="1" selected="0">
            <x v="0"/>
          </reference>
          <reference field="7" count="1" selected="0">
            <x v="19"/>
          </reference>
          <reference field="8" count="1" selected="0">
            <x v="79"/>
          </reference>
          <reference field="15" count="1">
            <x v="12"/>
          </reference>
        </references>
      </pivotArea>
    </format>
    <format dxfId="5061">
      <pivotArea dataOnly="0" labelOnly="1" fieldPosition="0">
        <references count="5">
          <reference field="4" count="1" selected="0">
            <x v="0"/>
          </reference>
          <reference field="6" count="1" selected="0">
            <x v="0"/>
          </reference>
          <reference field="7" count="1" selected="0">
            <x v="19"/>
          </reference>
          <reference field="8" count="1" selected="0">
            <x v="80"/>
          </reference>
          <reference field="15" count="2">
            <x v="10"/>
            <x v="11"/>
          </reference>
        </references>
      </pivotArea>
    </format>
    <format dxfId="5060">
      <pivotArea dataOnly="0" labelOnly="1" fieldPosition="0">
        <references count="5">
          <reference field="4" count="1" selected="0">
            <x v="0"/>
          </reference>
          <reference field="6" count="1" selected="0">
            <x v="1"/>
          </reference>
          <reference field="7" count="1" selected="0">
            <x v="23"/>
          </reference>
          <reference field="8" count="1" selected="0">
            <x v="95"/>
          </reference>
          <reference field="15" count="1">
            <x v="250"/>
          </reference>
        </references>
      </pivotArea>
    </format>
    <format dxfId="5059">
      <pivotArea dataOnly="0" labelOnly="1" fieldPosition="0">
        <references count="5">
          <reference field="4" count="1" selected="0">
            <x v="0"/>
          </reference>
          <reference field="6" count="1" selected="0">
            <x v="1"/>
          </reference>
          <reference field="7" count="1" selected="0">
            <x v="23"/>
          </reference>
          <reference field="8" count="1" selected="0">
            <x v="96"/>
          </reference>
          <reference field="15" count="2">
            <x v="251"/>
            <x v="358"/>
          </reference>
        </references>
      </pivotArea>
    </format>
    <format dxfId="5058">
      <pivotArea dataOnly="0" labelOnly="1" fieldPosition="0">
        <references count="5">
          <reference field="4" count="1" selected="0">
            <x v="0"/>
          </reference>
          <reference field="6" count="1" selected="0">
            <x v="1"/>
          </reference>
          <reference field="7" count="1" selected="0">
            <x v="23"/>
          </reference>
          <reference field="8" count="1" selected="0">
            <x v="97"/>
          </reference>
          <reference field="15" count="1">
            <x v="257"/>
          </reference>
        </references>
      </pivotArea>
    </format>
    <format dxfId="5057">
      <pivotArea dataOnly="0" labelOnly="1" fieldPosition="0">
        <references count="5">
          <reference field="4" count="1" selected="0">
            <x v="0"/>
          </reference>
          <reference field="6" count="1" selected="0">
            <x v="1"/>
          </reference>
          <reference field="7" count="1" selected="0">
            <x v="23"/>
          </reference>
          <reference field="8" count="1" selected="0">
            <x v="98"/>
          </reference>
          <reference field="15" count="1">
            <x v="43"/>
          </reference>
        </references>
      </pivotArea>
    </format>
    <format dxfId="5056">
      <pivotArea dataOnly="0" labelOnly="1" fieldPosition="0">
        <references count="5">
          <reference field="4" count="1" selected="0">
            <x v="0"/>
          </reference>
          <reference field="6" count="1" selected="0">
            <x v="1"/>
          </reference>
          <reference field="7" count="1" selected="0">
            <x v="23"/>
          </reference>
          <reference field="8" count="1" selected="0">
            <x v="99"/>
          </reference>
          <reference field="15" count="1">
            <x v="254"/>
          </reference>
        </references>
      </pivotArea>
    </format>
    <format dxfId="5055">
      <pivotArea dataOnly="0" labelOnly="1" fieldPosition="0">
        <references count="5">
          <reference field="4" count="1" selected="0">
            <x v="0"/>
          </reference>
          <reference field="6" count="1" selected="0">
            <x v="1"/>
          </reference>
          <reference field="7" count="1" selected="0">
            <x v="23"/>
          </reference>
          <reference field="8" count="1" selected="0">
            <x v="100"/>
          </reference>
          <reference field="15" count="1">
            <x v="253"/>
          </reference>
        </references>
      </pivotArea>
    </format>
    <format dxfId="5054">
      <pivotArea dataOnly="0" labelOnly="1" fieldPosition="0">
        <references count="5">
          <reference field="4" count="1" selected="0">
            <x v="0"/>
          </reference>
          <reference field="6" count="1" selected="0">
            <x v="1"/>
          </reference>
          <reference field="7" count="1" selected="0">
            <x v="23"/>
          </reference>
          <reference field="8" count="1" selected="0">
            <x v="101"/>
          </reference>
          <reference field="15" count="1">
            <x v="255"/>
          </reference>
        </references>
      </pivotArea>
    </format>
    <format dxfId="5053">
      <pivotArea dataOnly="0" labelOnly="1" fieldPosition="0">
        <references count="5">
          <reference field="4" count="1" selected="0">
            <x v="0"/>
          </reference>
          <reference field="6" count="1" selected="0">
            <x v="1"/>
          </reference>
          <reference field="7" count="1" selected="0">
            <x v="23"/>
          </reference>
          <reference field="8" count="1" selected="0">
            <x v="102"/>
          </reference>
          <reference field="15" count="1">
            <x v="40"/>
          </reference>
        </references>
      </pivotArea>
    </format>
    <format dxfId="5052">
      <pivotArea dataOnly="0" labelOnly="1" fieldPosition="0">
        <references count="5">
          <reference field="4" count="1" selected="0">
            <x v="0"/>
          </reference>
          <reference field="6" count="1" selected="0">
            <x v="1"/>
          </reference>
          <reference field="7" count="1" selected="0">
            <x v="23"/>
          </reference>
          <reference field="8" count="1" selected="0">
            <x v="103"/>
          </reference>
          <reference field="15" count="1">
            <x v="252"/>
          </reference>
        </references>
      </pivotArea>
    </format>
    <format dxfId="5051">
      <pivotArea dataOnly="0" labelOnly="1" fieldPosition="0">
        <references count="5">
          <reference field="4" count="1" selected="0">
            <x v="0"/>
          </reference>
          <reference field="6" count="1" selected="0">
            <x v="1"/>
          </reference>
          <reference field="7" count="1" selected="0">
            <x v="23"/>
          </reference>
          <reference field="8" count="1" selected="0">
            <x v="104"/>
          </reference>
          <reference field="15" count="1">
            <x v="256"/>
          </reference>
        </references>
      </pivotArea>
    </format>
    <format dxfId="5050">
      <pivotArea dataOnly="0" labelOnly="1" fieldPosition="0">
        <references count="5">
          <reference field="4" count="1" selected="0">
            <x v="0"/>
          </reference>
          <reference field="6" count="1" selected="0">
            <x v="1"/>
          </reference>
          <reference field="7" count="1" selected="0">
            <x v="26"/>
          </reference>
          <reference field="8" count="1" selected="0">
            <x v="131"/>
          </reference>
          <reference field="15" count="1">
            <x v="13"/>
          </reference>
        </references>
      </pivotArea>
    </format>
    <format dxfId="5049">
      <pivotArea dataOnly="0" labelOnly="1" fieldPosition="0">
        <references count="5">
          <reference field="4" count="1" selected="0">
            <x v="1"/>
          </reference>
          <reference field="6" count="1" selected="0">
            <x v="0"/>
          </reference>
          <reference field="7" count="1" selected="0">
            <x v="19"/>
          </reference>
          <reference field="8" count="1" selected="0">
            <x v="81"/>
          </reference>
          <reference field="15" count="1">
            <x v="231"/>
          </reference>
        </references>
      </pivotArea>
    </format>
    <format dxfId="5048">
      <pivotArea dataOnly="0" labelOnly="1" fieldPosition="0">
        <references count="5">
          <reference field="4" count="1" selected="0">
            <x v="1"/>
          </reference>
          <reference field="6" count="1" selected="0">
            <x v="3"/>
          </reference>
          <reference field="7" count="1" selected="0">
            <x v="2"/>
          </reference>
          <reference field="8" count="1" selected="0">
            <x v="7"/>
          </reference>
          <reference field="15" count="5">
            <x v="117"/>
            <x v="124"/>
            <x v="131"/>
            <x v="380"/>
            <x v="400"/>
          </reference>
        </references>
      </pivotArea>
    </format>
    <format dxfId="5047">
      <pivotArea dataOnly="0" labelOnly="1" fieldPosition="0">
        <references count="5">
          <reference field="4" count="1" selected="0">
            <x v="1"/>
          </reference>
          <reference field="6" count="1" selected="0">
            <x v="3"/>
          </reference>
          <reference field="7" count="1" selected="0">
            <x v="2"/>
          </reference>
          <reference field="8" count="1" selected="0">
            <x v="10"/>
          </reference>
          <reference field="15" count="2">
            <x v="17"/>
            <x v="18"/>
          </reference>
        </references>
      </pivotArea>
    </format>
    <format dxfId="5046">
      <pivotArea dataOnly="0" labelOnly="1" fieldPosition="0">
        <references count="5">
          <reference field="4" count="1" selected="0">
            <x v="1"/>
          </reference>
          <reference field="6" count="1" selected="0">
            <x v="3"/>
          </reference>
          <reference field="7" count="1" selected="0">
            <x v="2"/>
          </reference>
          <reference field="8" count="1" selected="0">
            <x v="11"/>
          </reference>
          <reference field="15" count="2">
            <x v="7"/>
            <x v="8"/>
          </reference>
        </references>
      </pivotArea>
    </format>
    <format dxfId="5045">
      <pivotArea dataOnly="0" labelOnly="1" fieldPosition="0">
        <references count="5">
          <reference field="4" count="1" selected="0">
            <x v="1"/>
          </reference>
          <reference field="6" count="1" selected="0">
            <x v="3"/>
          </reference>
          <reference field="7" count="1" selected="0">
            <x v="2"/>
          </reference>
          <reference field="8" count="1" selected="0">
            <x v="12"/>
          </reference>
          <reference field="15" count="1">
            <x v="107"/>
          </reference>
        </references>
      </pivotArea>
    </format>
    <format dxfId="5044">
      <pivotArea dataOnly="0" labelOnly="1" fieldPosition="0">
        <references count="5">
          <reference field="4" count="1" selected="0">
            <x v="1"/>
          </reference>
          <reference field="6" count="1" selected="0">
            <x v="3"/>
          </reference>
          <reference field="7" count="1" selected="0">
            <x v="2"/>
          </reference>
          <reference field="8" count="1" selected="0">
            <x v="13"/>
          </reference>
          <reference field="15" count="1">
            <x v="6"/>
          </reference>
        </references>
      </pivotArea>
    </format>
    <format dxfId="5043">
      <pivotArea dataOnly="0" labelOnly="1" fieldPosition="0">
        <references count="5">
          <reference field="4" count="1" selected="0">
            <x v="1"/>
          </reference>
          <reference field="6" count="1" selected="0">
            <x v="3"/>
          </reference>
          <reference field="7" count="1" selected="0">
            <x v="2"/>
          </reference>
          <reference field="8" count="1" selected="0">
            <x v="14"/>
          </reference>
          <reference field="15" count="2">
            <x v="46"/>
            <x v="47"/>
          </reference>
        </references>
      </pivotArea>
    </format>
    <format dxfId="5042">
      <pivotArea dataOnly="0" labelOnly="1" fieldPosition="0">
        <references count="5">
          <reference field="4" count="1" selected="0">
            <x v="1"/>
          </reference>
          <reference field="6" count="1" selected="0">
            <x v="3"/>
          </reference>
          <reference field="7" count="1" selected="0">
            <x v="2"/>
          </reference>
          <reference field="8" count="1" selected="0">
            <x v="15"/>
          </reference>
          <reference field="15" count="1">
            <x v="372"/>
          </reference>
        </references>
      </pivotArea>
    </format>
    <format dxfId="5041">
      <pivotArea dataOnly="0" labelOnly="1" fieldPosition="0">
        <references count="5">
          <reference field="4" count="1" selected="0">
            <x v="1"/>
          </reference>
          <reference field="6" count="1" selected="0">
            <x v="3"/>
          </reference>
          <reference field="7" count="1" selected="0">
            <x v="3"/>
          </reference>
          <reference field="8" count="1" selected="0">
            <x v="18"/>
          </reference>
          <reference field="15" count="1">
            <x v="232"/>
          </reference>
        </references>
      </pivotArea>
    </format>
    <format dxfId="5040">
      <pivotArea dataOnly="0" labelOnly="1" fieldPosition="0">
        <references count="5">
          <reference field="4" count="1" selected="0">
            <x v="1"/>
          </reference>
          <reference field="6" count="1" selected="0">
            <x v="3"/>
          </reference>
          <reference field="7" count="1" selected="0">
            <x v="3"/>
          </reference>
          <reference field="8" count="1" selected="0">
            <x v="19"/>
          </reference>
          <reference field="15" count="1">
            <x v="9"/>
          </reference>
        </references>
      </pivotArea>
    </format>
    <format dxfId="5039">
      <pivotArea dataOnly="0" labelOnly="1" fieldPosition="0">
        <references count="5">
          <reference field="4" count="1" selected="0">
            <x v="1"/>
          </reference>
          <reference field="6" count="1" selected="0">
            <x v="3"/>
          </reference>
          <reference field="7" count="1" selected="0">
            <x v="4"/>
          </reference>
          <reference field="8" count="1" selected="0">
            <x v="20"/>
          </reference>
          <reference field="15" count="1">
            <x v="34"/>
          </reference>
        </references>
      </pivotArea>
    </format>
    <format dxfId="5038">
      <pivotArea dataOnly="0" labelOnly="1" fieldPosition="0">
        <references count="5">
          <reference field="4" count="1" selected="0">
            <x v="1"/>
          </reference>
          <reference field="6" count="1" selected="0">
            <x v="3"/>
          </reference>
          <reference field="7" count="1" selected="0">
            <x v="4"/>
          </reference>
          <reference field="8" count="1" selected="0">
            <x v="21"/>
          </reference>
          <reference field="15" count="1">
            <x v="98"/>
          </reference>
        </references>
      </pivotArea>
    </format>
    <format dxfId="5037">
      <pivotArea dataOnly="0" labelOnly="1" fieldPosition="0">
        <references count="5">
          <reference field="4" count="1" selected="0">
            <x v="1"/>
          </reference>
          <reference field="6" count="1" selected="0">
            <x v="4"/>
          </reference>
          <reference field="7" count="1" selected="0">
            <x v="8"/>
          </reference>
          <reference field="8" count="1" selected="0">
            <x v="33"/>
          </reference>
          <reference field="15" count="1">
            <x v="237"/>
          </reference>
        </references>
      </pivotArea>
    </format>
    <format dxfId="5036">
      <pivotArea dataOnly="0" labelOnly="1" fieldPosition="0">
        <references count="5">
          <reference field="4" count="1" selected="0">
            <x v="1"/>
          </reference>
          <reference field="6" count="1" selected="0">
            <x v="4"/>
          </reference>
          <reference field="7" count="1" selected="0">
            <x v="8"/>
          </reference>
          <reference field="8" count="1" selected="0">
            <x v="34"/>
          </reference>
          <reference field="15" count="1">
            <x v="373"/>
          </reference>
        </references>
      </pivotArea>
    </format>
    <format dxfId="5035">
      <pivotArea dataOnly="0" labelOnly="1" fieldPosition="0">
        <references count="5">
          <reference field="4" count="1" selected="0">
            <x v="1"/>
          </reference>
          <reference field="6" count="1" selected="0">
            <x v="4"/>
          </reference>
          <reference field="7" count="1" selected="0">
            <x v="8"/>
          </reference>
          <reference field="8" count="1" selected="0">
            <x v="39"/>
          </reference>
          <reference field="15" count="2">
            <x v="233"/>
            <x v="234"/>
          </reference>
        </references>
      </pivotArea>
    </format>
    <format dxfId="5034">
      <pivotArea dataOnly="0" labelOnly="1" fieldPosition="0">
        <references count="5">
          <reference field="4" count="1" selected="0">
            <x v="2"/>
          </reference>
          <reference field="6" count="1" selected="0">
            <x v="2"/>
          </reference>
          <reference field="7" count="1" selected="0">
            <x v="29"/>
          </reference>
          <reference field="8" count="1" selected="0">
            <x v="145"/>
          </reference>
          <reference field="15" count="1">
            <x v="377"/>
          </reference>
        </references>
      </pivotArea>
    </format>
    <format dxfId="5033">
      <pivotArea dataOnly="0" labelOnly="1" fieldPosition="0">
        <references count="5">
          <reference field="4" count="1" selected="0">
            <x v="2"/>
          </reference>
          <reference field="6" count="1" selected="0">
            <x v="2"/>
          </reference>
          <reference field="7" count="1" selected="0">
            <x v="29"/>
          </reference>
          <reference field="8" count="1" selected="0">
            <x v="146"/>
          </reference>
          <reference field="15" count="1">
            <x v="139"/>
          </reference>
        </references>
      </pivotArea>
    </format>
    <format dxfId="5032">
      <pivotArea dataOnly="0" labelOnly="1" fieldPosition="0">
        <references count="5">
          <reference field="4" count="1" selected="0">
            <x v="2"/>
          </reference>
          <reference field="6" count="1" selected="0">
            <x v="2"/>
          </reference>
          <reference field="7" count="1" selected="0">
            <x v="29"/>
          </reference>
          <reference field="8" count="1" selected="0">
            <x v="147"/>
          </reference>
          <reference field="15" count="1">
            <x v="127"/>
          </reference>
        </references>
      </pivotArea>
    </format>
    <format dxfId="5031">
      <pivotArea dataOnly="0" labelOnly="1" fieldPosition="0">
        <references count="5">
          <reference field="4" count="1" selected="0">
            <x v="2"/>
          </reference>
          <reference field="6" count="1" selected="0">
            <x v="2"/>
          </reference>
          <reference field="7" count="1" selected="0">
            <x v="29"/>
          </reference>
          <reference field="8" count="1" selected="0">
            <x v="148"/>
          </reference>
          <reference field="15" count="1">
            <x v="142"/>
          </reference>
        </references>
      </pivotArea>
    </format>
    <format dxfId="5030">
      <pivotArea dataOnly="0" labelOnly="1" fieldPosition="0">
        <references count="5">
          <reference field="4" count="1" selected="0">
            <x v="2"/>
          </reference>
          <reference field="6" count="1" selected="0">
            <x v="2"/>
          </reference>
          <reference field="7" count="1" selected="0">
            <x v="29"/>
          </reference>
          <reference field="8" count="1" selected="0">
            <x v="149"/>
          </reference>
          <reference field="15" count="1">
            <x v="140"/>
          </reference>
        </references>
      </pivotArea>
    </format>
    <format dxfId="5029">
      <pivotArea dataOnly="0" labelOnly="1" fieldPosition="0">
        <references count="5">
          <reference field="4" count="1" selected="0">
            <x v="2"/>
          </reference>
          <reference field="6" count="1" selected="0">
            <x v="2"/>
          </reference>
          <reference field="7" count="1" selected="0">
            <x v="29"/>
          </reference>
          <reference field="8" count="1" selected="0">
            <x v="150"/>
          </reference>
          <reference field="15" count="1">
            <x v="144"/>
          </reference>
        </references>
      </pivotArea>
    </format>
    <format dxfId="5028">
      <pivotArea dataOnly="0" labelOnly="1" fieldPosition="0">
        <references count="5">
          <reference field="4" count="1" selected="0">
            <x v="2"/>
          </reference>
          <reference field="6" count="1" selected="0">
            <x v="2"/>
          </reference>
          <reference field="7" count="1" selected="0">
            <x v="30"/>
          </reference>
          <reference field="8" count="1" selected="0">
            <x v="152"/>
          </reference>
          <reference field="15" count="2">
            <x v="128"/>
            <x v="129"/>
          </reference>
        </references>
      </pivotArea>
    </format>
    <format dxfId="5027">
      <pivotArea dataOnly="0" labelOnly="1" fieldPosition="0">
        <references count="5">
          <reference field="4" count="1" selected="0">
            <x v="2"/>
          </reference>
          <reference field="6" count="1" selected="0">
            <x v="2"/>
          </reference>
          <reference field="7" count="1" selected="0">
            <x v="30"/>
          </reference>
          <reference field="8" count="1" selected="0">
            <x v="153"/>
          </reference>
          <reference field="15" count="1">
            <x v="141"/>
          </reference>
        </references>
      </pivotArea>
    </format>
    <format dxfId="5026">
      <pivotArea dataOnly="0" labelOnly="1" fieldPosition="0">
        <references count="5">
          <reference field="4" count="1" selected="0">
            <x v="2"/>
          </reference>
          <reference field="6" count="1" selected="0">
            <x v="3"/>
          </reference>
          <reference field="7" count="1" selected="0">
            <x v="5"/>
          </reference>
          <reference field="8" count="1" selected="0">
            <x v="24"/>
          </reference>
          <reference field="15" count="1">
            <x v="339"/>
          </reference>
        </references>
      </pivotArea>
    </format>
    <format dxfId="5025">
      <pivotArea dataOnly="0" labelOnly="1" fieldPosition="0">
        <references count="5">
          <reference field="4" count="1" selected="0">
            <x v="2"/>
          </reference>
          <reference field="6" count="1" selected="0">
            <x v="3"/>
          </reference>
          <reference field="7" count="1" selected="0">
            <x v="7"/>
          </reference>
          <reference field="8" count="1" selected="0">
            <x v="31"/>
          </reference>
          <reference field="15" count="2">
            <x v="391"/>
            <x v="392"/>
          </reference>
        </references>
      </pivotArea>
    </format>
    <format dxfId="5024">
      <pivotArea dataOnly="0" labelOnly="1" fieldPosition="0">
        <references count="5">
          <reference field="4" count="1" selected="0">
            <x v="2"/>
          </reference>
          <reference field="6" count="1" selected="0">
            <x v="3"/>
          </reference>
          <reference field="7" count="1" selected="0">
            <x v="7"/>
          </reference>
          <reference field="8" count="1" selected="0">
            <x v="32"/>
          </reference>
          <reference field="15" count="1">
            <x v="371"/>
          </reference>
        </references>
      </pivotArea>
    </format>
    <format dxfId="5023">
      <pivotArea dataOnly="0" labelOnly="1" fieldPosition="0">
        <references count="5">
          <reference field="4" count="1" selected="0">
            <x v="2"/>
          </reference>
          <reference field="6" count="1" selected="0">
            <x v="4"/>
          </reference>
          <reference field="7" count="1" selected="0">
            <x v="8"/>
          </reference>
          <reference field="8" count="1" selected="0">
            <x v="36"/>
          </reference>
          <reference field="15" count="1">
            <x v="379"/>
          </reference>
        </references>
      </pivotArea>
    </format>
    <format dxfId="5022">
      <pivotArea dataOnly="0" labelOnly="1" fieldPosition="0">
        <references count="5">
          <reference field="4" count="1" selected="0">
            <x v="2"/>
          </reference>
          <reference field="6" count="1" selected="0">
            <x v="4"/>
          </reference>
          <reference field="7" count="1" selected="0">
            <x v="8"/>
          </reference>
          <reference field="8" count="1" selected="0">
            <x v="39"/>
          </reference>
          <reference field="15" count="1">
            <x v="378"/>
          </reference>
        </references>
      </pivotArea>
    </format>
    <format dxfId="5021">
      <pivotArea dataOnly="0" labelOnly="1" fieldPosition="0">
        <references count="5">
          <reference field="4" count="1" selected="0">
            <x v="3"/>
          </reference>
          <reference field="6" count="1" selected="0">
            <x v="3"/>
          </reference>
          <reference field="7" count="1" selected="0">
            <x v="6"/>
          </reference>
          <reference field="8" count="1" selected="0">
            <x v="29"/>
          </reference>
          <reference field="15" count="41">
            <x v="0"/>
            <x v="1"/>
            <x v="167"/>
            <x v="175"/>
            <x v="176"/>
            <x v="177"/>
            <x v="178"/>
            <x v="179"/>
            <x v="180"/>
            <x v="181"/>
            <x v="182"/>
            <x v="201"/>
            <x v="202"/>
            <x v="205"/>
            <x v="206"/>
            <x v="207"/>
            <x v="208"/>
            <x v="209"/>
            <x v="210"/>
            <x v="211"/>
            <x v="212"/>
            <x v="213"/>
            <x v="214"/>
            <x v="215"/>
            <x v="216"/>
            <x v="217"/>
            <x v="218"/>
            <x v="219"/>
            <x v="220"/>
            <x v="221"/>
            <x v="224"/>
            <x v="225"/>
            <x v="226"/>
            <x v="227"/>
            <x v="228"/>
            <x v="393"/>
            <x v="394"/>
            <x v="396"/>
            <x v="397"/>
            <x v="398"/>
            <x v="399"/>
          </reference>
        </references>
      </pivotArea>
    </format>
    <format dxfId="5020">
      <pivotArea dataOnly="0" labelOnly="1" fieldPosition="0">
        <references count="5">
          <reference field="4" count="1" selected="0">
            <x v="4"/>
          </reference>
          <reference field="6" count="1" selected="0">
            <x v="0"/>
          </reference>
          <reference field="7" count="1" selected="0">
            <x v="21"/>
          </reference>
          <reference field="8" count="1" selected="0">
            <x v="87"/>
          </reference>
          <reference field="15" count="8">
            <x v="126"/>
            <x v="293"/>
            <x v="305"/>
            <x v="306"/>
            <x v="317"/>
            <x v="388"/>
            <x v="389"/>
            <x v="390"/>
          </reference>
        </references>
      </pivotArea>
    </format>
    <format dxfId="5019">
      <pivotArea dataOnly="0" labelOnly="1" fieldPosition="0">
        <references count="5">
          <reference field="4" count="1" selected="0">
            <x v="4"/>
          </reference>
          <reference field="6" count="1" selected="0">
            <x v="0"/>
          </reference>
          <reference field="7" count="1" selected="0">
            <x v="21"/>
          </reference>
          <reference field="8" count="1" selected="0">
            <x v="88"/>
          </reference>
          <reference field="15" count="3">
            <x v="291"/>
            <x v="292"/>
            <x v="301"/>
          </reference>
        </references>
      </pivotArea>
    </format>
    <format dxfId="5018">
      <pivotArea dataOnly="0" labelOnly="1" fieldPosition="0">
        <references count="5">
          <reference field="4" count="1" selected="0">
            <x v="4"/>
          </reference>
          <reference field="6" count="1" selected="0">
            <x v="0"/>
          </reference>
          <reference field="7" count="1" selected="0">
            <x v="21"/>
          </reference>
          <reference field="8" count="1" selected="0">
            <x v="89"/>
          </reference>
          <reference field="15" count="1">
            <x v="310"/>
          </reference>
        </references>
      </pivotArea>
    </format>
    <format dxfId="5017">
      <pivotArea dataOnly="0" labelOnly="1" fieldPosition="0">
        <references count="5">
          <reference field="4" count="1" selected="0">
            <x v="4"/>
          </reference>
          <reference field="6" count="1" selected="0">
            <x v="0"/>
          </reference>
          <reference field="7" count="1" selected="0">
            <x v="21"/>
          </reference>
          <reference field="8" count="1" selected="0">
            <x v="90"/>
          </reference>
          <reference field="15" count="1">
            <x v="385"/>
          </reference>
        </references>
      </pivotArea>
    </format>
    <format dxfId="5016">
      <pivotArea dataOnly="0" labelOnly="1" fieldPosition="0">
        <references count="5">
          <reference field="4" count="1" selected="0">
            <x v="4"/>
          </reference>
          <reference field="6" count="1" selected="0">
            <x v="0"/>
          </reference>
          <reference field="7" count="1" selected="0">
            <x v="21"/>
          </reference>
          <reference field="8" count="1" selected="0">
            <x v="91"/>
          </reference>
          <reference field="15" count="2">
            <x v="264"/>
            <x v="265"/>
          </reference>
        </references>
      </pivotArea>
    </format>
    <format dxfId="5015">
      <pivotArea dataOnly="0" labelOnly="1" fieldPosition="0">
        <references count="5">
          <reference field="4" count="1" selected="0">
            <x v="4"/>
          </reference>
          <reference field="6" count="1" selected="0">
            <x v="1"/>
          </reference>
          <reference field="7" count="1" selected="0">
            <x v="24"/>
          </reference>
          <reference field="8" count="1" selected="0">
            <x v="114"/>
          </reference>
          <reference field="15" count="1">
            <x v="263"/>
          </reference>
        </references>
      </pivotArea>
    </format>
    <format dxfId="5014">
      <pivotArea dataOnly="0" labelOnly="1" fieldPosition="0">
        <references count="5">
          <reference field="4" count="1" selected="0">
            <x v="4"/>
          </reference>
          <reference field="6" count="1" selected="0">
            <x v="2"/>
          </reference>
          <reference field="7" count="1" selected="0">
            <x v="29"/>
          </reference>
          <reference field="8" count="1" selected="0">
            <x v="142"/>
          </reference>
          <reference field="15" count="1">
            <x v="283"/>
          </reference>
        </references>
      </pivotArea>
    </format>
    <format dxfId="5013">
      <pivotArea dataOnly="0" labelOnly="1" fieldPosition="0">
        <references count="5">
          <reference field="4" count="1" selected="0">
            <x v="4"/>
          </reference>
          <reference field="6" count="1" selected="0">
            <x v="2"/>
          </reference>
          <reference field="7" count="1" selected="0">
            <x v="29"/>
          </reference>
          <reference field="8" count="1" selected="0">
            <x v="143"/>
          </reference>
          <reference field="15" count="2">
            <x v="289"/>
            <x v="314"/>
          </reference>
        </references>
      </pivotArea>
    </format>
    <format dxfId="5012">
      <pivotArea dataOnly="0" labelOnly="1" fieldPosition="0">
        <references count="5">
          <reference field="4" count="1" selected="0">
            <x v="4"/>
          </reference>
          <reference field="6" count="1" selected="0">
            <x v="2"/>
          </reference>
          <reference field="7" count="1" selected="0">
            <x v="29"/>
          </reference>
          <reference field="8" count="1" selected="0">
            <x v="151"/>
          </reference>
          <reference field="15" count="1">
            <x v="387"/>
          </reference>
        </references>
      </pivotArea>
    </format>
    <format dxfId="5011">
      <pivotArea dataOnly="0" labelOnly="1" fieldPosition="0">
        <references count="5">
          <reference field="4" count="1" selected="0">
            <x v="4"/>
          </reference>
          <reference field="6" count="1" selected="0">
            <x v="2"/>
          </reference>
          <reference field="7" count="1" selected="0">
            <x v="31"/>
          </reference>
          <reference field="8" count="1" selected="0">
            <x v="155"/>
          </reference>
          <reference field="15" count="4">
            <x v="235"/>
            <x v="303"/>
            <x v="374"/>
            <x v="386"/>
          </reference>
        </references>
      </pivotArea>
    </format>
    <format dxfId="5010">
      <pivotArea dataOnly="0" labelOnly="1" fieldPosition="0">
        <references count="5">
          <reference field="4" count="1" selected="0">
            <x v="4"/>
          </reference>
          <reference field="6" count="1" selected="0">
            <x v="2"/>
          </reference>
          <reference field="7" count="1" selected="0">
            <x v="31"/>
          </reference>
          <reference field="8" count="1" selected="0">
            <x v="156"/>
          </reference>
          <reference field="15" count="1">
            <x v="304"/>
          </reference>
        </references>
      </pivotArea>
    </format>
    <format dxfId="5009">
      <pivotArea dataOnly="0" labelOnly="1" fieldPosition="0">
        <references count="5">
          <reference field="4" count="1" selected="0">
            <x v="4"/>
          </reference>
          <reference field="6" count="1" selected="0">
            <x v="2"/>
          </reference>
          <reference field="7" count="1" selected="0">
            <x v="31"/>
          </reference>
          <reference field="8" count="1" selected="0">
            <x v="157"/>
          </reference>
          <reference field="15" count="1">
            <x v="302"/>
          </reference>
        </references>
      </pivotArea>
    </format>
    <format dxfId="5008">
      <pivotArea dataOnly="0" labelOnly="1" fieldPosition="0">
        <references count="5">
          <reference field="4" count="1" selected="0">
            <x v="4"/>
          </reference>
          <reference field="6" count="1" selected="0">
            <x v="3"/>
          </reference>
          <reference field="7" count="1" selected="0">
            <x v="0"/>
          </reference>
          <reference field="8" count="1" selected="0">
            <x v="0"/>
          </reference>
          <reference field="15" count="2">
            <x v="125"/>
            <x v="269"/>
          </reference>
        </references>
      </pivotArea>
    </format>
    <format dxfId="5007">
      <pivotArea dataOnly="0" labelOnly="1" fieldPosition="0">
        <references count="5">
          <reference field="4" count="1" selected="0">
            <x v="4"/>
          </reference>
          <reference field="6" count="1" selected="0">
            <x v="3"/>
          </reference>
          <reference field="7" count="1" selected="0">
            <x v="0"/>
          </reference>
          <reference field="8" count="1" selected="0">
            <x v="1"/>
          </reference>
          <reference field="15" count="1">
            <x v="382"/>
          </reference>
        </references>
      </pivotArea>
    </format>
    <format dxfId="5006">
      <pivotArea dataOnly="0" labelOnly="1" fieldPosition="0">
        <references count="5">
          <reference field="4" count="1" selected="0">
            <x v="4"/>
          </reference>
          <reference field="6" count="1" selected="0">
            <x v="3"/>
          </reference>
          <reference field="7" count="1" selected="0">
            <x v="1"/>
          </reference>
          <reference field="8" count="1" selected="0">
            <x v="2"/>
          </reference>
          <reference field="15" count="1">
            <x v="282"/>
          </reference>
        </references>
      </pivotArea>
    </format>
    <format dxfId="5005">
      <pivotArea dataOnly="0" labelOnly="1" fieldPosition="0">
        <references count="5">
          <reference field="4" count="1" selected="0">
            <x v="4"/>
          </reference>
          <reference field="6" count="1" selected="0">
            <x v="3"/>
          </reference>
          <reference field="7" count="1" selected="0">
            <x v="1"/>
          </reference>
          <reference field="8" count="1" selected="0">
            <x v="3"/>
          </reference>
          <reference field="15" count="1">
            <x v="384"/>
          </reference>
        </references>
      </pivotArea>
    </format>
    <format dxfId="5004">
      <pivotArea dataOnly="0" labelOnly="1" fieldPosition="0">
        <references count="5">
          <reference field="4" count="1" selected="0">
            <x v="4"/>
          </reference>
          <reference field="6" count="1" selected="0">
            <x v="3"/>
          </reference>
          <reference field="7" count="1" selected="0">
            <x v="1"/>
          </reference>
          <reference field="8" count="1" selected="0">
            <x v="4"/>
          </reference>
          <reference field="15" count="1">
            <x v="298"/>
          </reference>
        </references>
      </pivotArea>
    </format>
    <format dxfId="5003">
      <pivotArea dataOnly="0" labelOnly="1" fieldPosition="0">
        <references count="5">
          <reference field="4" count="1" selected="0">
            <x v="4"/>
          </reference>
          <reference field="6" count="1" selected="0">
            <x v="3"/>
          </reference>
          <reference field="7" count="1" selected="0">
            <x v="1"/>
          </reference>
          <reference field="8" count="1" selected="0">
            <x v="5"/>
          </reference>
          <reference field="15" count="2">
            <x v="381"/>
            <x v="383"/>
          </reference>
        </references>
      </pivotArea>
    </format>
    <format dxfId="5002">
      <pivotArea dataOnly="0" labelOnly="1" fieldPosition="0">
        <references count="5">
          <reference field="4" count="1" selected="0">
            <x v="5"/>
          </reference>
          <reference field="6" count="1" selected="0">
            <x v="0"/>
          </reference>
          <reference field="7" count="1" selected="0">
            <x v="18"/>
          </reference>
          <reference field="8" count="1" selected="0">
            <x v="73"/>
          </reference>
          <reference field="15" count="3">
            <x v="245"/>
            <x v="246"/>
            <x v="313"/>
          </reference>
        </references>
      </pivotArea>
    </format>
    <format dxfId="5001">
      <pivotArea dataOnly="0" labelOnly="1" fieldPosition="0">
        <references count="5">
          <reference field="4" count="1" selected="0">
            <x v="5"/>
          </reference>
          <reference field="6" count="1" selected="0">
            <x v="0"/>
          </reference>
          <reference field="7" count="1" selected="0">
            <x v="18"/>
          </reference>
          <reference field="8" count="1" selected="0">
            <x v="74"/>
          </reference>
          <reference field="15" count="1">
            <x v="230"/>
          </reference>
        </references>
      </pivotArea>
    </format>
    <format dxfId="5000">
      <pivotArea dataOnly="0" labelOnly="1" fieldPosition="0">
        <references count="5">
          <reference field="4" count="1" selected="0">
            <x v="5"/>
          </reference>
          <reference field="6" count="1" selected="0">
            <x v="0"/>
          </reference>
          <reference field="7" count="1" selected="0">
            <x v="18"/>
          </reference>
          <reference field="8" count="1" selected="0">
            <x v="77"/>
          </reference>
          <reference field="15" count="2">
            <x v="276"/>
            <x v="277"/>
          </reference>
        </references>
      </pivotArea>
    </format>
    <format dxfId="4999">
      <pivotArea dataOnly="0" labelOnly="1" fieldPosition="0">
        <references count="5">
          <reference field="4" count="1" selected="0">
            <x v="5"/>
          </reference>
          <reference field="6" count="1" selected="0">
            <x v="0"/>
          </reference>
          <reference field="7" count="1" selected="0">
            <x v="22"/>
          </reference>
          <reference field="8" count="1" selected="0">
            <x v="94"/>
          </reference>
          <reference field="15" count="1">
            <x v="164"/>
          </reference>
        </references>
      </pivotArea>
    </format>
    <format dxfId="4998">
      <pivotArea dataOnly="0" labelOnly="1" fieldPosition="0">
        <references count="5">
          <reference field="4" count="1" selected="0">
            <x v="5"/>
          </reference>
          <reference field="6" count="1" selected="0">
            <x v="4"/>
          </reference>
          <reference field="7" count="1" selected="0">
            <x v="8"/>
          </reference>
          <reference field="8" count="1" selected="0">
            <x v="37"/>
          </reference>
          <reference field="15" count="1">
            <x v="222"/>
          </reference>
        </references>
      </pivotArea>
    </format>
    <format dxfId="4997">
      <pivotArea dataOnly="0" labelOnly="1" fieldPosition="0">
        <references count="5">
          <reference field="4" count="1" selected="0">
            <x v="6"/>
          </reference>
          <reference field="6" count="1" selected="0">
            <x v="1"/>
          </reference>
          <reference field="7" count="1" selected="0">
            <x v="24"/>
          </reference>
          <reference field="8" count="1" selected="0">
            <x v="105"/>
          </reference>
          <reference field="15" count="13">
            <x v="24"/>
            <x v="25"/>
            <x v="31"/>
            <x v="37"/>
            <x v="44"/>
            <x v="45"/>
            <x v="48"/>
            <x v="49"/>
            <x v="50"/>
            <x v="56"/>
            <x v="66"/>
            <x v="100"/>
            <x v="101"/>
          </reference>
        </references>
      </pivotArea>
    </format>
    <format dxfId="4996">
      <pivotArea dataOnly="0" labelOnly="1" fieldPosition="0">
        <references count="5">
          <reference field="4" count="1" selected="0">
            <x v="6"/>
          </reference>
          <reference field="6" count="1" selected="0">
            <x v="1"/>
          </reference>
          <reference field="7" count="1" selected="0">
            <x v="24"/>
          </reference>
          <reference field="8" count="1" selected="0">
            <x v="107"/>
          </reference>
          <reference field="15" count="3">
            <x v="118"/>
            <x v="123"/>
            <x v="165"/>
          </reference>
        </references>
      </pivotArea>
    </format>
    <format dxfId="4995">
      <pivotArea dataOnly="0" labelOnly="1" fieldPosition="0">
        <references count="5">
          <reference field="4" count="1" selected="0">
            <x v="6"/>
          </reference>
          <reference field="6" count="1" selected="0">
            <x v="1"/>
          </reference>
          <reference field="7" count="1" selected="0">
            <x v="24"/>
          </reference>
          <reference field="8" count="1" selected="0">
            <x v="108"/>
          </reference>
          <reference field="15" count="2">
            <x v="97"/>
            <x v="119"/>
          </reference>
        </references>
      </pivotArea>
    </format>
    <format dxfId="4994">
      <pivotArea dataOnly="0" labelOnly="1" fieldPosition="0">
        <references count="5">
          <reference field="4" count="1" selected="0">
            <x v="6"/>
          </reference>
          <reference field="6" count="1" selected="0">
            <x v="1"/>
          </reference>
          <reference field="7" count="1" selected="0">
            <x v="24"/>
          </reference>
          <reference field="8" count="1" selected="0">
            <x v="109"/>
          </reference>
          <reference field="15" count="2">
            <x v="96"/>
            <x v="327"/>
          </reference>
        </references>
      </pivotArea>
    </format>
    <format dxfId="4993">
      <pivotArea dataOnly="0" labelOnly="1" fieldPosition="0">
        <references count="5">
          <reference field="4" count="1" selected="0">
            <x v="6"/>
          </reference>
          <reference field="6" count="1" selected="0">
            <x v="1"/>
          </reference>
          <reference field="7" count="1" selected="0">
            <x v="24"/>
          </reference>
          <reference field="8" count="1" selected="0">
            <x v="110"/>
          </reference>
          <reference field="15" count="2">
            <x v="115"/>
            <x v="324"/>
          </reference>
        </references>
      </pivotArea>
    </format>
    <format dxfId="4992">
      <pivotArea dataOnly="0" labelOnly="1" fieldPosition="0">
        <references count="5">
          <reference field="4" count="1" selected="0">
            <x v="6"/>
          </reference>
          <reference field="6" count="1" selected="0">
            <x v="1"/>
          </reference>
          <reference field="7" count="1" selected="0">
            <x v="24"/>
          </reference>
          <reference field="8" count="1" selected="0">
            <x v="111"/>
          </reference>
          <reference field="15" count="1">
            <x v="326"/>
          </reference>
        </references>
      </pivotArea>
    </format>
    <format dxfId="4991">
      <pivotArea dataOnly="0" labelOnly="1" fieldPosition="0">
        <references count="5">
          <reference field="4" count="1" selected="0">
            <x v="6"/>
          </reference>
          <reference field="6" count="1" selected="0">
            <x v="1"/>
          </reference>
          <reference field="7" count="1" selected="0">
            <x v="24"/>
          </reference>
          <reference field="8" count="1" selected="0">
            <x v="112"/>
          </reference>
          <reference field="15" count="5">
            <x v="80"/>
            <x v="120"/>
            <x v="121"/>
            <x v="122"/>
            <x v="135"/>
          </reference>
        </references>
      </pivotArea>
    </format>
    <format dxfId="4990">
      <pivotArea dataOnly="0" labelOnly="1" fieldPosition="0">
        <references count="5">
          <reference field="4" count="1" selected="0">
            <x v="6"/>
          </reference>
          <reference field="6" count="1" selected="0">
            <x v="1"/>
          </reference>
          <reference field="7" count="1" selected="0">
            <x v="24"/>
          </reference>
          <reference field="8" count="1" selected="0">
            <x v="113"/>
          </reference>
          <reference field="15" count="3">
            <x v="67"/>
            <x v="84"/>
            <x v="166"/>
          </reference>
        </references>
      </pivotArea>
    </format>
    <format dxfId="4989">
      <pivotArea dataOnly="0" labelOnly="1" fieldPosition="0">
        <references count="5">
          <reference field="4" count="1" selected="0">
            <x v="7"/>
          </reference>
          <reference field="6" count="1" selected="0">
            <x v="0"/>
          </reference>
          <reference field="7" count="1" selected="0">
            <x v="16"/>
          </reference>
          <reference field="8" count="1" selected="0">
            <x v="64"/>
          </reference>
          <reference field="15" count="3">
            <x v="274"/>
            <x v="278"/>
            <x v="325"/>
          </reference>
        </references>
      </pivotArea>
    </format>
    <format dxfId="4988">
      <pivotArea dataOnly="0" labelOnly="1" fieldPosition="0">
        <references count="5">
          <reference field="4" count="1" selected="0">
            <x v="7"/>
          </reference>
          <reference field="6" count="1" selected="0">
            <x v="2"/>
          </reference>
          <reference field="7" count="1" selected="0">
            <x v="29"/>
          </reference>
          <reference field="8" count="1" selected="0">
            <x v="140"/>
          </reference>
          <reference field="15" count="1">
            <x v="53"/>
          </reference>
        </references>
      </pivotArea>
    </format>
    <format dxfId="4987">
      <pivotArea dataOnly="0" labelOnly="1" fieldPosition="0">
        <references count="5">
          <reference field="4" count="1" selected="0">
            <x v="7"/>
          </reference>
          <reference field="6" count="1" selected="0">
            <x v="2"/>
          </reference>
          <reference field="7" count="1" selected="0">
            <x v="29"/>
          </reference>
          <reference field="8" count="1" selected="0">
            <x v="141"/>
          </reference>
          <reference field="15" count="1">
            <x v="279"/>
          </reference>
        </references>
      </pivotArea>
    </format>
    <format dxfId="4986">
      <pivotArea dataOnly="0" labelOnly="1" fieldPosition="0">
        <references count="5">
          <reference field="4" count="1" selected="0">
            <x v="7"/>
          </reference>
          <reference field="6" count="1" selected="0">
            <x v="2"/>
          </reference>
          <reference field="7" count="1" selected="0">
            <x v="29"/>
          </reference>
          <reference field="8" count="1" selected="0">
            <x v="144"/>
          </reference>
          <reference field="15" count="1">
            <x v="52"/>
          </reference>
        </references>
      </pivotArea>
    </format>
    <format dxfId="4985">
      <pivotArea dataOnly="0" labelOnly="1" fieldPosition="0">
        <references count="5">
          <reference field="4" count="1" selected="0">
            <x v="7"/>
          </reference>
          <reference field="6" count="1" selected="0">
            <x v="2"/>
          </reference>
          <reference field="7" count="1" selected="0">
            <x v="29"/>
          </reference>
          <reference field="8" count="1" selected="0">
            <x v="145"/>
          </reference>
          <reference field="15" count="1">
            <x v="51"/>
          </reference>
        </references>
      </pivotArea>
    </format>
    <format dxfId="4984">
      <pivotArea dataOnly="0" labelOnly="1" fieldPosition="0">
        <references count="5">
          <reference field="4" count="1" selected="0">
            <x v="7"/>
          </reference>
          <reference field="6" count="1" selected="0">
            <x v="2"/>
          </reference>
          <reference field="7" count="1" selected="0">
            <x v="30"/>
          </reference>
          <reference field="8" count="1" selected="0">
            <x v="154"/>
          </reference>
          <reference field="15" count="1">
            <x v="275"/>
          </reference>
        </references>
      </pivotArea>
    </format>
    <format dxfId="4983">
      <pivotArea dataOnly="0" labelOnly="1" fieldPosition="0">
        <references count="5">
          <reference field="4" count="1" selected="0">
            <x v="7"/>
          </reference>
          <reference field="6" count="1" selected="0">
            <x v="3"/>
          </reference>
          <reference field="7" count="1" selected="0">
            <x v="6"/>
          </reference>
          <reference field="8" count="1" selected="0">
            <x v="28"/>
          </reference>
          <reference field="15" count="3">
            <x v="318"/>
            <x v="319"/>
            <x v="320"/>
          </reference>
        </references>
      </pivotArea>
    </format>
    <format dxfId="4982">
      <pivotArea dataOnly="0" labelOnly="1" fieldPosition="0">
        <references count="5">
          <reference field="4" count="1" selected="0">
            <x v="7"/>
          </reference>
          <reference field="6" count="1" selected="0">
            <x v="4"/>
          </reference>
          <reference field="7" count="1" selected="0">
            <x v="8"/>
          </reference>
          <reference field="8" count="1" selected="0">
            <x v="35"/>
          </reference>
          <reference field="15" count="1">
            <x v="337"/>
          </reference>
        </references>
      </pivotArea>
    </format>
    <format dxfId="4981">
      <pivotArea dataOnly="0" labelOnly="1" fieldPosition="0">
        <references count="5">
          <reference field="4" count="1" selected="0">
            <x v="7"/>
          </reference>
          <reference field="6" count="1" selected="0">
            <x v="4"/>
          </reference>
          <reference field="7" count="1" selected="0">
            <x v="8"/>
          </reference>
          <reference field="8" count="1" selected="0">
            <x v="36"/>
          </reference>
          <reference field="15" count="1">
            <x v="280"/>
          </reference>
        </references>
      </pivotArea>
    </format>
    <format dxfId="4980">
      <pivotArea dataOnly="0" labelOnly="1" fieldPosition="0">
        <references count="5">
          <reference field="4" count="1" selected="0">
            <x v="7"/>
          </reference>
          <reference field="6" count="1" selected="0">
            <x v="4"/>
          </reference>
          <reference field="7" count="1" selected="0">
            <x v="9"/>
          </reference>
          <reference field="8" count="1" selected="0">
            <x v="40"/>
          </reference>
          <reference field="15" count="3">
            <x v="311"/>
            <x v="312"/>
            <x v="334"/>
          </reference>
        </references>
      </pivotArea>
    </format>
    <format dxfId="4979">
      <pivotArea dataOnly="0" labelOnly="1" fieldPosition="0">
        <references count="5">
          <reference field="4" count="1" selected="0">
            <x v="7"/>
          </reference>
          <reference field="6" count="1" selected="0">
            <x v="4"/>
          </reference>
          <reference field="7" count="1" selected="0">
            <x v="9"/>
          </reference>
          <reference field="8" count="1" selected="0">
            <x v="41"/>
          </reference>
          <reference field="15" count="1">
            <x v="328"/>
          </reference>
        </references>
      </pivotArea>
    </format>
    <format dxfId="4978">
      <pivotArea dataOnly="0" labelOnly="1" fieldPosition="0">
        <references count="5">
          <reference field="4" count="1" selected="0">
            <x v="7"/>
          </reference>
          <reference field="6" count="1" selected="0">
            <x v="4"/>
          </reference>
          <reference field="7" count="1" selected="0">
            <x v="9"/>
          </reference>
          <reference field="8" count="1" selected="0">
            <x v="42"/>
          </reference>
          <reference field="15" count="1">
            <x v="329"/>
          </reference>
        </references>
      </pivotArea>
    </format>
    <format dxfId="4977">
      <pivotArea dataOnly="0" labelOnly="1" fieldPosition="0">
        <references count="5">
          <reference field="4" count="1" selected="0">
            <x v="7"/>
          </reference>
          <reference field="6" count="1" selected="0">
            <x v="4"/>
          </reference>
          <reference field="7" count="1" selected="0">
            <x v="9"/>
          </reference>
          <reference field="8" count="1" selected="0">
            <x v="43"/>
          </reference>
          <reference field="15" count="1">
            <x v="321"/>
          </reference>
        </references>
      </pivotArea>
    </format>
    <format dxfId="4976">
      <pivotArea dataOnly="0" labelOnly="1" fieldPosition="0">
        <references count="5">
          <reference field="4" count="1" selected="0">
            <x v="7"/>
          </reference>
          <reference field="6" count="1" selected="0">
            <x v="4"/>
          </reference>
          <reference field="7" count="1" selected="0">
            <x v="10"/>
          </reference>
          <reference field="8" count="1" selected="0">
            <x v="44"/>
          </reference>
          <reference field="15" count="2">
            <x v="57"/>
            <x v="58"/>
          </reference>
        </references>
      </pivotArea>
    </format>
    <format dxfId="4975">
      <pivotArea dataOnly="0" labelOnly="1" fieldPosition="0">
        <references count="5">
          <reference field="4" count="1" selected="0">
            <x v="7"/>
          </reference>
          <reference field="6" count="1" selected="0">
            <x v="4"/>
          </reference>
          <reference field="7" count="1" selected="0">
            <x v="10"/>
          </reference>
          <reference field="8" count="1" selected="0">
            <x v="45"/>
          </reference>
          <reference field="15" count="1">
            <x v="55"/>
          </reference>
        </references>
      </pivotArea>
    </format>
    <format dxfId="4974">
      <pivotArea dataOnly="0" labelOnly="1" fieldPosition="0">
        <references count="5">
          <reference field="4" count="1" selected="0">
            <x v="7"/>
          </reference>
          <reference field="6" count="1" selected="0">
            <x v="4"/>
          </reference>
          <reference field="7" count="1" selected="0">
            <x v="10"/>
          </reference>
          <reference field="8" count="1" selected="0">
            <x v="46"/>
          </reference>
          <reference field="15" count="1">
            <x v="59"/>
          </reference>
        </references>
      </pivotArea>
    </format>
    <format dxfId="4973">
      <pivotArea dataOnly="0" labelOnly="1" fieldPosition="0">
        <references count="5">
          <reference field="4" count="1" selected="0">
            <x v="7"/>
          </reference>
          <reference field="6" count="1" selected="0">
            <x v="4"/>
          </reference>
          <reference field="7" count="1" selected="0">
            <x v="10"/>
          </reference>
          <reference field="8" count="1" selected="0">
            <x v="47"/>
          </reference>
          <reference field="15" count="1">
            <x v="54"/>
          </reference>
        </references>
      </pivotArea>
    </format>
    <format dxfId="4972">
      <pivotArea dataOnly="0" labelOnly="1" fieldPosition="0">
        <references count="5">
          <reference field="4" count="1" selected="0">
            <x v="7"/>
          </reference>
          <reference field="6" count="1" selected="0">
            <x v="4"/>
          </reference>
          <reference field="7" count="1" selected="0">
            <x v="11"/>
          </reference>
          <reference field="8" count="1" selected="0">
            <x v="48"/>
          </reference>
          <reference field="15" count="1">
            <x v="88"/>
          </reference>
        </references>
      </pivotArea>
    </format>
    <format dxfId="4971">
      <pivotArea dataOnly="0" labelOnly="1" fieldPosition="0">
        <references count="5">
          <reference field="4" count="1" selected="0">
            <x v="7"/>
          </reference>
          <reference field="6" count="1" selected="0">
            <x v="4"/>
          </reference>
          <reference field="7" count="1" selected="0">
            <x v="11"/>
          </reference>
          <reference field="8" count="1" selected="0">
            <x v="49"/>
          </reference>
          <reference field="15" count="1">
            <x v="86"/>
          </reference>
        </references>
      </pivotArea>
    </format>
    <format dxfId="4970">
      <pivotArea dataOnly="0" labelOnly="1" fieldPosition="0">
        <references count="5">
          <reference field="4" count="1" selected="0">
            <x v="7"/>
          </reference>
          <reference field="6" count="1" selected="0">
            <x v="4"/>
          </reference>
          <reference field="7" count="1" selected="0">
            <x v="12"/>
          </reference>
          <reference field="8" count="1" selected="0">
            <x v="50"/>
          </reference>
          <reference field="15" count="3">
            <x v="64"/>
            <x v="65"/>
            <x v="136"/>
          </reference>
        </references>
      </pivotArea>
    </format>
    <format dxfId="4969">
      <pivotArea dataOnly="0" labelOnly="1" fieldPosition="0">
        <references count="5">
          <reference field="4" count="1" selected="0">
            <x v="7"/>
          </reference>
          <reference field="6" count="1" selected="0">
            <x v="4"/>
          </reference>
          <reference field="7" count="1" selected="0">
            <x v="13"/>
          </reference>
          <reference field="8" count="1" selected="0">
            <x v="51"/>
          </reference>
          <reference field="15" count="1">
            <x v="307"/>
          </reference>
        </references>
      </pivotArea>
    </format>
    <format dxfId="4968">
      <pivotArea dataOnly="0" labelOnly="1" fieldPosition="0">
        <references count="5">
          <reference field="4" count="1" selected="0">
            <x v="7"/>
          </reference>
          <reference field="6" count="1" selected="0">
            <x v="4"/>
          </reference>
          <reference field="7" count="1" selected="0">
            <x v="13"/>
          </reference>
          <reference field="8" count="1" selected="0">
            <x v="52"/>
          </reference>
          <reference field="15" count="1">
            <x v="309"/>
          </reference>
        </references>
      </pivotArea>
    </format>
    <format dxfId="4967">
      <pivotArea dataOnly="0" labelOnly="1" fieldPosition="0">
        <references count="5">
          <reference field="4" count="1" selected="0">
            <x v="7"/>
          </reference>
          <reference field="6" count="1" selected="0">
            <x v="4"/>
          </reference>
          <reference field="7" count="1" selected="0">
            <x v="13"/>
          </reference>
          <reference field="8" count="1" selected="0">
            <x v="53"/>
          </reference>
          <reference field="15" count="1">
            <x v="308"/>
          </reference>
        </references>
      </pivotArea>
    </format>
    <format dxfId="4966">
      <pivotArea dataOnly="0" labelOnly="1" fieldPosition="0">
        <references count="5">
          <reference field="4" count="1" selected="0">
            <x v="7"/>
          </reference>
          <reference field="6" count="1" selected="0">
            <x v="4"/>
          </reference>
          <reference field="7" count="1" selected="0">
            <x v="14"/>
          </reference>
          <reference field="8" count="1" selected="0">
            <x v="54"/>
          </reference>
          <reference field="15" count="1">
            <x v="281"/>
          </reference>
        </references>
      </pivotArea>
    </format>
    <format dxfId="4965">
      <pivotArea dataOnly="0" labelOnly="1" fieldPosition="0">
        <references count="5">
          <reference field="4" count="1" selected="0">
            <x v="7"/>
          </reference>
          <reference field="6" count="1" selected="0">
            <x v="4"/>
          </reference>
          <reference field="7" count="1" selected="0">
            <x v="14"/>
          </reference>
          <reference field="8" count="1" selected="0">
            <x v="55"/>
          </reference>
          <reference field="15" count="1">
            <x v="138"/>
          </reference>
        </references>
      </pivotArea>
    </format>
    <format dxfId="4964">
      <pivotArea dataOnly="0" labelOnly="1" fieldPosition="0">
        <references count="5">
          <reference field="4" count="1" selected="0">
            <x v="7"/>
          </reference>
          <reference field="6" count="1" selected="0">
            <x v="4"/>
          </reference>
          <reference field="7" count="1" selected="0">
            <x v="15"/>
          </reference>
          <reference field="8" count="1" selected="0">
            <x v="56"/>
          </reference>
          <reference field="15" count="2">
            <x v="335"/>
            <x v="336"/>
          </reference>
        </references>
      </pivotArea>
    </format>
    <format dxfId="4963">
      <pivotArea dataOnly="0" labelOnly="1" fieldPosition="0">
        <references count="5">
          <reference field="4" count="1" selected="0">
            <x v="8"/>
          </reference>
          <reference field="6" count="1" selected="0">
            <x v="0"/>
          </reference>
          <reference field="7" count="1" selected="0">
            <x v="18"/>
          </reference>
          <reference field="8" count="1" selected="0">
            <x v="77"/>
          </reference>
          <reference field="15" count="1">
            <x v="290"/>
          </reference>
        </references>
      </pivotArea>
    </format>
    <format dxfId="4962">
      <pivotArea dataOnly="0" labelOnly="1" fieldPosition="0">
        <references count="5">
          <reference field="4" count="1" selected="0">
            <x v="8"/>
          </reference>
          <reference field="6" count="1" selected="0">
            <x v="0"/>
          </reference>
          <reference field="7" count="1" selected="0">
            <x v="22"/>
          </reference>
          <reference field="8" count="1" selected="0">
            <x v="92"/>
          </reference>
          <reference field="15" count="4">
            <x v="130"/>
            <x v="359"/>
            <x v="360"/>
            <x v="361"/>
          </reference>
        </references>
      </pivotArea>
    </format>
    <format dxfId="4961">
      <pivotArea dataOnly="0" labelOnly="1" fieldPosition="0">
        <references count="5">
          <reference field="4" count="1" selected="0">
            <x v="8"/>
          </reference>
          <reference field="6" count="1" selected="0">
            <x v="0"/>
          </reference>
          <reference field="7" count="1" selected="0">
            <x v="22"/>
          </reference>
          <reference field="8" count="1" selected="0">
            <x v="93"/>
          </reference>
          <reference field="15" count="1">
            <x v="369"/>
          </reference>
        </references>
      </pivotArea>
    </format>
    <format dxfId="4960">
      <pivotArea dataOnly="0" labelOnly="1" fieldPosition="0">
        <references count="5">
          <reference field="4" count="1" selected="0">
            <x v="8"/>
          </reference>
          <reference field="6" count="1" selected="0">
            <x v="0"/>
          </reference>
          <reference field="7" count="1" selected="0">
            <x v="22"/>
          </reference>
          <reference field="8" count="1" selected="0">
            <x v="94"/>
          </reference>
          <reference field="15" count="1">
            <x v="273"/>
          </reference>
        </references>
      </pivotArea>
    </format>
    <format dxfId="4959">
      <pivotArea dataOnly="0" labelOnly="1" fieldPosition="0">
        <references count="5">
          <reference field="4" count="1" selected="0">
            <x v="8"/>
          </reference>
          <reference field="6" count="1" selected="0">
            <x v="1"/>
          </reference>
          <reference field="7" count="1" selected="0">
            <x v="28"/>
          </reference>
          <reference field="8" count="1" selected="0">
            <x v="138"/>
          </reference>
          <reference field="15" count="3">
            <x v="270"/>
            <x v="343"/>
            <x v="355"/>
          </reference>
        </references>
      </pivotArea>
    </format>
    <format dxfId="4958">
      <pivotArea dataOnly="0" labelOnly="1" fieldPosition="0">
        <references count="5">
          <reference field="4" count="1" selected="0">
            <x v="8"/>
          </reference>
          <reference field="6" count="1" selected="0">
            <x v="1"/>
          </reference>
          <reference field="7" count="1" selected="0">
            <x v="28"/>
          </reference>
          <reference field="8" count="1" selected="0">
            <x v="139"/>
          </reference>
          <reference field="15" count="1">
            <x v="147"/>
          </reference>
        </references>
      </pivotArea>
    </format>
    <format dxfId="4957">
      <pivotArea dataOnly="0" labelOnly="1" fieldPosition="0">
        <references count="5">
          <reference field="4" count="1" selected="0">
            <x v="8"/>
          </reference>
          <reference field="6" count="1" selected="0">
            <x v="2"/>
          </reference>
          <reference field="7" count="1" selected="0">
            <x v="32"/>
          </reference>
          <reference field="8" count="1" selected="0">
            <x v="158"/>
          </reference>
          <reference field="15" count="1">
            <x v="344"/>
          </reference>
        </references>
      </pivotArea>
    </format>
    <format dxfId="4956">
      <pivotArea dataOnly="0" labelOnly="1" fieldPosition="0">
        <references count="5">
          <reference field="4" count="1" selected="0">
            <x v="8"/>
          </reference>
          <reference field="6" count="1" selected="0">
            <x v="2"/>
          </reference>
          <reference field="7" count="1" selected="0">
            <x v="32"/>
          </reference>
          <reference field="8" count="1" selected="0">
            <x v="159"/>
          </reference>
          <reference field="15" count="1">
            <x v="137"/>
          </reference>
        </references>
      </pivotArea>
    </format>
    <format dxfId="4955">
      <pivotArea dataOnly="0" labelOnly="1" fieldPosition="0">
        <references count="5">
          <reference field="4" count="1" selected="0">
            <x v="8"/>
          </reference>
          <reference field="6" count="1" selected="0">
            <x v="3"/>
          </reference>
          <reference field="7" count="1" selected="0">
            <x v="6"/>
          </reference>
          <reference field="8" count="1" selected="0">
            <x v="29"/>
          </reference>
          <reference field="15" count="4">
            <x v="145"/>
            <x v="146"/>
            <x v="356"/>
            <x v="357"/>
          </reference>
        </references>
      </pivotArea>
    </format>
    <format dxfId="4954">
      <pivotArea dataOnly="0" labelOnly="1" fieldPosition="0">
        <references count="5">
          <reference field="4" count="1" selected="0">
            <x v="8"/>
          </reference>
          <reference field="6" count="1" selected="0">
            <x v="3"/>
          </reference>
          <reference field="7" count="1" selected="0">
            <x v="6"/>
          </reference>
          <reference field="8" count="1" selected="0">
            <x v="30"/>
          </reference>
          <reference field="15" count="2">
            <x v="267"/>
            <x v="268"/>
          </reference>
        </references>
      </pivotArea>
    </format>
    <format dxfId="4953">
      <pivotArea dataOnly="0" labelOnly="1" fieldPosition="0">
        <references count="5">
          <reference field="4" count="1" selected="0">
            <x v="9"/>
          </reference>
          <reference field="6" count="1" selected="0">
            <x v="1"/>
          </reference>
          <reference field="7" count="1" selected="0">
            <x v="25"/>
          </reference>
          <reference field="8" count="1" selected="0">
            <x v="115"/>
          </reference>
          <reference field="15" count="13">
            <x v="35"/>
            <x v="36"/>
            <x v="63"/>
            <x v="72"/>
            <x v="77"/>
            <x v="238"/>
            <x v="241"/>
            <x v="242"/>
            <x v="243"/>
            <x v="247"/>
            <x v="248"/>
            <x v="260"/>
            <x v="262"/>
          </reference>
        </references>
      </pivotArea>
    </format>
    <format dxfId="4952">
      <pivotArea dataOnly="0" labelOnly="1" fieldPosition="0">
        <references count="5">
          <reference field="4" count="1" selected="0">
            <x v="9"/>
          </reference>
          <reference field="6" count="1" selected="0">
            <x v="1"/>
          </reference>
          <reference field="7" count="1" selected="0">
            <x v="25"/>
          </reference>
          <reference field="8" count="1" selected="0">
            <x v="116"/>
          </reference>
          <reference field="15" count="1">
            <x v="61"/>
          </reference>
        </references>
      </pivotArea>
    </format>
    <format dxfId="4951">
      <pivotArea dataOnly="0" labelOnly="1" fieldPosition="0">
        <references count="5">
          <reference field="4" count="1" selected="0">
            <x v="9"/>
          </reference>
          <reference field="6" count="1" selected="0">
            <x v="1"/>
          </reference>
          <reference field="7" count="1" selected="0">
            <x v="25"/>
          </reference>
          <reference field="8" count="1" selected="0">
            <x v="117"/>
          </reference>
          <reference field="15" count="2">
            <x v="92"/>
            <x v="249"/>
          </reference>
        </references>
      </pivotArea>
    </format>
    <format dxfId="4950">
      <pivotArea dataOnly="0" labelOnly="1" fieldPosition="0">
        <references count="5">
          <reference field="4" count="1" selected="0">
            <x v="9"/>
          </reference>
          <reference field="6" count="1" selected="0">
            <x v="1"/>
          </reference>
          <reference field="7" count="1" selected="0">
            <x v="25"/>
          </reference>
          <reference field="8" count="1" selected="0">
            <x v="118"/>
          </reference>
          <reference field="15" count="3">
            <x v="71"/>
            <x v="87"/>
            <x v="91"/>
          </reference>
        </references>
      </pivotArea>
    </format>
    <format dxfId="4949">
      <pivotArea dataOnly="0" labelOnly="1" fieldPosition="0">
        <references count="5">
          <reference field="4" count="1" selected="0">
            <x v="9"/>
          </reference>
          <reference field="6" count="1" selected="0">
            <x v="1"/>
          </reference>
          <reference field="7" count="1" selected="0">
            <x v="25"/>
          </reference>
          <reference field="8" count="1" selected="0">
            <x v="119"/>
          </reference>
          <reference field="15" count="4">
            <x v="62"/>
            <x v="68"/>
            <x v="69"/>
            <x v="70"/>
          </reference>
        </references>
      </pivotArea>
    </format>
    <format dxfId="4948">
      <pivotArea dataOnly="0" labelOnly="1" fieldPosition="0">
        <references count="5">
          <reference field="4" count="1" selected="0">
            <x v="9"/>
          </reference>
          <reference field="6" count="1" selected="0">
            <x v="1"/>
          </reference>
          <reference field="7" count="1" selected="0">
            <x v="25"/>
          </reference>
          <reference field="8" count="1" selected="0">
            <x v="120"/>
          </reference>
          <reference field="15" count="1">
            <x v="85"/>
          </reference>
        </references>
      </pivotArea>
    </format>
    <format dxfId="4947">
      <pivotArea dataOnly="0" labelOnly="1" fieldPosition="0">
        <references count="5">
          <reference field="4" count="1" selected="0">
            <x v="9"/>
          </reference>
          <reference field="6" count="1" selected="0">
            <x v="1"/>
          </reference>
          <reference field="7" count="1" selected="0">
            <x v="25"/>
          </reference>
          <reference field="8" count="1" selected="0">
            <x v="121"/>
          </reference>
          <reference field="15" count="2">
            <x v="41"/>
            <x v="78"/>
          </reference>
        </references>
      </pivotArea>
    </format>
    <format dxfId="4946">
      <pivotArea dataOnly="0" labelOnly="1" fieldPosition="0">
        <references count="5">
          <reference field="4" count="1" selected="0">
            <x v="9"/>
          </reference>
          <reference field="6" count="1" selected="0">
            <x v="1"/>
          </reference>
          <reference field="7" count="1" selected="0">
            <x v="25"/>
          </reference>
          <reference field="8" count="1" selected="0">
            <x v="122"/>
          </reference>
          <reference field="15" count="2">
            <x v="38"/>
            <x v="39"/>
          </reference>
        </references>
      </pivotArea>
    </format>
    <format dxfId="4945">
      <pivotArea dataOnly="0" labelOnly="1" fieldPosition="0">
        <references count="5">
          <reference field="4" count="1" selected="0">
            <x v="9"/>
          </reference>
          <reference field="6" count="1" selected="0">
            <x v="1"/>
          </reference>
          <reference field="7" count="1" selected="0">
            <x v="25"/>
          </reference>
          <reference field="8" count="1" selected="0">
            <x v="123"/>
          </reference>
          <reference field="15" count="7">
            <x v="32"/>
            <x v="33"/>
            <x v="60"/>
            <x v="82"/>
            <x v="83"/>
            <x v="89"/>
            <x v="90"/>
          </reference>
        </references>
      </pivotArea>
    </format>
    <format dxfId="4944">
      <pivotArea dataOnly="0" labelOnly="1" fieldPosition="0">
        <references count="5">
          <reference field="4" count="1" selected="0">
            <x v="9"/>
          </reference>
          <reference field="6" count="1" selected="0">
            <x v="1"/>
          </reference>
          <reference field="7" count="1" selected="0">
            <x v="25"/>
          </reference>
          <reference field="8" count="1" selected="0">
            <x v="124"/>
          </reference>
          <reference field="15" count="1">
            <x v="261"/>
          </reference>
        </references>
      </pivotArea>
    </format>
    <format dxfId="4943">
      <pivotArea dataOnly="0" labelOnly="1" fieldPosition="0">
        <references count="5">
          <reference field="4" count="1" selected="0">
            <x v="10"/>
          </reference>
          <reference field="6" count="1" selected="0">
            <x v="3"/>
          </reference>
          <reference field="7" count="1" selected="0">
            <x v="6"/>
          </reference>
          <reference field="8" count="1" selected="0">
            <x v="29"/>
          </reference>
          <reference field="15" count="21">
            <x v="2"/>
            <x v="3"/>
            <x v="5"/>
            <x v="152"/>
            <x v="153"/>
            <x v="154"/>
            <x v="155"/>
            <x v="156"/>
            <x v="157"/>
            <x v="158"/>
            <x v="159"/>
            <x v="160"/>
            <x v="161"/>
            <x v="162"/>
            <x v="163"/>
            <x v="189"/>
            <x v="190"/>
            <x v="191"/>
            <x v="192"/>
            <x v="193"/>
            <x v="395"/>
          </reference>
        </references>
      </pivotArea>
    </format>
    <format dxfId="4942">
      <pivotArea dataOnly="0" labelOnly="1" fieldPosition="0">
        <references count="5">
          <reference field="4" count="1" selected="0">
            <x v="11"/>
          </reference>
          <reference field="6" count="1" selected="0">
            <x v="0"/>
          </reference>
          <reference field="7" count="1" selected="0">
            <x v="17"/>
          </reference>
          <reference field="8" count="1" selected="0">
            <x v="70"/>
          </reference>
          <reference field="15" count="4">
            <x v="345"/>
            <x v="346"/>
            <x v="347"/>
            <x v="351"/>
          </reference>
        </references>
      </pivotArea>
    </format>
    <format dxfId="4941">
      <pivotArea dataOnly="0" labelOnly="1" fieldPosition="0">
        <references count="5">
          <reference field="4" count="1" selected="0">
            <x v="11"/>
          </reference>
          <reference field="6" count="1" selected="0">
            <x v="0"/>
          </reference>
          <reference field="7" count="1" selected="0">
            <x v="17"/>
          </reference>
          <reference field="8" count="1" selected="0">
            <x v="71"/>
          </reference>
          <reference field="15" count="3">
            <x v="348"/>
            <x v="352"/>
            <x v="353"/>
          </reference>
        </references>
      </pivotArea>
    </format>
    <format dxfId="4940">
      <pivotArea dataOnly="0" labelOnly="1" fieldPosition="0">
        <references count="5">
          <reference field="4" count="1" selected="0">
            <x v="11"/>
          </reference>
          <reference field="6" count="1" selected="0">
            <x v="0"/>
          </reference>
          <reference field="7" count="1" selected="0">
            <x v="17"/>
          </reference>
          <reference field="8" count="1" selected="0">
            <x v="72"/>
          </reference>
          <reference field="15" count="3">
            <x v="143"/>
            <x v="349"/>
            <x v="350"/>
          </reference>
        </references>
      </pivotArea>
    </format>
    <format dxfId="4939">
      <pivotArea dataOnly="0" labelOnly="1" fieldPosition="0">
        <references count="5">
          <reference field="4" count="1" selected="0">
            <x v="12"/>
          </reference>
          <reference field="6" count="1" selected="0">
            <x v="0"/>
          </reference>
          <reference field="7" count="1" selected="0">
            <x v="18"/>
          </reference>
          <reference field="8" count="1" selected="0">
            <x v="74"/>
          </reference>
          <reference field="15" count="2">
            <x v="113"/>
            <x v="114"/>
          </reference>
        </references>
      </pivotArea>
    </format>
    <format dxfId="4938">
      <pivotArea dataOnly="0" labelOnly="1" fieldPosition="0">
        <references count="5">
          <reference field="4" count="1" selected="0">
            <x v="12"/>
          </reference>
          <reference field="6" count="1" selected="0">
            <x v="0"/>
          </reference>
          <reference field="7" count="1" selected="0">
            <x v="18"/>
          </reference>
          <reference field="8" count="1" selected="0">
            <x v="75"/>
          </reference>
          <reference field="15" count="1">
            <x v="116"/>
          </reference>
        </references>
      </pivotArea>
    </format>
    <format dxfId="4937">
      <pivotArea dataOnly="0" labelOnly="1" fieldPosition="0">
        <references count="5">
          <reference field="4" count="1" selected="0">
            <x v="12"/>
          </reference>
          <reference field="6" count="1" selected="0">
            <x v="0"/>
          </reference>
          <reference field="7" count="1" selected="0">
            <x v="18"/>
          </reference>
          <reference field="8" count="1" selected="0">
            <x v="76"/>
          </reference>
          <reference field="15" count="1">
            <x v="244"/>
          </reference>
        </references>
      </pivotArea>
    </format>
    <format dxfId="4936">
      <pivotArea dataOnly="0" labelOnly="1" fieldPosition="0">
        <references count="5">
          <reference field="4" count="1" selected="0">
            <x v="13"/>
          </reference>
          <reference field="6" count="1" selected="0">
            <x v="3"/>
          </reference>
          <reference field="7" count="1" selected="0">
            <x v="1"/>
          </reference>
          <reference field="8" count="1" selected="0">
            <x v="6"/>
          </reference>
          <reference field="15" count="1">
            <x v="340"/>
          </reference>
        </references>
      </pivotArea>
    </format>
    <format dxfId="4935">
      <pivotArea dataOnly="0" labelOnly="1" fieldPosition="0">
        <references count="5">
          <reference field="4" count="1" selected="0">
            <x v="13"/>
          </reference>
          <reference field="6" count="1" selected="0">
            <x v="3"/>
          </reference>
          <reference field="7" count="1" selected="0">
            <x v="5"/>
          </reference>
          <reference field="8" count="1" selected="0">
            <x v="22"/>
          </reference>
          <reference field="15" count="1">
            <x v="333"/>
          </reference>
        </references>
      </pivotArea>
    </format>
    <format dxfId="4934">
      <pivotArea dataOnly="0" labelOnly="1" fieldPosition="0">
        <references count="5">
          <reference field="4" count="1" selected="0">
            <x v="13"/>
          </reference>
          <reference field="6" count="1" selected="0">
            <x v="3"/>
          </reference>
          <reference field="7" count="1" selected="0">
            <x v="5"/>
          </reference>
          <reference field="8" count="1" selected="0">
            <x v="23"/>
          </reference>
          <reference field="15" count="1">
            <x v="332"/>
          </reference>
        </references>
      </pivotArea>
    </format>
    <format dxfId="4933">
      <pivotArea dataOnly="0" labelOnly="1" fieldPosition="0">
        <references count="5">
          <reference field="4" count="1" selected="0">
            <x v="13"/>
          </reference>
          <reference field="6" count="1" selected="0">
            <x v="3"/>
          </reference>
          <reference field="7" count="1" selected="0">
            <x v="5"/>
          </reference>
          <reference field="8" count="1" selected="0">
            <x v="24"/>
          </reference>
          <reference field="15" count="1">
            <x v="339"/>
          </reference>
        </references>
      </pivotArea>
    </format>
    <format dxfId="4932">
      <pivotArea dataOnly="0" labelOnly="1" fieldPosition="0">
        <references count="5">
          <reference field="4" count="1" selected="0">
            <x v="13"/>
          </reference>
          <reference field="6" count="1" selected="0">
            <x v="3"/>
          </reference>
          <reference field="7" count="1" selected="0">
            <x v="5"/>
          </reference>
          <reference field="8" count="1" selected="0">
            <x v="25"/>
          </reference>
          <reference field="15" count="1">
            <x v="342"/>
          </reference>
        </references>
      </pivotArea>
    </format>
    <format dxfId="4931">
      <pivotArea dataOnly="0" labelOnly="1" fieldPosition="0">
        <references count="5">
          <reference field="4" count="1" selected="0">
            <x v="13"/>
          </reference>
          <reference field="6" count="1" selected="0">
            <x v="3"/>
          </reference>
          <reference field="7" count="1" selected="0">
            <x v="5"/>
          </reference>
          <reference field="8" count="1" selected="0">
            <x v="26"/>
          </reference>
          <reference field="15" count="1">
            <x v="338"/>
          </reference>
        </references>
      </pivotArea>
    </format>
    <format dxfId="4930">
      <pivotArea dataOnly="0" labelOnly="1" fieldPosition="0">
        <references count="5">
          <reference field="4" count="1" selected="0">
            <x v="13"/>
          </reference>
          <reference field="6" count="1" selected="0">
            <x v="3"/>
          </reference>
          <reference field="7" count="1" selected="0">
            <x v="5"/>
          </reference>
          <reference field="8" count="1" selected="0">
            <x v="27"/>
          </reference>
          <reference field="15" count="1">
            <x v="341"/>
          </reference>
        </references>
      </pivotArea>
    </format>
    <format dxfId="4929">
      <pivotArea dataOnly="0" labelOnly="1" fieldPosition="0">
        <references count="5">
          <reference field="4" count="1" selected="0">
            <x v="14"/>
          </reference>
          <reference field="6" count="1" selected="0">
            <x v="1"/>
          </reference>
          <reference field="7" count="1" selected="0">
            <x v="26"/>
          </reference>
          <reference field="8" count="1" selected="0">
            <x v="125"/>
          </reference>
          <reference field="15" count="4">
            <x v="26"/>
            <x v="27"/>
            <x v="28"/>
            <x v="99"/>
          </reference>
        </references>
      </pivotArea>
    </format>
    <format dxfId="4928">
      <pivotArea dataOnly="0" labelOnly="1" fieldPosition="0">
        <references count="5">
          <reference field="4" count="1" selected="0">
            <x v="14"/>
          </reference>
          <reference field="6" count="1" selected="0">
            <x v="1"/>
          </reference>
          <reference field="7" count="1" selected="0">
            <x v="26"/>
          </reference>
          <reference field="8" count="1" selected="0">
            <x v="126"/>
          </reference>
          <reference field="15" count="1">
            <x v="19"/>
          </reference>
        </references>
      </pivotArea>
    </format>
    <format dxfId="4927">
      <pivotArea dataOnly="0" labelOnly="1" fieldPosition="0">
        <references count="5">
          <reference field="4" count="1" selected="0">
            <x v="14"/>
          </reference>
          <reference field="6" count="1" selected="0">
            <x v="1"/>
          </reference>
          <reference field="7" count="1" selected="0">
            <x v="26"/>
          </reference>
          <reference field="8" count="1" selected="0">
            <x v="127"/>
          </reference>
          <reference field="15" count="2">
            <x v="150"/>
            <x v="151"/>
          </reference>
        </references>
      </pivotArea>
    </format>
    <format dxfId="4926">
      <pivotArea dataOnly="0" labelOnly="1" fieldPosition="0">
        <references count="5">
          <reference field="4" count="1" selected="0">
            <x v="14"/>
          </reference>
          <reference field="6" count="1" selected="0">
            <x v="1"/>
          </reference>
          <reference field="7" count="1" selected="0">
            <x v="26"/>
          </reference>
          <reference field="8" count="1" selected="0">
            <x v="128"/>
          </reference>
          <reference field="15" count="2">
            <x v="29"/>
            <x v="30"/>
          </reference>
        </references>
      </pivotArea>
    </format>
    <format dxfId="4925">
      <pivotArea dataOnly="0" labelOnly="1" fieldPosition="0">
        <references count="5">
          <reference field="4" count="1" selected="0">
            <x v="14"/>
          </reference>
          <reference field="6" count="1" selected="0">
            <x v="1"/>
          </reference>
          <reference field="7" count="1" selected="0">
            <x v="26"/>
          </reference>
          <reference field="8" count="1" selected="0">
            <x v="129"/>
          </reference>
          <reference field="15" count="2">
            <x v="330"/>
            <x v="331"/>
          </reference>
        </references>
      </pivotArea>
    </format>
    <format dxfId="4924">
      <pivotArea dataOnly="0" labelOnly="1" fieldPosition="0">
        <references count="5">
          <reference field="4" count="1" selected="0">
            <x v="14"/>
          </reference>
          <reference field="6" count="1" selected="0">
            <x v="1"/>
          </reference>
          <reference field="7" count="1" selected="0">
            <x v="26"/>
          </reference>
          <reference field="8" count="1" selected="0">
            <x v="130"/>
          </reference>
          <reference field="15" count="2">
            <x v="367"/>
            <x v="368"/>
          </reference>
        </references>
      </pivotArea>
    </format>
    <format dxfId="4923">
      <pivotArea dataOnly="0" labelOnly="1" fieldPosition="0">
        <references count="5">
          <reference field="4" count="1" selected="0">
            <x v="14"/>
          </reference>
          <reference field="6" count="1" selected="0">
            <x v="1"/>
          </reference>
          <reference field="7" count="1" selected="0">
            <x v="26"/>
          </reference>
          <reference field="8" count="1" selected="0">
            <x v="131"/>
          </reference>
          <reference field="15" count="3">
            <x v="14"/>
            <x v="15"/>
            <x v="16"/>
          </reference>
        </references>
      </pivotArea>
    </format>
    <format dxfId="4922">
      <pivotArea dataOnly="0" labelOnly="1" fieldPosition="0">
        <references count="5">
          <reference field="4" count="1" selected="0">
            <x v="15"/>
          </reference>
          <reference field="6" count="1" selected="0">
            <x v="0"/>
          </reference>
          <reference field="7" count="1" selected="0">
            <x v="20"/>
          </reference>
          <reference field="8" count="1" selected="0">
            <x v="82"/>
          </reference>
          <reference field="15" count="2">
            <x v="73"/>
            <x v="74"/>
          </reference>
        </references>
      </pivotArea>
    </format>
    <format dxfId="4921">
      <pivotArea dataOnly="0" labelOnly="1" fieldPosition="0">
        <references count="5">
          <reference field="4" count="1" selected="0">
            <x v="15"/>
          </reference>
          <reference field="6" count="1" selected="0">
            <x v="0"/>
          </reference>
          <reference field="7" count="1" selected="0">
            <x v="20"/>
          </reference>
          <reference field="8" count="1" selected="0">
            <x v="83"/>
          </reference>
          <reference field="15" count="1">
            <x v="75"/>
          </reference>
        </references>
      </pivotArea>
    </format>
    <format dxfId="4920">
      <pivotArea dataOnly="0" labelOnly="1" fieldPosition="0">
        <references count="5">
          <reference field="4" count="1" selected="0">
            <x v="15"/>
          </reference>
          <reference field="6" count="1" selected="0">
            <x v="0"/>
          </reference>
          <reference field="7" count="1" selected="0">
            <x v="20"/>
          </reference>
          <reference field="8" count="1" selected="0">
            <x v="84"/>
          </reference>
          <reference field="15" count="1">
            <x v="76"/>
          </reference>
        </references>
      </pivotArea>
    </format>
    <format dxfId="4919">
      <pivotArea dataOnly="0" labelOnly="1" fieldPosition="0">
        <references count="5">
          <reference field="4" count="1" selected="0">
            <x v="15"/>
          </reference>
          <reference field="6" count="1" selected="0">
            <x v="0"/>
          </reference>
          <reference field="7" count="1" selected="0">
            <x v="20"/>
          </reference>
          <reference field="8" count="1" selected="0">
            <x v="85"/>
          </reference>
          <reference field="15" count="1">
            <x v="259"/>
          </reference>
        </references>
      </pivotArea>
    </format>
    <format dxfId="4918">
      <pivotArea dataOnly="0" labelOnly="1" fieldPosition="0">
        <references count="5">
          <reference field="4" count="1" selected="0">
            <x v="15"/>
          </reference>
          <reference field="6" count="1" selected="0">
            <x v="0"/>
          </reference>
          <reference field="7" count="1" selected="0">
            <x v="20"/>
          </reference>
          <reference field="8" count="1" selected="0">
            <x v="86"/>
          </reference>
          <reference field="15" count="3">
            <x v="132"/>
            <x v="133"/>
            <x v="134"/>
          </reference>
        </references>
      </pivotArea>
    </format>
    <format dxfId="4917">
      <pivotArea dataOnly="0" labelOnly="1" fieldPosition="0">
        <references count="5">
          <reference field="4" count="1" selected="0">
            <x v="16"/>
          </reference>
          <reference field="6" count="1" selected="0">
            <x v="1"/>
          </reference>
          <reference field="7" count="1" selected="0">
            <x v="27"/>
          </reference>
          <reference field="8" count="1" selected="0">
            <x v="132"/>
          </reference>
          <reference field="15" count="1">
            <x v="20"/>
          </reference>
        </references>
      </pivotArea>
    </format>
    <format dxfId="4916">
      <pivotArea dataOnly="0" labelOnly="1" fieldPosition="0">
        <references count="5">
          <reference field="4" count="1" selected="0">
            <x v="16"/>
          </reference>
          <reference field="6" count="1" selected="0">
            <x v="1"/>
          </reference>
          <reference field="7" count="1" selected="0">
            <x v="27"/>
          </reference>
          <reference field="8" count="1" selected="0">
            <x v="133"/>
          </reference>
          <reference field="15" count="3">
            <x v="21"/>
            <x v="22"/>
            <x v="23"/>
          </reference>
        </references>
      </pivotArea>
    </format>
    <format dxfId="4915">
      <pivotArea dataOnly="0" labelOnly="1" fieldPosition="0">
        <references count="5">
          <reference field="4" count="1" selected="0">
            <x v="16"/>
          </reference>
          <reference field="6" count="1" selected="0">
            <x v="1"/>
          </reference>
          <reference field="7" count="1" selected="0">
            <x v="27"/>
          </reference>
          <reference field="8" count="1" selected="0">
            <x v="134"/>
          </reference>
          <reference field="15" count="2">
            <x v="149"/>
            <x v="354"/>
          </reference>
        </references>
      </pivotArea>
    </format>
    <format dxfId="4914">
      <pivotArea dataOnly="0" labelOnly="1" fieldPosition="0">
        <references count="5">
          <reference field="4" count="1" selected="0">
            <x v="16"/>
          </reference>
          <reference field="6" count="1" selected="0">
            <x v="1"/>
          </reference>
          <reference field="7" count="1" selected="0">
            <x v="27"/>
          </reference>
          <reference field="8" count="1" selected="0">
            <x v="135"/>
          </reference>
          <reference field="15" count="2">
            <x v="109"/>
            <x v="363"/>
          </reference>
        </references>
      </pivotArea>
    </format>
    <format dxfId="4913">
      <pivotArea dataOnly="0" labelOnly="1" fieldPosition="0">
        <references count="5">
          <reference field="4" count="1" selected="0">
            <x v="16"/>
          </reference>
          <reference field="6" count="1" selected="0">
            <x v="1"/>
          </reference>
          <reference field="7" count="1" selected="0">
            <x v="27"/>
          </reference>
          <reference field="8" count="1" selected="0">
            <x v="136"/>
          </reference>
          <reference field="15" count="2">
            <x v="81"/>
            <x v="148"/>
          </reference>
        </references>
      </pivotArea>
    </format>
    <format dxfId="4912">
      <pivotArea dataOnly="0" labelOnly="1" fieldPosition="0">
        <references count="5">
          <reference field="4" count="1" selected="0">
            <x v="16"/>
          </reference>
          <reference field="6" count="1" selected="0">
            <x v="1"/>
          </reference>
          <reference field="7" count="1" selected="0">
            <x v="27"/>
          </reference>
          <reference field="8" count="1" selected="0">
            <x v="137"/>
          </reference>
          <reference field="15" count="2">
            <x v="111"/>
            <x v="112"/>
          </reference>
        </references>
      </pivotArea>
    </format>
    <format dxfId="4911">
      <pivotArea dataOnly="0" labelOnly="1" fieldPosition="0">
        <references count="5">
          <reference field="4" count="1" selected="0">
            <x v="16"/>
          </reference>
          <reference field="6" count="1" selected="0">
            <x v="3"/>
          </reference>
          <reference field="7" count="1" selected="0">
            <x v="1"/>
          </reference>
          <reference field="8" count="1" selected="0">
            <x v="6"/>
          </reference>
          <reference field="15" count="1">
            <x v="362"/>
          </reference>
        </references>
      </pivotArea>
    </format>
    <format dxfId="4910">
      <pivotArea dataOnly="0" labelOnly="1" fieldPosition="0">
        <references count="5">
          <reference field="4" count="1" selected="0">
            <x v="16"/>
          </reference>
          <reference field="6" count="1" selected="0">
            <x v="4"/>
          </reference>
          <reference field="7" count="1" selected="0">
            <x v="8"/>
          </reference>
          <reference field="8" count="1" selected="0">
            <x v="38"/>
          </reference>
          <reference field="15" count="1">
            <x v="229"/>
          </reference>
        </references>
      </pivotArea>
    </format>
    <format dxfId="4909">
      <pivotArea dataOnly="0" labelOnly="1" fieldPosition="0">
        <references count="5">
          <reference field="4" count="1" selected="0">
            <x v="16"/>
          </reference>
          <reference field="6" count="1" selected="0">
            <x v="4"/>
          </reference>
          <reference field="7" count="1" selected="0">
            <x v="11"/>
          </reference>
          <reference field="8" count="1" selected="0">
            <x v="48"/>
          </reference>
          <reference field="15" count="1">
            <x v="200"/>
          </reference>
        </references>
      </pivotArea>
    </format>
    <format dxfId="4908">
      <pivotArea dataOnly="0" labelOnly="1" fieldPosition="0">
        <references count="5">
          <reference field="4" count="1" selected="0">
            <x v="17"/>
          </reference>
          <reference field="6" count="1" selected="0">
            <x v="0"/>
          </reference>
          <reference field="7" count="1" selected="0">
            <x v="16"/>
          </reference>
          <reference field="8" count="1" selected="0">
            <x v="57"/>
          </reference>
          <reference field="15" count="5">
            <x v="110"/>
            <x v="284"/>
            <x v="285"/>
            <x v="294"/>
            <x v="295"/>
          </reference>
        </references>
      </pivotArea>
    </format>
    <format dxfId="4907">
      <pivotArea dataOnly="0" labelOnly="1" fieldPosition="0">
        <references count="5">
          <reference field="4" count="1" selected="0">
            <x v="17"/>
          </reference>
          <reference field="6" count="1" selected="0">
            <x v="0"/>
          </reference>
          <reference field="7" count="1" selected="0">
            <x v="16"/>
          </reference>
          <reference field="8" count="1" selected="0">
            <x v="58"/>
          </reference>
          <reference field="15" count="2">
            <x v="299"/>
            <x v="300"/>
          </reference>
        </references>
      </pivotArea>
    </format>
    <format dxfId="4906">
      <pivotArea dataOnly="0" labelOnly="1" fieldPosition="0">
        <references count="5">
          <reference field="4" count="1" selected="0">
            <x v="17"/>
          </reference>
          <reference field="6" count="1" selected="0">
            <x v="0"/>
          </reference>
          <reference field="7" count="1" selected="0">
            <x v="16"/>
          </reference>
          <reference field="8" count="1" selected="0">
            <x v="59"/>
          </reference>
          <reference field="15" count="2">
            <x v="94"/>
            <x v="95"/>
          </reference>
        </references>
      </pivotArea>
    </format>
    <format dxfId="4905">
      <pivotArea dataOnly="0" labelOnly="1" fieldPosition="0">
        <references count="5">
          <reference field="4" count="1" selected="0">
            <x v="17"/>
          </reference>
          <reference field="6" count="1" selected="0">
            <x v="0"/>
          </reference>
          <reference field="7" count="1" selected="0">
            <x v="16"/>
          </reference>
          <reference field="8" count="1" selected="0">
            <x v="60"/>
          </reference>
          <reference field="15" count="5">
            <x v="102"/>
            <x v="103"/>
            <x v="104"/>
            <x v="322"/>
            <x v="323"/>
          </reference>
        </references>
      </pivotArea>
    </format>
    <format dxfId="4904">
      <pivotArea dataOnly="0" labelOnly="1" fieldPosition="0">
        <references count="5">
          <reference field="4" count="1" selected="0">
            <x v="17"/>
          </reference>
          <reference field="6" count="1" selected="0">
            <x v="0"/>
          </reference>
          <reference field="7" count="1" selected="0">
            <x v="16"/>
          </reference>
          <reference field="8" count="1" selected="0">
            <x v="61"/>
          </reference>
          <reference field="15" count="2">
            <x v="296"/>
            <x v="297"/>
          </reference>
        </references>
      </pivotArea>
    </format>
    <format dxfId="4903">
      <pivotArea dataOnly="0" labelOnly="1" fieldPosition="0">
        <references count="5">
          <reference field="4" count="1" selected="0">
            <x v="17"/>
          </reference>
          <reference field="6" count="1" selected="0">
            <x v="0"/>
          </reference>
          <reference field="7" count="1" selected="0">
            <x v="16"/>
          </reference>
          <reference field="8" count="1" selected="0">
            <x v="62"/>
          </reference>
          <reference field="15" count="1">
            <x v="93"/>
          </reference>
        </references>
      </pivotArea>
    </format>
    <format dxfId="4902">
      <pivotArea dataOnly="0" labelOnly="1" fieldPosition="0">
        <references count="5">
          <reference field="4" count="1" selected="0">
            <x v="17"/>
          </reference>
          <reference field="6" count="1" selected="0">
            <x v="0"/>
          </reference>
          <reference field="7" count="1" selected="0">
            <x v="16"/>
          </reference>
          <reference field="8" count="1" selected="0">
            <x v="63"/>
          </reference>
          <reference field="15" count="2">
            <x v="315"/>
            <x v="316"/>
          </reference>
        </references>
      </pivotArea>
    </format>
    <format dxfId="4901">
      <pivotArea dataOnly="0" labelOnly="1" fieldPosition="0">
        <references count="5">
          <reference field="4" count="1" selected="0">
            <x v="17"/>
          </reference>
          <reference field="6" count="1" selected="0">
            <x v="0"/>
          </reference>
          <reference field="7" count="1" selected="0">
            <x v="22"/>
          </reference>
          <reference field="8" count="1" selected="0">
            <x v="94"/>
          </reference>
          <reference field="15" count="2">
            <x v="105"/>
            <x v="106"/>
          </reference>
        </references>
      </pivotArea>
    </format>
    <format dxfId="4900">
      <pivotArea dataOnly="0" labelOnly="1" fieldPosition="0">
        <references count="5">
          <reference field="4" count="1" selected="0">
            <x v="18"/>
          </reference>
          <reference field="6" count="1" selected="0">
            <x v="3"/>
          </reference>
          <reference field="7" count="1" selected="0">
            <x v="2"/>
          </reference>
          <reference field="8" count="1" selected="0">
            <x v="8"/>
          </reference>
          <reference field="15" count="2">
            <x v="375"/>
            <x v="376"/>
          </reference>
        </references>
      </pivotArea>
    </format>
    <format dxfId="4899">
      <pivotArea dataOnly="0" labelOnly="1" fieldPosition="0">
        <references count="5">
          <reference field="4" count="1" selected="0">
            <x v="18"/>
          </reference>
          <reference field="6" count="1" selected="0">
            <x v="3"/>
          </reference>
          <reference field="7" count="1" selected="0">
            <x v="2"/>
          </reference>
          <reference field="8" count="1" selected="0">
            <x v="9"/>
          </reference>
          <reference field="15" count="1">
            <x v="266"/>
          </reference>
        </references>
      </pivotArea>
    </format>
    <format dxfId="4898">
      <pivotArea dataOnly="0" labelOnly="1" fieldPosition="0">
        <references count="5">
          <reference field="4" count="1" selected="0">
            <x v="18"/>
          </reference>
          <reference field="6" count="1" selected="0">
            <x v="3"/>
          </reference>
          <reference field="7" count="1" selected="0">
            <x v="2"/>
          </reference>
          <reference field="8" count="1" selected="0">
            <x v="16"/>
          </reference>
          <reference field="15" count="2">
            <x v="271"/>
            <x v="272"/>
          </reference>
        </references>
      </pivotArea>
    </format>
    <format dxfId="4897">
      <pivotArea dataOnly="0" labelOnly="1" fieldPosition="0">
        <references count="5">
          <reference field="4" count="1" selected="0">
            <x v="18"/>
          </reference>
          <reference field="6" count="1" selected="0">
            <x v="3"/>
          </reference>
          <reference field="7" count="1" selected="0">
            <x v="2"/>
          </reference>
          <reference field="8" count="1" selected="0">
            <x v="17"/>
          </reference>
          <reference field="15" count="3">
            <x v="286"/>
            <x v="287"/>
            <x v="288"/>
          </reference>
        </references>
      </pivotArea>
    </format>
    <format dxfId="4896">
      <pivotArea dataOnly="0" labelOnly="1" fieldPosition="0">
        <references count="5">
          <reference field="4" count="1" selected="0">
            <x v="19"/>
          </reference>
          <reference field="6" count="1" selected="0">
            <x v="3"/>
          </reference>
          <reference field="7" count="1" selected="0">
            <x v="6"/>
          </reference>
          <reference field="8" count="1" selected="0">
            <x v="29"/>
          </reference>
          <reference field="15" count="24">
            <x v="4"/>
            <x v="168"/>
            <x v="169"/>
            <x v="170"/>
            <x v="171"/>
            <x v="172"/>
            <x v="173"/>
            <x v="174"/>
            <x v="183"/>
            <x v="184"/>
            <x v="185"/>
            <x v="186"/>
            <x v="187"/>
            <x v="188"/>
            <x v="194"/>
            <x v="195"/>
            <x v="196"/>
            <x v="197"/>
            <x v="198"/>
            <x v="199"/>
            <x v="203"/>
            <x v="204"/>
            <x v="223"/>
            <x v="258"/>
          </reference>
        </references>
      </pivotArea>
    </format>
    <format dxfId="4895">
      <pivotArea dataOnly="0" labelOnly="1" fieldPosition="0">
        <references count="5">
          <reference field="4" count="1" selected="0">
            <x v="20"/>
          </reference>
          <reference field="6" count="1" selected="0">
            <x v="1"/>
          </reference>
          <reference field="7" count="1" selected="0">
            <x v="24"/>
          </reference>
          <reference field="8" count="1" selected="0">
            <x v="106"/>
          </reference>
          <reference field="15" count="2">
            <x v="239"/>
            <x v="240"/>
          </reference>
        </references>
      </pivotArea>
    </format>
    <format dxfId="4894">
      <pivotArea dataOnly="0" labelOnly="1" outline="0" fieldPosition="0">
        <references count="1">
          <reference field="4294967294" count="2">
            <x v="7"/>
            <x v="8"/>
          </reference>
        </references>
      </pivotArea>
    </format>
    <format dxfId="4893">
      <pivotArea outline="0" collapsedLevelsAreSubtotals="1" fieldPosition="0"/>
    </format>
    <format dxfId="4892">
      <pivotArea dataOnly="0" labelOnly="1" outline="0" fieldPosition="0">
        <references count="1">
          <reference field="2" count="0"/>
        </references>
      </pivotArea>
    </format>
    <format dxfId="4891">
      <pivotArea dataOnly="0" labelOnly="1" outline="0" fieldPosition="0">
        <references count="1">
          <reference field="4294967294" count="9">
            <x v="0"/>
            <x v="1"/>
            <x v="2"/>
            <x v="3"/>
            <x v="4"/>
            <x v="5"/>
            <x v="6"/>
            <x v="7"/>
            <x v="8"/>
          </reference>
        </references>
      </pivotArea>
    </format>
    <format dxfId="4890">
      <pivotArea outline="0" collapsedLevelsAreSubtotals="1" fieldPosition="0">
        <references count="1">
          <reference field="4294967294" count="2" selected="0">
            <x v="7"/>
            <x v="8"/>
          </reference>
        </references>
      </pivotArea>
    </format>
    <format dxfId="4889">
      <pivotArea dataOnly="0" labelOnly="1" outline="0" fieldPosition="0">
        <references count="1">
          <reference field="4294967294" count="2">
            <x v="7"/>
            <x v="8"/>
          </reference>
        </references>
      </pivotArea>
    </format>
    <format dxfId="4888">
      <pivotArea field="2" type="button" dataOnly="0" labelOnly="1" outline="0" axis="axisPage" fieldPosition="0"/>
    </format>
    <format dxfId="4887">
      <pivotArea field="4" type="button" dataOnly="0" labelOnly="1" outline="0" axis="axisRow" fieldPosition="0"/>
    </format>
    <format dxfId="4886">
      <pivotArea dataOnly="0" labelOnly="1" fieldPosition="0">
        <references count="1">
          <reference field="4" count="1">
            <x v="6"/>
          </reference>
        </references>
      </pivotArea>
    </format>
    <format dxfId="4885">
      <pivotArea dataOnly="0" labelOnly="1" grandRow="1" outline="0" fieldPosition="0"/>
    </format>
    <format dxfId="4884">
      <pivotArea dataOnly="0" labelOnly="1" fieldPosition="0">
        <references count="2">
          <reference field="4" count="1" selected="0">
            <x v="6"/>
          </reference>
          <reference field="6" count="1">
            <x v="1"/>
          </reference>
        </references>
      </pivotArea>
    </format>
    <format dxfId="4883">
      <pivotArea dataOnly="0" labelOnly="1" fieldPosition="0">
        <references count="3">
          <reference field="4" count="1" selected="0">
            <x v="6"/>
          </reference>
          <reference field="6" count="1" selected="0">
            <x v="1"/>
          </reference>
          <reference field="7" count="1">
            <x v="24"/>
          </reference>
        </references>
      </pivotArea>
    </format>
    <format dxfId="4882">
      <pivotArea dataOnly="0" labelOnly="1" fieldPosition="0">
        <references count="4">
          <reference field="4" count="1" selected="0">
            <x v="6"/>
          </reference>
          <reference field="6" count="1" selected="0">
            <x v="1"/>
          </reference>
          <reference field="7" count="1" selected="0">
            <x v="24"/>
          </reference>
          <reference field="8" count="8">
            <x v="105"/>
            <x v="107"/>
            <x v="108"/>
            <x v="109"/>
            <x v="110"/>
            <x v="111"/>
            <x v="112"/>
            <x v="113"/>
          </reference>
        </references>
      </pivotArea>
    </format>
    <format dxfId="4881">
      <pivotArea dataOnly="0" labelOnly="1" fieldPosition="0">
        <references count="5">
          <reference field="4" count="1" selected="0">
            <x v="6"/>
          </reference>
          <reference field="6" count="1" selected="0">
            <x v="1"/>
          </reference>
          <reference field="7" count="1" selected="0">
            <x v="24"/>
          </reference>
          <reference field="8" count="1" selected="0">
            <x v="105"/>
          </reference>
          <reference field="15" count="13">
            <x v="24"/>
            <x v="25"/>
            <x v="31"/>
            <x v="37"/>
            <x v="44"/>
            <x v="45"/>
            <x v="48"/>
            <x v="49"/>
            <x v="50"/>
            <x v="56"/>
            <x v="66"/>
            <x v="100"/>
            <x v="101"/>
          </reference>
        </references>
      </pivotArea>
    </format>
    <format dxfId="4880">
      <pivotArea dataOnly="0" labelOnly="1" fieldPosition="0">
        <references count="5">
          <reference field="4" count="1" selected="0">
            <x v="6"/>
          </reference>
          <reference field="6" count="1" selected="0">
            <x v="1"/>
          </reference>
          <reference field="7" count="1" selected="0">
            <x v="24"/>
          </reference>
          <reference field="8" count="1" selected="0">
            <x v="107"/>
          </reference>
          <reference field="15" count="3">
            <x v="118"/>
            <x v="123"/>
            <x v="165"/>
          </reference>
        </references>
      </pivotArea>
    </format>
    <format dxfId="4879">
      <pivotArea dataOnly="0" labelOnly="1" fieldPosition="0">
        <references count="5">
          <reference field="4" count="1" selected="0">
            <x v="6"/>
          </reference>
          <reference field="6" count="1" selected="0">
            <x v="1"/>
          </reference>
          <reference field="7" count="1" selected="0">
            <x v="24"/>
          </reference>
          <reference field="8" count="1" selected="0">
            <x v="108"/>
          </reference>
          <reference field="15" count="2">
            <x v="97"/>
            <x v="119"/>
          </reference>
        </references>
      </pivotArea>
    </format>
    <format dxfId="4878">
      <pivotArea dataOnly="0" labelOnly="1" fieldPosition="0">
        <references count="5">
          <reference field="4" count="1" selected="0">
            <x v="6"/>
          </reference>
          <reference field="6" count="1" selected="0">
            <x v="1"/>
          </reference>
          <reference field="7" count="1" selected="0">
            <x v="24"/>
          </reference>
          <reference field="8" count="1" selected="0">
            <x v="109"/>
          </reference>
          <reference field="15" count="2">
            <x v="96"/>
            <x v="327"/>
          </reference>
        </references>
      </pivotArea>
    </format>
    <format dxfId="4877">
      <pivotArea dataOnly="0" labelOnly="1" fieldPosition="0">
        <references count="5">
          <reference field="4" count="1" selected="0">
            <x v="6"/>
          </reference>
          <reference field="6" count="1" selected="0">
            <x v="1"/>
          </reference>
          <reference field="7" count="1" selected="0">
            <x v="24"/>
          </reference>
          <reference field="8" count="1" selected="0">
            <x v="110"/>
          </reference>
          <reference field="15" count="2">
            <x v="115"/>
            <x v="324"/>
          </reference>
        </references>
      </pivotArea>
    </format>
    <format dxfId="4876">
      <pivotArea dataOnly="0" labelOnly="1" fieldPosition="0">
        <references count="5">
          <reference field="4" count="1" selected="0">
            <x v="6"/>
          </reference>
          <reference field="6" count="1" selected="0">
            <x v="1"/>
          </reference>
          <reference field="7" count="1" selected="0">
            <x v="24"/>
          </reference>
          <reference field="8" count="1" selected="0">
            <x v="111"/>
          </reference>
          <reference field="15" count="1">
            <x v="326"/>
          </reference>
        </references>
      </pivotArea>
    </format>
    <format dxfId="4875">
      <pivotArea dataOnly="0" labelOnly="1" fieldPosition="0">
        <references count="5">
          <reference field="4" count="1" selected="0">
            <x v="6"/>
          </reference>
          <reference field="6" count="1" selected="0">
            <x v="1"/>
          </reference>
          <reference field="7" count="1" selected="0">
            <x v="24"/>
          </reference>
          <reference field="8" count="1" selected="0">
            <x v="112"/>
          </reference>
          <reference field="15" count="5">
            <x v="80"/>
            <x v="120"/>
            <x v="121"/>
            <x v="122"/>
            <x v="135"/>
          </reference>
        </references>
      </pivotArea>
    </format>
    <format dxfId="4874">
      <pivotArea dataOnly="0" labelOnly="1" fieldPosition="0">
        <references count="5">
          <reference field="4" count="1" selected="0">
            <x v="6"/>
          </reference>
          <reference field="6" count="1" selected="0">
            <x v="1"/>
          </reference>
          <reference field="7" count="1" selected="0">
            <x v="24"/>
          </reference>
          <reference field="8" count="1" selected="0">
            <x v="113"/>
          </reference>
          <reference field="15" count="3">
            <x v="67"/>
            <x v="84"/>
            <x v="16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4" cacheId="2" applyNumberFormats="0" applyBorderFormats="0" applyFontFormats="0" applyPatternFormats="0" applyAlignmentFormats="0" applyWidthHeightFormats="1" dataCaption="Valores" grandTotalCaption="TOTAL " updatedVersion="8" minRefreshableVersion="3" useAutoFormatting="1" itemPrintTitles="1" createdVersion="8" indent="0" outline="1" outlineData="1" multipleFieldFilters="0" rowHeaderCaption="UNIDAD EJECUTORA">
  <location ref="A3:J83" firstHeaderRow="0" firstDataRow="1" firstDataCol="1" rowPageCount="1" colPageCount="1"/>
  <pivotFields count="33">
    <pivotField showAll="0"/>
    <pivotField showAll="0"/>
    <pivotField axis="axisPage" showAll="0">
      <items count="22">
        <item x="4"/>
        <item x="3"/>
        <item x="14"/>
        <item x="0"/>
        <item x="13"/>
        <item x="17"/>
        <item x="7"/>
        <item x="9"/>
        <item x="15"/>
        <item x="8"/>
        <item x="1"/>
        <item x="16"/>
        <item x="12"/>
        <item x="20"/>
        <item x="5"/>
        <item x="10"/>
        <item x="6"/>
        <item x="11"/>
        <item x="19"/>
        <item x="2"/>
        <item x="18"/>
        <item t="default"/>
      </items>
    </pivotField>
    <pivotField showAll="0"/>
    <pivotField axis="axisRow" showAll="0">
      <items count="22">
        <item x="4"/>
        <item x="3"/>
        <item x="14"/>
        <item x="0"/>
        <item x="13"/>
        <item x="17"/>
        <item x="7"/>
        <item x="9"/>
        <item x="15"/>
        <item x="8"/>
        <item x="1"/>
        <item x="16"/>
        <item x="12"/>
        <item x="20"/>
        <item x="5"/>
        <item x="10"/>
        <item x="6"/>
        <item x="11"/>
        <item x="19"/>
        <item x="2"/>
        <item x="18"/>
        <item t="default"/>
      </items>
    </pivotField>
    <pivotField numFmtId="1" showAll="0"/>
    <pivotField axis="axisRow" showAll="0">
      <items count="6">
        <item x="1"/>
        <item x="2"/>
        <item x="3"/>
        <item x="0"/>
        <item x="4"/>
        <item t="default"/>
      </items>
    </pivotField>
    <pivotField axis="axisRow" showAll="0">
      <items count="34">
        <item x="19"/>
        <item x="27"/>
        <item x="1"/>
        <item x="2"/>
        <item x="8"/>
        <item x="30"/>
        <item x="0"/>
        <item x="32"/>
        <item x="25"/>
        <item x="29"/>
        <item x="12"/>
        <item x="15"/>
        <item x="13"/>
        <item x="28"/>
        <item x="23"/>
        <item x="31"/>
        <item x="16"/>
        <item x="10"/>
        <item x="18"/>
        <item x="3"/>
        <item x="14"/>
        <item x="20"/>
        <item x="17"/>
        <item x="9"/>
        <item x="6"/>
        <item x="7"/>
        <item x="4"/>
        <item x="5"/>
        <item x="24"/>
        <item x="11"/>
        <item x="21"/>
        <item x="26"/>
        <item x="22"/>
        <item t="default"/>
      </items>
    </pivotField>
    <pivotField axis="axisRow" showAll="0">
      <items count="161">
        <item x="62"/>
        <item x="155"/>
        <item x="112"/>
        <item x="156"/>
        <item x="118"/>
        <item x="154"/>
        <item x="140"/>
        <item x="60"/>
        <item x="153"/>
        <item x="102"/>
        <item x="7"/>
        <item x="2"/>
        <item x="52"/>
        <item x="1"/>
        <item x="22"/>
        <item x="151"/>
        <item x="105"/>
        <item x="114"/>
        <item x="82"/>
        <item x="3"/>
        <item x="15"/>
        <item x="49"/>
        <item x="135"/>
        <item x="134"/>
        <item x="139"/>
        <item x="142"/>
        <item x="138"/>
        <item x="141"/>
        <item x="128"/>
        <item x="0"/>
        <item x="103"/>
        <item x="159"/>
        <item x="150"/>
        <item x="86"/>
        <item x="152"/>
        <item x="137"/>
        <item x="110"/>
        <item x="79"/>
        <item x="80"/>
        <item x="83"/>
        <item x="126"/>
        <item x="131"/>
        <item x="132"/>
        <item x="129"/>
        <item x="28"/>
        <item x="27"/>
        <item x="29"/>
        <item x="26"/>
        <item x="43"/>
        <item x="42"/>
        <item x="32"/>
        <item x="122"/>
        <item x="124"/>
        <item x="123"/>
        <item x="111"/>
        <item x="69"/>
        <item x="136"/>
        <item x="55"/>
        <item x="119"/>
        <item x="46"/>
        <item x="50"/>
        <item x="117"/>
        <item x="45"/>
        <item x="127"/>
        <item x="106"/>
        <item x="53"/>
        <item x="147"/>
        <item x="146"/>
        <item x="38"/>
        <item x="20"/>
        <item x="144"/>
        <item x="145"/>
        <item x="74"/>
        <item x="89"/>
        <item x="57"/>
        <item x="59"/>
        <item x="88"/>
        <item x="108"/>
        <item x="85"/>
        <item x="5"/>
        <item x="4"/>
        <item x="81"/>
        <item x="35"/>
        <item x="36"/>
        <item x="37"/>
        <item x="98"/>
        <item x="67"/>
        <item x="63"/>
        <item x="116"/>
        <item x="125"/>
        <item x="157"/>
        <item x="101"/>
        <item x="66"/>
        <item x="149"/>
        <item x="51"/>
        <item x="90"/>
        <item x="91"/>
        <item x="97"/>
        <item x="21"/>
        <item x="94"/>
        <item x="93"/>
        <item x="95"/>
        <item x="18"/>
        <item x="92"/>
        <item x="96"/>
        <item x="11"/>
        <item x="87"/>
        <item x="61"/>
        <item x="48"/>
        <item x="47"/>
        <item x="58"/>
        <item x="130"/>
        <item x="39"/>
        <item x="33"/>
        <item x="100"/>
        <item x="16"/>
        <item x="30"/>
        <item x="44"/>
        <item x="34"/>
        <item x="31"/>
        <item x="41"/>
        <item x="19"/>
        <item x="17"/>
        <item x="14"/>
        <item x="99"/>
        <item x="12"/>
        <item x="8"/>
        <item x="78"/>
        <item x="13"/>
        <item x="133"/>
        <item x="148"/>
        <item x="6"/>
        <item x="9"/>
        <item x="10"/>
        <item x="77"/>
        <item x="54"/>
        <item x="40"/>
        <item x="56"/>
        <item x="104"/>
        <item x="76"/>
        <item x="25"/>
        <item x="109"/>
        <item x="113"/>
        <item x="115"/>
        <item x="24"/>
        <item x="23"/>
        <item x="70"/>
        <item x="64"/>
        <item x="73"/>
        <item x="71"/>
        <item x="75"/>
        <item x="158"/>
        <item x="65"/>
        <item x="72"/>
        <item x="107"/>
        <item x="84"/>
        <item x="121"/>
        <item x="120"/>
        <item x="143"/>
        <item x="68"/>
        <item t="default"/>
      </items>
    </pivotField>
    <pivotField showAll="0"/>
    <pivotField showAll="0"/>
    <pivotField showAll="0"/>
    <pivotField showAll="0"/>
    <pivotField showAll="0"/>
    <pivotField showAll="0"/>
    <pivotField axis="axisRow" showAll="0">
      <items count="402">
        <item x="1"/>
        <item x="0"/>
        <item x="3"/>
        <item x="2"/>
        <item x="4"/>
        <item x="5"/>
        <item x="6"/>
        <item x="8"/>
        <item x="7"/>
        <item x="9"/>
        <item x="11"/>
        <item x="10"/>
        <item x="12"/>
        <item x="13"/>
        <item x="16"/>
        <item x="15"/>
        <item x="14"/>
        <item x="18"/>
        <item x="17"/>
        <item x="19"/>
        <item x="20"/>
        <item x="21"/>
        <item x="22"/>
        <item x="23"/>
        <item x="25"/>
        <item x="24"/>
        <item x="27"/>
        <item x="26"/>
        <item x="28"/>
        <item x="29"/>
        <item x="30"/>
        <item x="31"/>
        <item x="32"/>
        <item x="33"/>
        <item x="34"/>
        <item x="35"/>
        <item x="36"/>
        <item x="37"/>
        <item x="38"/>
        <item x="39"/>
        <item x="40"/>
        <item x="41"/>
        <item x="42"/>
        <item x="43"/>
        <item x="44"/>
        <item x="45"/>
        <item x="46"/>
        <item x="47"/>
        <item x="48"/>
        <item x="49"/>
        <item x="50"/>
        <item x="51"/>
        <item x="52"/>
        <item x="53"/>
        <item x="54"/>
        <item x="55"/>
        <item x="56"/>
        <item x="58"/>
        <item x="57"/>
        <item x="59"/>
        <item x="60"/>
        <item x="61"/>
        <item x="62"/>
        <item x="63"/>
        <item x="65"/>
        <item x="64"/>
        <item x="66"/>
        <item x="67"/>
        <item x="68"/>
        <item x="69"/>
        <item x="70"/>
        <item x="71"/>
        <item x="72"/>
        <item x="74"/>
        <item x="73"/>
        <item x="75"/>
        <item x="76"/>
        <item x="77"/>
        <item x="78"/>
        <item x="79"/>
        <item x="80"/>
        <item x="81"/>
        <item x="82"/>
        <item x="83"/>
        <item x="84"/>
        <item x="85"/>
        <item x="86"/>
        <item x="87"/>
        <item x="88"/>
        <item x="89"/>
        <item x="90"/>
        <item x="91"/>
        <item x="92"/>
        <item x="93"/>
        <item x="95"/>
        <item x="94"/>
        <item x="96"/>
        <item x="97"/>
        <item x="98"/>
        <item x="99"/>
        <item x="101"/>
        <item x="100"/>
        <item x="103"/>
        <item x="102"/>
        <item x="104"/>
        <item x="105"/>
        <item x="106"/>
        <item x="107"/>
        <item x="108"/>
        <item x="109"/>
        <item x="110"/>
        <item x="111"/>
        <item x="112"/>
        <item x="114"/>
        <item x="113"/>
        <item x="115"/>
        <item x="116"/>
        <item x="117"/>
        <item x="118"/>
        <item x="119"/>
        <item x="122"/>
        <item x="120"/>
        <item x="121"/>
        <item x="123"/>
        <item x="124"/>
        <item x="125"/>
        <item x="126"/>
        <item x="127"/>
        <item x="129"/>
        <item x="128"/>
        <item x="130"/>
        <item x="131"/>
        <item x="132"/>
        <item x="133"/>
        <item x="134"/>
        <item x="135"/>
        <item x="136"/>
        <item x="137"/>
        <item x="138"/>
        <item x="139"/>
        <item x="140"/>
        <item x="141"/>
        <item x="142"/>
        <item x="143"/>
        <item x="144"/>
        <item x="145"/>
        <item x="146"/>
        <item x="147"/>
        <item x="148"/>
        <item x="149"/>
        <item x="151"/>
        <item x="150"/>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3"/>
        <item x="192"/>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4"/>
        <item x="233"/>
        <item x="235"/>
        <item x="236"/>
        <item x="237"/>
        <item x="238"/>
        <item x="239"/>
        <item x="240"/>
        <item x="241"/>
        <item x="242"/>
        <item x="243"/>
        <item x="244"/>
        <item x="246"/>
        <item x="245"/>
        <item x="247"/>
        <item x="248"/>
        <item x="249"/>
        <item x="250"/>
        <item x="251"/>
        <item x="252"/>
        <item x="253"/>
        <item x="254"/>
        <item x="255"/>
        <item x="256"/>
        <item x="257"/>
        <item x="258"/>
        <item x="259"/>
        <item x="260"/>
        <item x="261"/>
        <item x="262"/>
        <item x="263"/>
        <item x="264"/>
        <item x="265"/>
        <item x="266"/>
        <item x="268"/>
        <item x="267"/>
        <item x="269"/>
        <item x="270"/>
        <item x="271"/>
        <item x="272"/>
        <item x="273"/>
        <item x="274"/>
        <item x="275"/>
        <item x="277"/>
        <item x="276"/>
        <item x="278"/>
        <item x="279"/>
        <item x="280"/>
        <item x="281"/>
        <item x="282"/>
        <item x="283"/>
        <item x="285"/>
        <item x="284"/>
        <item x="288"/>
        <item x="286"/>
        <item x="287"/>
        <item x="289"/>
        <item x="290"/>
        <item x="291"/>
        <item x="292"/>
        <item x="293"/>
        <item x="294"/>
        <item x="295"/>
        <item x="297"/>
        <item x="296"/>
        <item x="298"/>
        <item x="299"/>
        <item x="300"/>
        <item x="301"/>
        <item x="302"/>
        <item x="303"/>
        <item x="304"/>
        <item x="305"/>
        <item x="306"/>
        <item x="307"/>
        <item x="308"/>
        <item x="309"/>
        <item x="310"/>
        <item x="311"/>
        <item x="312"/>
        <item x="313"/>
        <item x="314"/>
        <item x="316"/>
        <item x="315"/>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7"/>
        <item x="346"/>
        <item x="348"/>
        <item x="349"/>
        <item x="350"/>
        <item x="351"/>
        <item x="352"/>
        <item x="353"/>
        <item x="354"/>
        <item x="355"/>
        <item x="357"/>
        <item x="356"/>
        <item x="358"/>
        <item x="360"/>
        <item x="359"/>
        <item x="361"/>
        <item x="362"/>
        <item x="363"/>
        <item x="364"/>
        <item x="365"/>
        <item x="366"/>
        <item x="368"/>
        <item x="367"/>
        <item x="369"/>
        <item x="370"/>
        <item x="371"/>
        <item x="372"/>
        <item x="373"/>
        <item x="374"/>
        <item x="376"/>
        <item x="375"/>
        <item x="377"/>
        <item x="378"/>
        <item x="379"/>
        <item x="380"/>
        <item x="381"/>
        <item x="382"/>
        <item x="383"/>
        <item x="384"/>
        <item x="385"/>
        <item x="386"/>
        <item x="387"/>
        <item x="389"/>
        <item x="388"/>
        <item x="390"/>
        <item x="391"/>
        <item x="392"/>
        <item x="393"/>
        <item x="394"/>
        <item x="395"/>
        <item x="396"/>
        <item x="397"/>
        <item x="398"/>
        <item x="399"/>
        <item x="400"/>
        <item t="default"/>
      </items>
    </pivotField>
    <pivotField showAll="0"/>
    <pivotField showAll="0"/>
    <pivotField dataField="1" numFmtId="43" showAll="0"/>
    <pivotField numFmtId="43" showAll="0"/>
    <pivotField dataField="1" numFmtId="43" showAll="0"/>
    <pivotField numFmtId="43" showAll="0"/>
    <pivotField numFmtId="43" showAll="0"/>
    <pivotField dataField="1" numFmtId="43" showAll="0"/>
    <pivotField numFmtId="43" showAll="0"/>
    <pivotField dataField="1" numFmtId="43" showAll="0"/>
    <pivotField numFmtId="43" showAll="0"/>
    <pivotField numFmtId="43" showAll="0"/>
    <pivotField dataField="1" numFmtId="43" showAl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5">
    <field x="4"/>
    <field x="6"/>
    <field x="7"/>
    <field x="8"/>
    <field x="15"/>
  </rowFields>
  <rowItems count="80">
    <i>
      <x v="7"/>
    </i>
    <i r="1">
      <x/>
    </i>
    <i r="2">
      <x v="16"/>
    </i>
    <i r="3">
      <x v="64"/>
    </i>
    <i r="4">
      <x v="274"/>
    </i>
    <i r="4">
      <x v="278"/>
    </i>
    <i r="4">
      <x v="325"/>
    </i>
    <i r="1">
      <x v="2"/>
    </i>
    <i r="2">
      <x v="29"/>
    </i>
    <i r="3">
      <x v="140"/>
    </i>
    <i r="4">
      <x v="53"/>
    </i>
    <i r="3">
      <x v="141"/>
    </i>
    <i r="4">
      <x v="279"/>
    </i>
    <i r="3">
      <x v="144"/>
    </i>
    <i r="4">
      <x v="52"/>
    </i>
    <i r="3">
      <x v="145"/>
    </i>
    <i r="4">
      <x v="51"/>
    </i>
    <i r="2">
      <x v="30"/>
    </i>
    <i r="3">
      <x v="154"/>
    </i>
    <i r="4">
      <x v="275"/>
    </i>
    <i r="1">
      <x v="3"/>
    </i>
    <i r="2">
      <x v="6"/>
    </i>
    <i r="3">
      <x v="28"/>
    </i>
    <i r="4">
      <x v="318"/>
    </i>
    <i r="4">
      <x v="319"/>
    </i>
    <i r="4">
      <x v="320"/>
    </i>
    <i r="1">
      <x v="4"/>
    </i>
    <i r="2">
      <x v="8"/>
    </i>
    <i r="3">
      <x v="35"/>
    </i>
    <i r="4">
      <x v="337"/>
    </i>
    <i r="3">
      <x v="36"/>
    </i>
    <i r="4">
      <x v="280"/>
    </i>
    <i r="2">
      <x v="9"/>
    </i>
    <i r="3">
      <x v="40"/>
    </i>
    <i r="4">
      <x v="311"/>
    </i>
    <i r="4">
      <x v="312"/>
    </i>
    <i r="4">
      <x v="334"/>
    </i>
    <i r="3">
      <x v="41"/>
    </i>
    <i r="4">
      <x v="328"/>
    </i>
    <i r="3">
      <x v="42"/>
    </i>
    <i r="4">
      <x v="329"/>
    </i>
    <i r="3">
      <x v="43"/>
    </i>
    <i r="4">
      <x v="321"/>
    </i>
    <i r="2">
      <x v="10"/>
    </i>
    <i r="3">
      <x v="44"/>
    </i>
    <i r="4">
      <x v="57"/>
    </i>
    <i r="4">
      <x v="58"/>
    </i>
    <i r="3">
      <x v="45"/>
    </i>
    <i r="4">
      <x v="55"/>
    </i>
    <i r="3">
      <x v="46"/>
    </i>
    <i r="4">
      <x v="59"/>
    </i>
    <i r="3">
      <x v="47"/>
    </i>
    <i r="4">
      <x v="54"/>
    </i>
    <i r="2">
      <x v="11"/>
    </i>
    <i r="3">
      <x v="48"/>
    </i>
    <i r="4">
      <x v="88"/>
    </i>
    <i r="3">
      <x v="49"/>
    </i>
    <i r="4">
      <x v="86"/>
    </i>
    <i r="2">
      <x v="12"/>
    </i>
    <i r="3">
      <x v="50"/>
    </i>
    <i r="4">
      <x v="64"/>
    </i>
    <i r="4">
      <x v="65"/>
    </i>
    <i r="4">
      <x v="136"/>
    </i>
    <i r="2">
      <x v="13"/>
    </i>
    <i r="3">
      <x v="51"/>
    </i>
    <i r="4">
      <x v="307"/>
    </i>
    <i r="3">
      <x v="52"/>
    </i>
    <i r="4">
      <x v="309"/>
    </i>
    <i r="3">
      <x v="53"/>
    </i>
    <i r="4">
      <x v="308"/>
    </i>
    <i r="2">
      <x v="14"/>
    </i>
    <i r="3">
      <x v="54"/>
    </i>
    <i r="4">
      <x v="281"/>
    </i>
    <i r="3">
      <x v="55"/>
    </i>
    <i r="4">
      <x v="138"/>
    </i>
    <i r="2">
      <x v="15"/>
    </i>
    <i r="3">
      <x v="56"/>
    </i>
    <i r="4">
      <x v="335"/>
    </i>
    <i r="4">
      <x v="336"/>
    </i>
    <i t="grand">
      <x/>
    </i>
  </rowItems>
  <colFields count="1">
    <field x="-2"/>
  </colFields>
  <colItems count="9">
    <i>
      <x/>
    </i>
    <i i="1">
      <x v="1"/>
    </i>
    <i i="2">
      <x v="2"/>
    </i>
    <i i="3">
      <x v="3"/>
    </i>
    <i i="4">
      <x v="4"/>
    </i>
    <i i="5">
      <x v="5"/>
    </i>
    <i i="6">
      <x v="6"/>
    </i>
    <i i="7">
      <x v="7"/>
    </i>
    <i i="8">
      <x v="8"/>
    </i>
  </colItems>
  <pageFields count="1">
    <pageField fld="2" item="7" hier="-1"/>
  </pageFields>
  <dataFields count="9">
    <dataField name="PPTO INICIAL" fld="18" baseField="4" baseItem="0"/>
    <dataField name="PPTO VIGENTE" fld="20" baseField="4" baseItem="0"/>
    <dataField name="COMPROMISOS." fld="23" baseField="4" baseItem="0"/>
    <dataField name="GIROS." fld="25" baseField="4" baseItem="0"/>
    <dataField name="PAGOS " fld="28" baseField="4" baseItem="0"/>
    <dataField name=" SALDO APROPIACIÓN CDP" fld="29" baseField="4" baseItem="0" numFmtId="43"/>
    <dataField name="SALDO APROPIACIÓN RP" fld="30" baseField="4" baseItem="0" numFmtId="43"/>
    <dataField name="Suma de % CDP" fld="31" baseField="0" baseItem="0" numFmtId="43"/>
    <dataField name="Suma de % RP" fld="32" baseField="0" baseItem="0" numFmtId="43"/>
  </dataFields>
  <formats count="358">
    <format dxfId="4873">
      <pivotArea dataOnly="0" labelOnly="1" fieldPosition="0">
        <references count="1">
          <reference field="4" count="0"/>
        </references>
      </pivotArea>
    </format>
    <format dxfId="4872">
      <pivotArea dataOnly="0" labelOnly="1" fieldPosition="0">
        <references count="1">
          <reference field="4" count="1">
            <x v="0"/>
          </reference>
        </references>
      </pivotArea>
    </format>
    <format dxfId="4871">
      <pivotArea dataOnly="0" labelOnly="1" fieldPosition="0">
        <references count="1">
          <reference field="6" count="0"/>
        </references>
      </pivotArea>
    </format>
    <format dxfId="4870">
      <pivotArea dataOnly="0" labelOnly="1" fieldPosition="0">
        <references count="1">
          <reference field="7" count="0"/>
        </references>
      </pivotArea>
    </format>
    <format dxfId="4869">
      <pivotArea dataOnly="0" labelOnly="1" fieldPosition="0">
        <references count="1">
          <reference field="7" count="0"/>
        </references>
      </pivotArea>
    </format>
    <format dxfId="4868">
      <pivotArea dataOnly="0" labelOnly="1" fieldPosition="0">
        <references count="1">
          <reference field="8" count="0"/>
        </references>
      </pivotArea>
    </format>
    <format dxfId="4867">
      <pivotArea outline="0" collapsedLevelsAreSubtotals="1" fieldPosition="0"/>
    </format>
    <format dxfId="4866">
      <pivotArea dataOnly="0" labelOnly="1" outline="0" fieldPosition="0">
        <references count="1">
          <reference field="2" count="0"/>
        </references>
      </pivotArea>
    </format>
    <format dxfId="4865">
      <pivotArea dataOnly="0" labelOnly="1" outline="0" fieldPosition="0">
        <references count="1">
          <reference field="4294967294" count="9">
            <x v="0"/>
            <x v="1"/>
            <x v="2"/>
            <x v="3"/>
            <x v="4"/>
            <x v="5"/>
            <x v="6"/>
            <x v="7"/>
            <x v="8"/>
          </reference>
        </references>
      </pivotArea>
    </format>
    <format dxfId="4864">
      <pivotArea field="2" type="button" dataOnly="0" labelOnly="1" outline="0" axis="axisPage" fieldPosition="0"/>
    </format>
    <format dxfId="4863">
      <pivotArea field="4" type="button" dataOnly="0" labelOnly="1" outline="0" axis="axisRow" fieldPosition="0"/>
    </format>
    <format dxfId="4862">
      <pivotArea dataOnly="0" labelOnly="1" fieldPosition="0">
        <references count="1">
          <reference field="4" count="0"/>
        </references>
      </pivotArea>
    </format>
    <format dxfId="4861">
      <pivotArea dataOnly="0" labelOnly="1" grandRow="1" outline="0" fieldPosition="0"/>
    </format>
    <format dxfId="4860">
      <pivotArea dataOnly="0" labelOnly="1" fieldPosition="0">
        <references count="2">
          <reference field="4" count="1" selected="0">
            <x v="0"/>
          </reference>
          <reference field="6" count="2">
            <x v="0"/>
            <x v="1"/>
          </reference>
        </references>
      </pivotArea>
    </format>
    <format dxfId="4859">
      <pivotArea dataOnly="0" labelOnly="1" fieldPosition="0">
        <references count="2">
          <reference field="4" count="1" selected="0">
            <x v="1"/>
          </reference>
          <reference field="6" count="3">
            <x v="0"/>
            <x v="3"/>
            <x v="4"/>
          </reference>
        </references>
      </pivotArea>
    </format>
    <format dxfId="4858">
      <pivotArea dataOnly="0" labelOnly="1" fieldPosition="0">
        <references count="2">
          <reference field="4" count="1" selected="0">
            <x v="2"/>
          </reference>
          <reference field="6" count="3">
            <x v="2"/>
            <x v="3"/>
            <x v="4"/>
          </reference>
        </references>
      </pivotArea>
    </format>
    <format dxfId="4857">
      <pivotArea dataOnly="0" labelOnly="1" fieldPosition="0">
        <references count="2">
          <reference field="4" count="1" selected="0">
            <x v="3"/>
          </reference>
          <reference field="6" count="1">
            <x v="3"/>
          </reference>
        </references>
      </pivotArea>
    </format>
    <format dxfId="4856">
      <pivotArea dataOnly="0" labelOnly="1" fieldPosition="0">
        <references count="2">
          <reference field="4" count="1" selected="0">
            <x v="4"/>
          </reference>
          <reference field="6" count="4">
            <x v="0"/>
            <x v="1"/>
            <x v="2"/>
            <x v="3"/>
          </reference>
        </references>
      </pivotArea>
    </format>
    <format dxfId="4855">
      <pivotArea dataOnly="0" labelOnly="1" fieldPosition="0">
        <references count="2">
          <reference field="4" count="1" selected="0">
            <x v="5"/>
          </reference>
          <reference field="6" count="2">
            <x v="0"/>
            <x v="4"/>
          </reference>
        </references>
      </pivotArea>
    </format>
    <format dxfId="4854">
      <pivotArea dataOnly="0" labelOnly="1" fieldPosition="0">
        <references count="2">
          <reference field="4" count="1" selected="0">
            <x v="6"/>
          </reference>
          <reference field="6" count="1">
            <x v="1"/>
          </reference>
        </references>
      </pivotArea>
    </format>
    <format dxfId="4853">
      <pivotArea dataOnly="0" labelOnly="1" fieldPosition="0">
        <references count="2">
          <reference field="4" count="1" selected="0">
            <x v="7"/>
          </reference>
          <reference field="6" count="4">
            <x v="0"/>
            <x v="2"/>
            <x v="3"/>
            <x v="4"/>
          </reference>
        </references>
      </pivotArea>
    </format>
    <format dxfId="4852">
      <pivotArea dataOnly="0" labelOnly="1" fieldPosition="0">
        <references count="2">
          <reference field="4" count="1" selected="0">
            <x v="8"/>
          </reference>
          <reference field="6" count="4">
            <x v="0"/>
            <x v="1"/>
            <x v="2"/>
            <x v="3"/>
          </reference>
        </references>
      </pivotArea>
    </format>
    <format dxfId="4851">
      <pivotArea dataOnly="0" labelOnly="1" fieldPosition="0">
        <references count="2">
          <reference field="4" count="1" selected="0">
            <x v="9"/>
          </reference>
          <reference field="6" count="1">
            <x v="1"/>
          </reference>
        </references>
      </pivotArea>
    </format>
    <format dxfId="4850">
      <pivotArea dataOnly="0" labelOnly="1" fieldPosition="0">
        <references count="2">
          <reference field="4" count="1" selected="0">
            <x v="10"/>
          </reference>
          <reference field="6" count="1">
            <x v="3"/>
          </reference>
        </references>
      </pivotArea>
    </format>
    <format dxfId="4849">
      <pivotArea dataOnly="0" labelOnly="1" fieldPosition="0">
        <references count="2">
          <reference field="4" count="1" selected="0">
            <x v="11"/>
          </reference>
          <reference field="6" count="1">
            <x v="0"/>
          </reference>
        </references>
      </pivotArea>
    </format>
    <format dxfId="4848">
      <pivotArea dataOnly="0" labelOnly="1" fieldPosition="0">
        <references count="2">
          <reference field="4" count="1" selected="0">
            <x v="12"/>
          </reference>
          <reference field="6" count="1">
            <x v="0"/>
          </reference>
        </references>
      </pivotArea>
    </format>
    <format dxfId="4847">
      <pivotArea dataOnly="0" labelOnly="1" fieldPosition="0">
        <references count="2">
          <reference field="4" count="1" selected="0">
            <x v="13"/>
          </reference>
          <reference field="6" count="1">
            <x v="3"/>
          </reference>
        </references>
      </pivotArea>
    </format>
    <format dxfId="4846">
      <pivotArea dataOnly="0" labelOnly="1" fieldPosition="0">
        <references count="2">
          <reference field="4" count="1" selected="0">
            <x v="14"/>
          </reference>
          <reference field="6" count="1">
            <x v="1"/>
          </reference>
        </references>
      </pivotArea>
    </format>
    <format dxfId="4845">
      <pivotArea dataOnly="0" labelOnly="1" fieldPosition="0">
        <references count="2">
          <reference field="4" count="1" selected="0">
            <x v="15"/>
          </reference>
          <reference field="6" count="1">
            <x v="0"/>
          </reference>
        </references>
      </pivotArea>
    </format>
    <format dxfId="4844">
      <pivotArea dataOnly="0" labelOnly="1" fieldPosition="0">
        <references count="2">
          <reference field="4" count="1" selected="0">
            <x v="16"/>
          </reference>
          <reference field="6" count="3">
            <x v="1"/>
            <x v="3"/>
            <x v="4"/>
          </reference>
        </references>
      </pivotArea>
    </format>
    <format dxfId="4843">
      <pivotArea dataOnly="0" labelOnly="1" fieldPosition="0">
        <references count="2">
          <reference field="4" count="1" selected="0">
            <x v="17"/>
          </reference>
          <reference field="6" count="1">
            <x v="0"/>
          </reference>
        </references>
      </pivotArea>
    </format>
    <format dxfId="4842">
      <pivotArea dataOnly="0" labelOnly="1" fieldPosition="0">
        <references count="2">
          <reference field="4" count="1" selected="0">
            <x v="18"/>
          </reference>
          <reference field="6" count="1">
            <x v="3"/>
          </reference>
        </references>
      </pivotArea>
    </format>
    <format dxfId="4841">
      <pivotArea dataOnly="0" labelOnly="1" fieldPosition="0">
        <references count="2">
          <reference field="4" count="1" selected="0">
            <x v="19"/>
          </reference>
          <reference field="6" count="1">
            <x v="3"/>
          </reference>
        </references>
      </pivotArea>
    </format>
    <format dxfId="4840">
      <pivotArea dataOnly="0" labelOnly="1" fieldPosition="0">
        <references count="2">
          <reference field="4" count="1" selected="0">
            <x v="20"/>
          </reference>
          <reference field="6" count="1">
            <x v="1"/>
          </reference>
        </references>
      </pivotArea>
    </format>
    <format dxfId="4839">
      <pivotArea dataOnly="0" labelOnly="1" fieldPosition="0">
        <references count="3">
          <reference field="4" count="1" selected="0">
            <x v="0"/>
          </reference>
          <reference field="6" count="1" selected="0">
            <x v="0"/>
          </reference>
          <reference field="7" count="2">
            <x v="17"/>
            <x v="19"/>
          </reference>
        </references>
      </pivotArea>
    </format>
    <format dxfId="4838">
      <pivotArea dataOnly="0" labelOnly="1" fieldPosition="0">
        <references count="3">
          <reference field="4" count="1" selected="0">
            <x v="0"/>
          </reference>
          <reference field="6" count="1" selected="0">
            <x v="1"/>
          </reference>
          <reference field="7" count="2">
            <x v="23"/>
            <x v="26"/>
          </reference>
        </references>
      </pivotArea>
    </format>
    <format dxfId="4837">
      <pivotArea dataOnly="0" labelOnly="1" fieldPosition="0">
        <references count="3">
          <reference field="4" count="1" selected="0">
            <x v="1"/>
          </reference>
          <reference field="6" count="1" selected="0">
            <x v="0"/>
          </reference>
          <reference field="7" count="1">
            <x v="19"/>
          </reference>
        </references>
      </pivotArea>
    </format>
    <format dxfId="4836">
      <pivotArea dataOnly="0" labelOnly="1" fieldPosition="0">
        <references count="3">
          <reference field="4" count="1" selected="0">
            <x v="1"/>
          </reference>
          <reference field="6" count="1" selected="0">
            <x v="3"/>
          </reference>
          <reference field="7" count="3">
            <x v="2"/>
            <x v="3"/>
            <x v="4"/>
          </reference>
        </references>
      </pivotArea>
    </format>
    <format dxfId="4835">
      <pivotArea dataOnly="0" labelOnly="1" fieldPosition="0">
        <references count="3">
          <reference field="4" count="1" selected="0">
            <x v="1"/>
          </reference>
          <reference field="6" count="1" selected="0">
            <x v="4"/>
          </reference>
          <reference field="7" count="1">
            <x v="8"/>
          </reference>
        </references>
      </pivotArea>
    </format>
    <format dxfId="4834">
      <pivotArea dataOnly="0" labelOnly="1" fieldPosition="0">
        <references count="3">
          <reference field="4" count="1" selected="0">
            <x v="2"/>
          </reference>
          <reference field="6" count="1" selected="0">
            <x v="2"/>
          </reference>
          <reference field="7" count="2">
            <x v="29"/>
            <x v="30"/>
          </reference>
        </references>
      </pivotArea>
    </format>
    <format dxfId="4833">
      <pivotArea dataOnly="0" labelOnly="1" fieldPosition="0">
        <references count="3">
          <reference field="4" count="1" selected="0">
            <x v="2"/>
          </reference>
          <reference field="6" count="1" selected="0">
            <x v="3"/>
          </reference>
          <reference field="7" count="2">
            <x v="5"/>
            <x v="7"/>
          </reference>
        </references>
      </pivotArea>
    </format>
    <format dxfId="4832">
      <pivotArea dataOnly="0" labelOnly="1" fieldPosition="0">
        <references count="3">
          <reference field="4" count="1" selected="0">
            <x v="2"/>
          </reference>
          <reference field="6" count="1" selected="0">
            <x v="4"/>
          </reference>
          <reference field="7" count="1">
            <x v="8"/>
          </reference>
        </references>
      </pivotArea>
    </format>
    <format dxfId="4831">
      <pivotArea dataOnly="0" labelOnly="1" fieldPosition="0">
        <references count="3">
          <reference field="4" count="1" selected="0">
            <x v="3"/>
          </reference>
          <reference field="6" count="1" selected="0">
            <x v="3"/>
          </reference>
          <reference field="7" count="1">
            <x v="6"/>
          </reference>
        </references>
      </pivotArea>
    </format>
    <format dxfId="4830">
      <pivotArea dataOnly="0" labelOnly="1" fieldPosition="0">
        <references count="3">
          <reference field="4" count="1" selected="0">
            <x v="4"/>
          </reference>
          <reference field="6" count="1" selected="0">
            <x v="0"/>
          </reference>
          <reference field="7" count="1">
            <x v="21"/>
          </reference>
        </references>
      </pivotArea>
    </format>
    <format dxfId="4829">
      <pivotArea dataOnly="0" labelOnly="1" fieldPosition="0">
        <references count="3">
          <reference field="4" count="1" selected="0">
            <x v="4"/>
          </reference>
          <reference field="6" count="1" selected="0">
            <x v="1"/>
          </reference>
          <reference field="7" count="1">
            <x v="24"/>
          </reference>
        </references>
      </pivotArea>
    </format>
    <format dxfId="4828">
      <pivotArea dataOnly="0" labelOnly="1" fieldPosition="0">
        <references count="3">
          <reference field="4" count="1" selected="0">
            <x v="4"/>
          </reference>
          <reference field="6" count="1" selected="0">
            <x v="2"/>
          </reference>
          <reference field="7" count="2">
            <x v="29"/>
            <x v="31"/>
          </reference>
        </references>
      </pivotArea>
    </format>
    <format dxfId="4827">
      <pivotArea dataOnly="0" labelOnly="1" fieldPosition="0">
        <references count="3">
          <reference field="4" count="1" selected="0">
            <x v="4"/>
          </reference>
          <reference field="6" count="1" selected="0">
            <x v="3"/>
          </reference>
          <reference field="7" count="2">
            <x v="0"/>
            <x v="1"/>
          </reference>
        </references>
      </pivotArea>
    </format>
    <format dxfId="4826">
      <pivotArea dataOnly="0" labelOnly="1" fieldPosition="0">
        <references count="3">
          <reference field="4" count="1" selected="0">
            <x v="5"/>
          </reference>
          <reference field="6" count="1" selected="0">
            <x v="0"/>
          </reference>
          <reference field="7" count="2">
            <x v="18"/>
            <x v="22"/>
          </reference>
        </references>
      </pivotArea>
    </format>
    <format dxfId="4825">
      <pivotArea dataOnly="0" labelOnly="1" fieldPosition="0">
        <references count="3">
          <reference field="4" count="1" selected="0">
            <x v="5"/>
          </reference>
          <reference field="6" count="1" selected="0">
            <x v="4"/>
          </reference>
          <reference field="7" count="1">
            <x v="8"/>
          </reference>
        </references>
      </pivotArea>
    </format>
    <format dxfId="4824">
      <pivotArea dataOnly="0" labelOnly="1" fieldPosition="0">
        <references count="3">
          <reference field="4" count="1" selected="0">
            <x v="6"/>
          </reference>
          <reference field="6" count="1" selected="0">
            <x v="1"/>
          </reference>
          <reference field="7" count="1">
            <x v="24"/>
          </reference>
        </references>
      </pivotArea>
    </format>
    <format dxfId="4823">
      <pivotArea dataOnly="0" labelOnly="1" fieldPosition="0">
        <references count="3">
          <reference field="4" count="1" selected="0">
            <x v="7"/>
          </reference>
          <reference field="6" count="1" selected="0">
            <x v="0"/>
          </reference>
          <reference field="7" count="1">
            <x v="16"/>
          </reference>
        </references>
      </pivotArea>
    </format>
    <format dxfId="4822">
      <pivotArea dataOnly="0" labelOnly="1" fieldPosition="0">
        <references count="3">
          <reference field="4" count="1" selected="0">
            <x v="7"/>
          </reference>
          <reference field="6" count="1" selected="0">
            <x v="2"/>
          </reference>
          <reference field="7" count="2">
            <x v="29"/>
            <x v="30"/>
          </reference>
        </references>
      </pivotArea>
    </format>
    <format dxfId="4821">
      <pivotArea dataOnly="0" labelOnly="1" fieldPosition="0">
        <references count="3">
          <reference field="4" count="1" selected="0">
            <x v="7"/>
          </reference>
          <reference field="6" count="1" selected="0">
            <x v="3"/>
          </reference>
          <reference field="7" count="1">
            <x v="6"/>
          </reference>
        </references>
      </pivotArea>
    </format>
    <format dxfId="4820">
      <pivotArea dataOnly="0" labelOnly="1" fieldPosition="0">
        <references count="3">
          <reference field="4" count="1" selected="0">
            <x v="7"/>
          </reference>
          <reference field="6" count="1" selected="0">
            <x v="4"/>
          </reference>
          <reference field="7" count="8">
            <x v="8"/>
            <x v="9"/>
            <x v="10"/>
            <x v="11"/>
            <x v="12"/>
            <x v="13"/>
            <x v="14"/>
            <x v="15"/>
          </reference>
        </references>
      </pivotArea>
    </format>
    <format dxfId="4819">
      <pivotArea dataOnly="0" labelOnly="1" fieldPosition="0">
        <references count="3">
          <reference field="4" count="1" selected="0">
            <x v="8"/>
          </reference>
          <reference field="6" count="1" selected="0">
            <x v="0"/>
          </reference>
          <reference field="7" count="2">
            <x v="18"/>
            <x v="22"/>
          </reference>
        </references>
      </pivotArea>
    </format>
    <format dxfId="4818">
      <pivotArea dataOnly="0" labelOnly="1" fieldPosition="0">
        <references count="3">
          <reference field="4" count="1" selected="0">
            <x v="8"/>
          </reference>
          <reference field="6" count="1" selected="0">
            <x v="1"/>
          </reference>
          <reference field="7" count="1">
            <x v="28"/>
          </reference>
        </references>
      </pivotArea>
    </format>
    <format dxfId="4817">
      <pivotArea dataOnly="0" labelOnly="1" fieldPosition="0">
        <references count="3">
          <reference field="4" count="1" selected="0">
            <x v="8"/>
          </reference>
          <reference field="6" count="1" selected="0">
            <x v="2"/>
          </reference>
          <reference field="7" count="1">
            <x v="32"/>
          </reference>
        </references>
      </pivotArea>
    </format>
    <format dxfId="4816">
      <pivotArea dataOnly="0" labelOnly="1" fieldPosition="0">
        <references count="3">
          <reference field="4" count="1" selected="0">
            <x v="8"/>
          </reference>
          <reference field="6" count="1" selected="0">
            <x v="3"/>
          </reference>
          <reference field="7" count="1">
            <x v="6"/>
          </reference>
        </references>
      </pivotArea>
    </format>
    <format dxfId="4815">
      <pivotArea dataOnly="0" labelOnly="1" fieldPosition="0">
        <references count="3">
          <reference field="4" count="1" selected="0">
            <x v="9"/>
          </reference>
          <reference field="6" count="1" selected="0">
            <x v="1"/>
          </reference>
          <reference field="7" count="1">
            <x v="25"/>
          </reference>
        </references>
      </pivotArea>
    </format>
    <format dxfId="4814">
      <pivotArea dataOnly="0" labelOnly="1" fieldPosition="0">
        <references count="3">
          <reference field="4" count="1" selected="0">
            <x v="10"/>
          </reference>
          <reference field="6" count="1" selected="0">
            <x v="3"/>
          </reference>
          <reference field="7" count="1">
            <x v="6"/>
          </reference>
        </references>
      </pivotArea>
    </format>
    <format dxfId="4813">
      <pivotArea dataOnly="0" labelOnly="1" fieldPosition="0">
        <references count="3">
          <reference field="4" count="1" selected="0">
            <x v="11"/>
          </reference>
          <reference field="6" count="1" selected="0">
            <x v="0"/>
          </reference>
          <reference field="7" count="1">
            <x v="17"/>
          </reference>
        </references>
      </pivotArea>
    </format>
    <format dxfId="4812">
      <pivotArea dataOnly="0" labelOnly="1" fieldPosition="0">
        <references count="3">
          <reference field="4" count="1" selected="0">
            <x v="12"/>
          </reference>
          <reference field="6" count="1" selected="0">
            <x v="0"/>
          </reference>
          <reference field="7" count="1">
            <x v="18"/>
          </reference>
        </references>
      </pivotArea>
    </format>
    <format dxfId="4811">
      <pivotArea dataOnly="0" labelOnly="1" fieldPosition="0">
        <references count="3">
          <reference field="4" count="1" selected="0">
            <x v="13"/>
          </reference>
          <reference field="6" count="1" selected="0">
            <x v="3"/>
          </reference>
          <reference field="7" count="2">
            <x v="1"/>
            <x v="5"/>
          </reference>
        </references>
      </pivotArea>
    </format>
    <format dxfId="4810">
      <pivotArea dataOnly="0" labelOnly="1" fieldPosition="0">
        <references count="3">
          <reference field="4" count="1" selected="0">
            <x v="14"/>
          </reference>
          <reference field="6" count="1" selected="0">
            <x v="1"/>
          </reference>
          <reference field="7" count="1">
            <x v="26"/>
          </reference>
        </references>
      </pivotArea>
    </format>
    <format dxfId="4809">
      <pivotArea dataOnly="0" labelOnly="1" fieldPosition="0">
        <references count="3">
          <reference field="4" count="1" selected="0">
            <x v="15"/>
          </reference>
          <reference field="6" count="1" selected="0">
            <x v="0"/>
          </reference>
          <reference field="7" count="1">
            <x v="20"/>
          </reference>
        </references>
      </pivotArea>
    </format>
    <format dxfId="4808">
      <pivotArea dataOnly="0" labelOnly="1" fieldPosition="0">
        <references count="3">
          <reference field="4" count="1" selected="0">
            <x v="16"/>
          </reference>
          <reference field="6" count="1" selected="0">
            <x v="1"/>
          </reference>
          <reference field="7" count="1">
            <x v="27"/>
          </reference>
        </references>
      </pivotArea>
    </format>
    <format dxfId="4807">
      <pivotArea dataOnly="0" labelOnly="1" fieldPosition="0">
        <references count="3">
          <reference field="4" count="1" selected="0">
            <x v="16"/>
          </reference>
          <reference field="6" count="1" selected="0">
            <x v="3"/>
          </reference>
          <reference field="7" count="1">
            <x v="1"/>
          </reference>
        </references>
      </pivotArea>
    </format>
    <format dxfId="4806">
      <pivotArea dataOnly="0" labelOnly="1" fieldPosition="0">
        <references count="3">
          <reference field="4" count="1" selected="0">
            <x v="16"/>
          </reference>
          <reference field="6" count="1" selected="0">
            <x v="4"/>
          </reference>
          <reference field="7" count="2">
            <x v="8"/>
            <x v="11"/>
          </reference>
        </references>
      </pivotArea>
    </format>
    <format dxfId="4805">
      <pivotArea dataOnly="0" labelOnly="1" fieldPosition="0">
        <references count="3">
          <reference field="4" count="1" selected="0">
            <x v="17"/>
          </reference>
          <reference field="6" count="1" selected="0">
            <x v="0"/>
          </reference>
          <reference field="7" count="2">
            <x v="16"/>
            <x v="22"/>
          </reference>
        </references>
      </pivotArea>
    </format>
    <format dxfId="4804">
      <pivotArea dataOnly="0" labelOnly="1" fieldPosition="0">
        <references count="3">
          <reference field="4" count="1" selected="0">
            <x v="18"/>
          </reference>
          <reference field="6" count="1" selected="0">
            <x v="3"/>
          </reference>
          <reference field="7" count="1">
            <x v="2"/>
          </reference>
        </references>
      </pivotArea>
    </format>
    <format dxfId="4803">
      <pivotArea dataOnly="0" labelOnly="1" fieldPosition="0">
        <references count="3">
          <reference field="4" count="1" selected="0">
            <x v="19"/>
          </reference>
          <reference field="6" count="1" selected="0">
            <x v="3"/>
          </reference>
          <reference field="7" count="1">
            <x v="6"/>
          </reference>
        </references>
      </pivotArea>
    </format>
    <format dxfId="4802">
      <pivotArea dataOnly="0" labelOnly="1" fieldPosition="0">
        <references count="3">
          <reference field="4" count="1" selected="0">
            <x v="20"/>
          </reference>
          <reference field="6" count="1" selected="0">
            <x v="1"/>
          </reference>
          <reference field="7" count="1">
            <x v="24"/>
          </reference>
        </references>
      </pivotArea>
    </format>
    <format dxfId="4801">
      <pivotArea dataOnly="0" labelOnly="1" fieldPosition="0">
        <references count="4">
          <reference field="4" count="1" selected="0">
            <x v="0"/>
          </reference>
          <reference field="6" count="1" selected="0">
            <x v="0"/>
          </reference>
          <reference field="7" count="1" selected="0">
            <x v="17"/>
          </reference>
          <reference field="8" count="5">
            <x v="65"/>
            <x v="66"/>
            <x v="67"/>
            <x v="68"/>
            <x v="69"/>
          </reference>
        </references>
      </pivotArea>
    </format>
    <format dxfId="4800">
      <pivotArea dataOnly="0" labelOnly="1" fieldPosition="0">
        <references count="4">
          <reference field="4" count="1" selected="0">
            <x v="0"/>
          </reference>
          <reference field="6" count="1" selected="0">
            <x v="0"/>
          </reference>
          <reference field="7" count="1" selected="0">
            <x v="19"/>
          </reference>
          <reference field="8" count="3">
            <x v="78"/>
            <x v="79"/>
            <x v="80"/>
          </reference>
        </references>
      </pivotArea>
    </format>
    <format dxfId="4799">
      <pivotArea dataOnly="0" labelOnly="1" fieldPosition="0">
        <references count="4">
          <reference field="4" count="1" selected="0">
            <x v="0"/>
          </reference>
          <reference field="6" count="1" selected="0">
            <x v="1"/>
          </reference>
          <reference field="7" count="1" selected="0">
            <x v="23"/>
          </reference>
          <reference field="8" count="10">
            <x v="95"/>
            <x v="96"/>
            <x v="97"/>
            <x v="98"/>
            <x v="99"/>
            <x v="100"/>
            <x v="101"/>
            <x v="102"/>
            <x v="103"/>
            <x v="104"/>
          </reference>
        </references>
      </pivotArea>
    </format>
    <format dxfId="4798">
      <pivotArea dataOnly="0" labelOnly="1" fieldPosition="0">
        <references count="4">
          <reference field="4" count="1" selected="0">
            <x v="0"/>
          </reference>
          <reference field="6" count="1" selected="0">
            <x v="1"/>
          </reference>
          <reference field="7" count="1" selected="0">
            <x v="26"/>
          </reference>
          <reference field="8" count="1">
            <x v="131"/>
          </reference>
        </references>
      </pivotArea>
    </format>
    <format dxfId="4797">
      <pivotArea dataOnly="0" labelOnly="1" fieldPosition="0">
        <references count="4">
          <reference field="4" count="1" selected="0">
            <x v="1"/>
          </reference>
          <reference field="6" count="1" selected="0">
            <x v="0"/>
          </reference>
          <reference field="7" count="1" selected="0">
            <x v="19"/>
          </reference>
          <reference field="8" count="1">
            <x v="81"/>
          </reference>
        </references>
      </pivotArea>
    </format>
    <format dxfId="4796">
      <pivotArea dataOnly="0" labelOnly="1" fieldPosition="0">
        <references count="4">
          <reference field="4" count="1" selected="0">
            <x v="1"/>
          </reference>
          <reference field="6" count="1" selected="0">
            <x v="3"/>
          </reference>
          <reference field="7" count="1" selected="0">
            <x v="2"/>
          </reference>
          <reference field="8" count="7">
            <x v="7"/>
            <x v="10"/>
            <x v="11"/>
            <x v="12"/>
            <x v="13"/>
            <x v="14"/>
            <x v="15"/>
          </reference>
        </references>
      </pivotArea>
    </format>
    <format dxfId="4795">
      <pivotArea dataOnly="0" labelOnly="1" fieldPosition="0">
        <references count="4">
          <reference field="4" count="1" selected="0">
            <x v="1"/>
          </reference>
          <reference field="6" count="1" selected="0">
            <x v="3"/>
          </reference>
          <reference field="7" count="1" selected="0">
            <x v="3"/>
          </reference>
          <reference field="8" count="2">
            <x v="18"/>
            <x v="19"/>
          </reference>
        </references>
      </pivotArea>
    </format>
    <format dxfId="4794">
      <pivotArea dataOnly="0" labelOnly="1" fieldPosition="0">
        <references count="4">
          <reference field="4" count="1" selected="0">
            <x v="1"/>
          </reference>
          <reference field="6" count="1" selected="0">
            <x v="3"/>
          </reference>
          <reference field="7" count="1" selected="0">
            <x v="4"/>
          </reference>
          <reference field="8" count="2">
            <x v="20"/>
            <x v="21"/>
          </reference>
        </references>
      </pivotArea>
    </format>
    <format dxfId="4793">
      <pivotArea dataOnly="0" labelOnly="1" fieldPosition="0">
        <references count="4">
          <reference field="4" count="1" selected="0">
            <x v="1"/>
          </reference>
          <reference field="6" count="1" selected="0">
            <x v="4"/>
          </reference>
          <reference field="7" count="1" selected="0">
            <x v="8"/>
          </reference>
          <reference field="8" count="3">
            <x v="33"/>
            <x v="34"/>
            <x v="39"/>
          </reference>
        </references>
      </pivotArea>
    </format>
    <format dxfId="4792">
      <pivotArea dataOnly="0" labelOnly="1" fieldPosition="0">
        <references count="4">
          <reference field="4" count="1" selected="0">
            <x v="2"/>
          </reference>
          <reference field="6" count="1" selected="0">
            <x v="2"/>
          </reference>
          <reference field="7" count="1" selected="0">
            <x v="29"/>
          </reference>
          <reference field="8" count="6">
            <x v="145"/>
            <x v="146"/>
            <x v="147"/>
            <x v="148"/>
            <x v="149"/>
            <x v="150"/>
          </reference>
        </references>
      </pivotArea>
    </format>
    <format dxfId="4791">
      <pivotArea dataOnly="0" labelOnly="1" fieldPosition="0">
        <references count="4">
          <reference field="4" count="1" selected="0">
            <x v="2"/>
          </reference>
          <reference field="6" count="1" selected="0">
            <x v="2"/>
          </reference>
          <reference field="7" count="1" selected="0">
            <x v="30"/>
          </reference>
          <reference field="8" count="2">
            <x v="152"/>
            <x v="153"/>
          </reference>
        </references>
      </pivotArea>
    </format>
    <format dxfId="4790">
      <pivotArea dataOnly="0" labelOnly="1" fieldPosition="0">
        <references count="4">
          <reference field="4" count="1" selected="0">
            <x v="2"/>
          </reference>
          <reference field="6" count="1" selected="0">
            <x v="3"/>
          </reference>
          <reference field="7" count="1" selected="0">
            <x v="5"/>
          </reference>
          <reference field="8" count="1">
            <x v="24"/>
          </reference>
        </references>
      </pivotArea>
    </format>
    <format dxfId="4789">
      <pivotArea dataOnly="0" labelOnly="1" fieldPosition="0">
        <references count="4">
          <reference field="4" count="1" selected="0">
            <x v="2"/>
          </reference>
          <reference field="6" count="1" selected="0">
            <x v="3"/>
          </reference>
          <reference field="7" count="1" selected="0">
            <x v="7"/>
          </reference>
          <reference field="8" count="2">
            <x v="31"/>
            <x v="32"/>
          </reference>
        </references>
      </pivotArea>
    </format>
    <format dxfId="4788">
      <pivotArea dataOnly="0" labelOnly="1" fieldPosition="0">
        <references count="4">
          <reference field="4" count="1" selected="0">
            <x v="2"/>
          </reference>
          <reference field="6" count="1" selected="0">
            <x v="4"/>
          </reference>
          <reference field="7" count="1" selected="0">
            <x v="8"/>
          </reference>
          <reference field="8" count="2">
            <x v="36"/>
            <x v="39"/>
          </reference>
        </references>
      </pivotArea>
    </format>
    <format dxfId="4787">
      <pivotArea dataOnly="0" labelOnly="1" fieldPosition="0">
        <references count="4">
          <reference field="4" count="1" selected="0">
            <x v="3"/>
          </reference>
          <reference field="6" count="1" selected="0">
            <x v="3"/>
          </reference>
          <reference field="7" count="1" selected="0">
            <x v="6"/>
          </reference>
          <reference field="8" count="1">
            <x v="29"/>
          </reference>
        </references>
      </pivotArea>
    </format>
    <format dxfId="4786">
      <pivotArea dataOnly="0" labelOnly="1" fieldPosition="0">
        <references count="4">
          <reference field="4" count="1" selected="0">
            <x v="4"/>
          </reference>
          <reference field="6" count="1" selected="0">
            <x v="0"/>
          </reference>
          <reference field="7" count="1" selected="0">
            <x v="21"/>
          </reference>
          <reference field="8" count="5">
            <x v="87"/>
            <x v="88"/>
            <x v="89"/>
            <x v="90"/>
            <x v="91"/>
          </reference>
        </references>
      </pivotArea>
    </format>
    <format dxfId="4785">
      <pivotArea dataOnly="0" labelOnly="1" fieldPosition="0">
        <references count="4">
          <reference field="4" count="1" selected="0">
            <x v="4"/>
          </reference>
          <reference field="6" count="1" selected="0">
            <x v="1"/>
          </reference>
          <reference field="7" count="1" selected="0">
            <x v="24"/>
          </reference>
          <reference field="8" count="1">
            <x v="114"/>
          </reference>
        </references>
      </pivotArea>
    </format>
    <format dxfId="4784">
      <pivotArea dataOnly="0" labelOnly="1" fieldPosition="0">
        <references count="4">
          <reference field="4" count="1" selected="0">
            <x v="4"/>
          </reference>
          <reference field="6" count="1" selected="0">
            <x v="2"/>
          </reference>
          <reference field="7" count="1" selected="0">
            <x v="29"/>
          </reference>
          <reference field="8" count="3">
            <x v="142"/>
            <x v="143"/>
            <x v="151"/>
          </reference>
        </references>
      </pivotArea>
    </format>
    <format dxfId="4783">
      <pivotArea dataOnly="0" labelOnly="1" fieldPosition="0">
        <references count="4">
          <reference field="4" count="1" selected="0">
            <x v="4"/>
          </reference>
          <reference field="6" count="1" selected="0">
            <x v="2"/>
          </reference>
          <reference field="7" count="1" selected="0">
            <x v="31"/>
          </reference>
          <reference field="8" count="3">
            <x v="155"/>
            <x v="156"/>
            <x v="157"/>
          </reference>
        </references>
      </pivotArea>
    </format>
    <format dxfId="4782">
      <pivotArea dataOnly="0" labelOnly="1" fieldPosition="0">
        <references count="4">
          <reference field="4" count="1" selected="0">
            <x v="4"/>
          </reference>
          <reference field="6" count="1" selected="0">
            <x v="3"/>
          </reference>
          <reference field="7" count="1" selected="0">
            <x v="0"/>
          </reference>
          <reference field="8" count="2">
            <x v="0"/>
            <x v="1"/>
          </reference>
        </references>
      </pivotArea>
    </format>
    <format dxfId="4781">
      <pivotArea dataOnly="0" labelOnly="1" fieldPosition="0">
        <references count="4">
          <reference field="4" count="1" selected="0">
            <x v="4"/>
          </reference>
          <reference field="6" count="1" selected="0">
            <x v="3"/>
          </reference>
          <reference field="7" count="1" selected="0">
            <x v="1"/>
          </reference>
          <reference field="8" count="4">
            <x v="2"/>
            <x v="3"/>
            <x v="4"/>
            <x v="5"/>
          </reference>
        </references>
      </pivotArea>
    </format>
    <format dxfId="4780">
      <pivotArea dataOnly="0" labelOnly="1" fieldPosition="0">
        <references count="4">
          <reference field="4" count="1" selected="0">
            <x v="5"/>
          </reference>
          <reference field="6" count="1" selected="0">
            <x v="0"/>
          </reference>
          <reference field="7" count="1" selected="0">
            <x v="18"/>
          </reference>
          <reference field="8" count="3">
            <x v="73"/>
            <x v="74"/>
            <x v="77"/>
          </reference>
        </references>
      </pivotArea>
    </format>
    <format dxfId="4779">
      <pivotArea dataOnly="0" labelOnly="1" fieldPosition="0">
        <references count="4">
          <reference field="4" count="1" selected="0">
            <x v="5"/>
          </reference>
          <reference field="6" count="1" selected="0">
            <x v="0"/>
          </reference>
          <reference field="7" count="1" selected="0">
            <x v="22"/>
          </reference>
          <reference field="8" count="1">
            <x v="94"/>
          </reference>
        </references>
      </pivotArea>
    </format>
    <format dxfId="4778">
      <pivotArea dataOnly="0" labelOnly="1" fieldPosition="0">
        <references count="4">
          <reference field="4" count="1" selected="0">
            <x v="5"/>
          </reference>
          <reference field="6" count="1" selected="0">
            <x v="4"/>
          </reference>
          <reference field="7" count="1" selected="0">
            <x v="8"/>
          </reference>
          <reference field="8" count="1">
            <x v="37"/>
          </reference>
        </references>
      </pivotArea>
    </format>
    <format dxfId="4777">
      <pivotArea dataOnly="0" labelOnly="1" fieldPosition="0">
        <references count="4">
          <reference field="4" count="1" selected="0">
            <x v="6"/>
          </reference>
          <reference field="6" count="1" selected="0">
            <x v="1"/>
          </reference>
          <reference field="7" count="1" selected="0">
            <x v="24"/>
          </reference>
          <reference field="8" count="8">
            <x v="105"/>
            <x v="107"/>
            <x v="108"/>
            <x v="109"/>
            <x v="110"/>
            <x v="111"/>
            <x v="112"/>
            <x v="113"/>
          </reference>
        </references>
      </pivotArea>
    </format>
    <format dxfId="4776">
      <pivotArea dataOnly="0" labelOnly="1" fieldPosition="0">
        <references count="4">
          <reference field="4" count="1" selected="0">
            <x v="7"/>
          </reference>
          <reference field="6" count="1" selected="0">
            <x v="0"/>
          </reference>
          <reference field="7" count="1" selected="0">
            <x v="16"/>
          </reference>
          <reference field="8" count="1">
            <x v="64"/>
          </reference>
        </references>
      </pivotArea>
    </format>
    <format dxfId="4775">
      <pivotArea dataOnly="0" labelOnly="1" fieldPosition="0">
        <references count="4">
          <reference field="4" count="1" selected="0">
            <x v="7"/>
          </reference>
          <reference field="6" count="1" selected="0">
            <x v="2"/>
          </reference>
          <reference field="7" count="1" selected="0">
            <x v="29"/>
          </reference>
          <reference field="8" count="4">
            <x v="140"/>
            <x v="141"/>
            <x v="144"/>
            <x v="145"/>
          </reference>
        </references>
      </pivotArea>
    </format>
    <format dxfId="4774">
      <pivotArea dataOnly="0" labelOnly="1" fieldPosition="0">
        <references count="4">
          <reference field="4" count="1" selected="0">
            <x v="7"/>
          </reference>
          <reference field="6" count="1" selected="0">
            <x v="2"/>
          </reference>
          <reference field="7" count="1" selected="0">
            <x v="30"/>
          </reference>
          <reference field="8" count="1">
            <x v="154"/>
          </reference>
        </references>
      </pivotArea>
    </format>
    <format dxfId="4773">
      <pivotArea dataOnly="0" labelOnly="1" fieldPosition="0">
        <references count="4">
          <reference field="4" count="1" selected="0">
            <x v="7"/>
          </reference>
          <reference field="6" count="1" selected="0">
            <x v="3"/>
          </reference>
          <reference field="7" count="1" selected="0">
            <x v="6"/>
          </reference>
          <reference field="8" count="1">
            <x v="28"/>
          </reference>
        </references>
      </pivotArea>
    </format>
    <format dxfId="4772">
      <pivotArea dataOnly="0" labelOnly="1" fieldPosition="0">
        <references count="4">
          <reference field="4" count="1" selected="0">
            <x v="7"/>
          </reference>
          <reference field="6" count="1" selected="0">
            <x v="4"/>
          </reference>
          <reference field="7" count="1" selected="0">
            <x v="8"/>
          </reference>
          <reference field="8" count="2">
            <x v="35"/>
            <x v="36"/>
          </reference>
        </references>
      </pivotArea>
    </format>
    <format dxfId="4771">
      <pivotArea dataOnly="0" labelOnly="1" fieldPosition="0">
        <references count="4">
          <reference field="4" count="1" selected="0">
            <x v="7"/>
          </reference>
          <reference field="6" count="1" selected="0">
            <x v="4"/>
          </reference>
          <reference field="7" count="1" selected="0">
            <x v="9"/>
          </reference>
          <reference field="8" count="4">
            <x v="40"/>
            <x v="41"/>
            <x v="42"/>
            <x v="43"/>
          </reference>
        </references>
      </pivotArea>
    </format>
    <format dxfId="4770">
      <pivotArea dataOnly="0" labelOnly="1" fieldPosition="0">
        <references count="4">
          <reference field="4" count="1" selected="0">
            <x v="7"/>
          </reference>
          <reference field="6" count="1" selected="0">
            <x v="4"/>
          </reference>
          <reference field="7" count="1" selected="0">
            <x v="10"/>
          </reference>
          <reference field="8" count="4">
            <x v="44"/>
            <x v="45"/>
            <x v="46"/>
            <x v="47"/>
          </reference>
        </references>
      </pivotArea>
    </format>
    <format dxfId="4769">
      <pivotArea dataOnly="0" labelOnly="1" fieldPosition="0">
        <references count="4">
          <reference field="4" count="1" selected="0">
            <x v="7"/>
          </reference>
          <reference field="6" count="1" selected="0">
            <x v="4"/>
          </reference>
          <reference field="7" count="1" selected="0">
            <x v="11"/>
          </reference>
          <reference field="8" count="2">
            <x v="48"/>
            <x v="49"/>
          </reference>
        </references>
      </pivotArea>
    </format>
    <format dxfId="4768">
      <pivotArea dataOnly="0" labelOnly="1" fieldPosition="0">
        <references count="4">
          <reference field="4" count="1" selected="0">
            <x v="7"/>
          </reference>
          <reference field="6" count="1" selected="0">
            <x v="4"/>
          </reference>
          <reference field="7" count="1" selected="0">
            <x v="12"/>
          </reference>
          <reference field="8" count="1">
            <x v="50"/>
          </reference>
        </references>
      </pivotArea>
    </format>
    <format dxfId="4767">
      <pivotArea dataOnly="0" labelOnly="1" fieldPosition="0">
        <references count="4">
          <reference field="4" count="1" selected="0">
            <x v="7"/>
          </reference>
          <reference field="6" count="1" selected="0">
            <x v="4"/>
          </reference>
          <reference field="7" count="1" selected="0">
            <x v="13"/>
          </reference>
          <reference field="8" count="3">
            <x v="51"/>
            <x v="52"/>
            <x v="53"/>
          </reference>
        </references>
      </pivotArea>
    </format>
    <format dxfId="4766">
      <pivotArea dataOnly="0" labelOnly="1" fieldPosition="0">
        <references count="4">
          <reference field="4" count="1" selected="0">
            <x v="7"/>
          </reference>
          <reference field="6" count="1" selected="0">
            <x v="4"/>
          </reference>
          <reference field="7" count="1" selected="0">
            <x v="14"/>
          </reference>
          <reference field="8" count="2">
            <x v="54"/>
            <x v="55"/>
          </reference>
        </references>
      </pivotArea>
    </format>
    <format dxfId="4765">
      <pivotArea dataOnly="0" labelOnly="1" fieldPosition="0">
        <references count="4">
          <reference field="4" count="1" selected="0">
            <x v="7"/>
          </reference>
          <reference field="6" count="1" selected="0">
            <x v="4"/>
          </reference>
          <reference field="7" count="1" selected="0">
            <x v="15"/>
          </reference>
          <reference field="8" count="1">
            <x v="56"/>
          </reference>
        </references>
      </pivotArea>
    </format>
    <format dxfId="4764">
      <pivotArea dataOnly="0" labelOnly="1" fieldPosition="0">
        <references count="4">
          <reference field="4" count="1" selected="0">
            <x v="8"/>
          </reference>
          <reference field="6" count="1" selected="0">
            <x v="0"/>
          </reference>
          <reference field="7" count="1" selected="0">
            <x v="18"/>
          </reference>
          <reference field="8" count="1">
            <x v="77"/>
          </reference>
        </references>
      </pivotArea>
    </format>
    <format dxfId="4763">
      <pivotArea dataOnly="0" labelOnly="1" fieldPosition="0">
        <references count="4">
          <reference field="4" count="1" selected="0">
            <x v="8"/>
          </reference>
          <reference field="6" count="1" selected="0">
            <x v="0"/>
          </reference>
          <reference field="7" count="1" selected="0">
            <x v="22"/>
          </reference>
          <reference field="8" count="3">
            <x v="92"/>
            <x v="93"/>
            <x v="94"/>
          </reference>
        </references>
      </pivotArea>
    </format>
    <format dxfId="4762">
      <pivotArea dataOnly="0" labelOnly="1" fieldPosition="0">
        <references count="4">
          <reference field="4" count="1" selected="0">
            <x v="8"/>
          </reference>
          <reference field="6" count="1" selected="0">
            <x v="1"/>
          </reference>
          <reference field="7" count="1" selected="0">
            <x v="28"/>
          </reference>
          <reference field="8" count="2">
            <x v="138"/>
            <x v="139"/>
          </reference>
        </references>
      </pivotArea>
    </format>
    <format dxfId="4761">
      <pivotArea dataOnly="0" labelOnly="1" fieldPosition="0">
        <references count="4">
          <reference field="4" count="1" selected="0">
            <x v="8"/>
          </reference>
          <reference field="6" count="1" selected="0">
            <x v="2"/>
          </reference>
          <reference field="7" count="1" selected="0">
            <x v="32"/>
          </reference>
          <reference field="8" count="2">
            <x v="158"/>
            <x v="159"/>
          </reference>
        </references>
      </pivotArea>
    </format>
    <format dxfId="4760">
      <pivotArea dataOnly="0" labelOnly="1" fieldPosition="0">
        <references count="4">
          <reference field="4" count="1" selected="0">
            <x v="8"/>
          </reference>
          <reference field="6" count="1" selected="0">
            <x v="3"/>
          </reference>
          <reference field="7" count="1" selected="0">
            <x v="6"/>
          </reference>
          <reference field="8" count="2">
            <x v="29"/>
            <x v="30"/>
          </reference>
        </references>
      </pivotArea>
    </format>
    <format dxfId="4759">
      <pivotArea dataOnly="0" labelOnly="1" fieldPosition="0">
        <references count="4">
          <reference field="4" count="1" selected="0">
            <x v="9"/>
          </reference>
          <reference field="6" count="1" selected="0">
            <x v="1"/>
          </reference>
          <reference field="7" count="1" selected="0">
            <x v="25"/>
          </reference>
          <reference field="8" count="10">
            <x v="115"/>
            <x v="116"/>
            <x v="117"/>
            <x v="118"/>
            <x v="119"/>
            <x v="120"/>
            <x v="121"/>
            <x v="122"/>
            <x v="123"/>
            <x v="124"/>
          </reference>
        </references>
      </pivotArea>
    </format>
    <format dxfId="4758">
      <pivotArea dataOnly="0" labelOnly="1" fieldPosition="0">
        <references count="4">
          <reference field="4" count="1" selected="0">
            <x v="10"/>
          </reference>
          <reference field="6" count="1" selected="0">
            <x v="3"/>
          </reference>
          <reference field="7" count="1" selected="0">
            <x v="6"/>
          </reference>
          <reference field="8" count="1">
            <x v="29"/>
          </reference>
        </references>
      </pivotArea>
    </format>
    <format dxfId="4757">
      <pivotArea dataOnly="0" labelOnly="1" fieldPosition="0">
        <references count="4">
          <reference field="4" count="1" selected="0">
            <x v="11"/>
          </reference>
          <reference field="6" count="1" selected="0">
            <x v="0"/>
          </reference>
          <reference field="7" count="1" selected="0">
            <x v="17"/>
          </reference>
          <reference field="8" count="3">
            <x v="70"/>
            <x v="71"/>
            <x v="72"/>
          </reference>
        </references>
      </pivotArea>
    </format>
    <format dxfId="4756">
      <pivotArea dataOnly="0" labelOnly="1" fieldPosition="0">
        <references count="4">
          <reference field="4" count="1" selected="0">
            <x v="12"/>
          </reference>
          <reference field="6" count="1" selected="0">
            <x v="0"/>
          </reference>
          <reference field="7" count="1" selected="0">
            <x v="18"/>
          </reference>
          <reference field="8" count="3">
            <x v="74"/>
            <x v="75"/>
            <x v="76"/>
          </reference>
        </references>
      </pivotArea>
    </format>
    <format dxfId="4755">
      <pivotArea dataOnly="0" labelOnly="1" fieldPosition="0">
        <references count="4">
          <reference field="4" count="1" selected="0">
            <x v="13"/>
          </reference>
          <reference field="6" count="1" selected="0">
            <x v="3"/>
          </reference>
          <reference field="7" count="1" selected="0">
            <x v="1"/>
          </reference>
          <reference field="8" count="1">
            <x v="6"/>
          </reference>
        </references>
      </pivotArea>
    </format>
    <format dxfId="4754">
      <pivotArea dataOnly="0" labelOnly="1" fieldPosition="0">
        <references count="4">
          <reference field="4" count="1" selected="0">
            <x v="13"/>
          </reference>
          <reference field="6" count="1" selected="0">
            <x v="3"/>
          </reference>
          <reference field="7" count="1" selected="0">
            <x v="5"/>
          </reference>
          <reference field="8" count="6">
            <x v="22"/>
            <x v="23"/>
            <x v="24"/>
            <x v="25"/>
            <x v="26"/>
            <x v="27"/>
          </reference>
        </references>
      </pivotArea>
    </format>
    <format dxfId="4753">
      <pivotArea dataOnly="0" labelOnly="1" fieldPosition="0">
        <references count="4">
          <reference field="4" count="1" selected="0">
            <x v="14"/>
          </reference>
          <reference field="6" count="1" selected="0">
            <x v="1"/>
          </reference>
          <reference field="7" count="1" selected="0">
            <x v="26"/>
          </reference>
          <reference field="8" count="7">
            <x v="125"/>
            <x v="126"/>
            <x v="127"/>
            <x v="128"/>
            <x v="129"/>
            <x v="130"/>
            <x v="131"/>
          </reference>
        </references>
      </pivotArea>
    </format>
    <format dxfId="4752">
      <pivotArea dataOnly="0" labelOnly="1" fieldPosition="0">
        <references count="4">
          <reference field="4" count="1" selected="0">
            <x v="15"/>
          </reference>
          <reference field="6" count="1" selected="0">
            <x v="0"/>
          </reference>
          <reference field="7" count="1" selected="0">
            <x v="20"/>
          </reference>
          <reference field="8" count="5">
            <x v="82"/>
            <x v="83"/>
            <x v="84"/>
            <x v="85"/>
            <x v="86"/>
          </reference>
        </references>
      </pivotArea>
    </format>
    <format dxfId="4751">
      <pivotArea dataOnly="0" labelOnly="1" fieldPosition="0">
        <references count="4">
          <reference field="4" count="1" selected="0">
            <x v="16"/>
          </reference>
          <reference field="6" count="1" selected="0">
            <x v="1"/>
          </reference>
          <reference field="7" count="1" selected="0">
            <x v="27"/>
          </reference>
          <reference field="8" count="6">
            <x v="132"/>
            <x v="133"/>
            <x v="134"/>
            <x v="135"/>
            <x v="136"/>
            <x v="137"/>
          </reference>
        </references>
      </pivotArea>
    </format>
    <format dxfId="4750">
      <pivotArea dataOnly="0" labelOnly="1" fieldPosition="0">
        <references count="4">
          <reference field="4" count="1" selected="0">
            <x v="16"/>
          </reference>
          <reference field="6" count="1" selected="0">
            <x v="3"/>
          </reference>
          <reference field="7" count="1" selected="0">
            <x v="1"/>
          </reference>
          <reference field="8" count="1">
            <x v="6"/>
          </reference>
        </references>
      </pivotArea>
    </format>
    <format dxfId="4749">
      <pivotArea dataOnly="0" labelOnly="1" fieldPosition="0">
        <references count="4">
          <reference field="4" count="1" selected="0">
            <x v="16"/>
          </reference>
          <reference field="6" count="1" selected="0">
            <x v="4"/>
          </reference>
          <reference field="7" count="1" selected="0">
            <x v="8"/>
          </reference>
          <reference field="8" count="1">
            <x v="38"/>
          </reference>
        </references>
      </pivotArea>
    </format>
    <format dxfId="4748">
      <pivotArea dataOnly="0" labelOnly="1" fieldPosition="0">
        <references count="4">
          <reference field="4" count="1" selected="0">
            <x v="16"/>
          </reference>
          <reference field="6" count="1" selected="0">
            <x v="4"/>
          </reference>
          <reference field="7" count="1" selected="0">
            <x v="11"/>
          </reference>
          <reference field="8" count="1">
            <x v="48"/>
          </reference>
        </references>
      </pivotArea>
    </format>
    <format dxfId="4747">
      <pivotArea dataOnly="0" labelOnly="1" fieldPosition="0">
        <references count="4">
          <reference field="4" count="1" selected="0">
            <x v="17"/>
          </reference>
          <reference field="6" count="1" selected="0">
            <x v="0"/>
          </reference>
          <reference field="7" count="1" selected="0">
            <x v="16"/>
          </reference>
          <reference field="8" count="7">
            <x v="57"/>
            <x v="58"/>
            <x v="59"/>
            <x v="60"/>
            <x v="61"/>
            <x v="62"/>
            <x v="63"/>
          </reference>
        </references>
      </pivotArea>
    </format>
    <format dxfId="4746">
      <pivotArea dataOnly="0" labelOnly="1" fieldPosition="0">
        <references count="4">
          <reference field="4" count="1" selected="0">
            <x v="17"/>
          </reference>
          <reference field="6" count="1" selected="0">
            <x v="0"/>
          </reference>
          <reference field="7" count="1" selected="0">
            <x v="22"/>
          </reference>
          <reference field="8" count="1">
            <x v="94"/>
          </reference>
        </references>
      </pivotArea>
    </format>
    <format dxfId="4745">
      <pivotArea dataOnly="0" labelOnly="1" fieldPosition="0">
        <references count="4">
          <reference field="4" count="1" selected="0">
            <x v="18"/>
          </reference>
          <reference field="6" count="1" selected="0">
            <x v="3"/>
          </reference>
          <reference field="7" count="1" selected="0">
            <x v="2"/>
          </reference>
          <reference field="8" count="4">
            <x v="8"/>
            <x v="9"/>
            <x v="16"/>
            <x v="17"/>
          </reference>
        </references>
      </pivotArea>
    </format>
    <format dxfId="4744">
      <pivotArea dataOnly="0" labelOnly="1" fieldPosition="0">
        <references count="4">
          <reference field="4" count="1" selected="0">
            <x v="19"/>
          </reference>
          <reference field="6" count="1" selected="0">
            <x v="3"/>
          </reference>
          <reference field="7" count="1" selected="0">
            <x v="6"/>
          </reference>
          <reference field="8" count="1">
            <x v="29"/>
          </reference>
        </references>
      </pivotArea>
    </format>
    <format dxfId="4743">
      <pivotArea dataOnly="0" labelOnly="1" fieldPosition="0">
        <references count="4">
          <reference field="4" count="1" selected="0">
            <x v="20"/>
          </reference>
          <reference field="6" count="1" selected="0">
            <x v="1"/>
          </reference>
          <reference field="7" count="1" selected="0">
            <x v="24"/>
          </reference>
          <reference field="8" count="1">
            <x v="106"/>
          </reference>
        </references>
      </pivotArea>
    </format>
    <format dxfId="4742">
      <pivotArea dataOnly="0" labelOnly="1" fieldPosition="0">
        <references count="5">
          <reference field="4" count="1" selected="0">
            <x v="0"/>
          </reference>
          <reference field="6" count="1" selected="0">
            <x v="0"/>
          </reference>
          <reference field="7" count="1" selected="0">
            <x v="17"/>
          </reference>
          <reference field="8" count="1" selected="0">
            <x v="65"/>
          </reference>
          <reference field="15" count="1">
            <x v="108"/>
          </reference>
        </references>
      </pivotArea>
    </format>
    <format dxfId="4741">
      <pivotArea dataOnly="0" labelOnly="1" fieldPosition="0">
        <references count="5">
          <reference field="4" count="1" selected="0">
            <x v="0"/>
          </reference>
          <reference field="6" count="1" selected="0">
            <x v="0"/>
          </reference>
          <reference field="7" count="1" selected="0">
            <x v="17"/>
          </reference>
          <reference field="8" count="1" selected="0">
            <x v="66"/>
          </reference>
          <reference field="15" count="2">
            <x v="365"/>
            <x v="366"/>
          </reference>
        </references>
      </pivotArea>
    </format>
    <format dxfId="4740">
      <pivotArea dataOnly="0" labelOnly="1" fieldPosition="0">
        <references count="5">
          <reference field="4" count="1" selected="0">
            <x v="0"/>
          </reference>
          <reference field="6" count="1" selected="0">
            <x v="0"/>
          </reference>
          <reference field="7" count="1" selected="0">
            <x v="17"/>
          </reference>
          <reference field="8" count="1" selected="0">
            <x v="67"/>
          </reference>
          <reference field="15" count="2">
            <x v="364"/>
            <x v="370"/>
          </reference>
        </references>
      </pivotArea>
    </format>
    <format dxfId="4739">
      <pivotArea dataOnly="0" labelOnly="1" fieldPosition="0">
        <references count="5">
          <reference field="4" count="1" selected="0">
            <x v="0"/>
          </reference>
          <reference field="6" count="1" selected="0">
            <x v="0"/>
          </reference>
          <reference field="7" count="1" selected="0">
            <x v="17"/>
          </reference>
          <reference field="8" count="1" selected="0">
            <x v="68"/>
          </reference>
          <reference field="15" count="1">
            <x v="79"/>
          </reference>
        </references>
      </pivotArea>
    </format>
    <format dxfId="4738">
      <pivotArea dataOnly="0" labelOnly="1" fieldPosition="0">
        <references count="5">
          <reference field="4" count="1" selected="0">
            <x v="0"/>
          </reference>
          <reference field="6" count="1" selected="0">
            <x v="0"/>
          </reference>
          <reference field="7" count="1" selected="0">
            <x v="17"/>
          </reference>
          <reference field="8" count="1" selected="0">
            <x v="69"/>
          </reference>
          <reference field="15" count="1">
            <x v="42"/>
          </reference>
        </references>
      </pivotArea>
    </format>
    <format dxfId="4737">
      <pivotArea dataOnly="0" labelOnly="1" fieldPosition="0">
        <references count="5">
          <reference field="4" count="1" selected="0">
            <x v="0"/>
          </reference>
          <reference field="6" count="1" selected="0">
            <x v="0"/>
          </reference>
          <reference field="7" count="1" selected="0">
            <x v="19"/>
          </reference>
          <reference field="8" count="1" selected="0">
            <x v="78"/>
          </reference>
          <reference field="15" count="1">
            <x v="236"/>
          </reference>
        </references>
      </pivotArea>
    </format>
    <format dxfId="4736">
      <pivotArea dataOnly="0" labelOnly="1" fieldPosition="0">
        <references count="5">
          <reference field="4" count="1" selected="0">
            <x v="0"/>
          </reference>
          <reference field="6" count="1" selected="0">
            <x v="0"/>
          </reference>
          <reference field="7" count="1" selected="0">
            <x v="19"/>
          </reference>
          <reference field="8" count="1" selected="0">
            <x v="79"/>
          </reference>
          <reference field="15" count="1">
            <x v="12"/>
          </reference>
        </references>
      </pivotArea>
    </format>
    <format dxfId="4735">
      <pivotArea dataOnly="0" labelOnly="1" fieldPosition="0">
        <references count="5">
          <reference field="4" count="1" selected="0">
            <x v="0"/>
          </reference>
          <reference field="6" count="1" selected="0">
            <x v="0"/>
          </reference>
          <reference field="7" count="1" selected="0">
            <x v="19"/>
          </reference>
          <reference field="8" count="1" selected="0">
            <x v="80"/>
          </reference>
          <reference field="15" count="2">
            <x v="10"/>
            <x v="11"/>
          </reference>
        </references>
      </pivotArea>
    </format>
    <format dxfId="4734">
      <pivotArea dataOnly="0" labelOnly="1" fieldPosition="0">
        <references count="5">
          <reference field="4" count="1" selected="0">
            <x v="0"/>
          </reference>
          <reference field="6" count="1" selected="0">
            <x v="1"/>
          </reference>
          <reference field="7" count="1" selected="0">
            <x v="23"/>
          </reference>
          <reference field="8" count="1" selected="0">
            <x v="95"/>
          </reference>
          <reference field="15" count="1">
            <x v="250"/>
          </reference>
        </references>
      </pivotArea>
    </format>
    <format dxfId="4733">
      <pivotArea dataOnly="0" labelOnly="1" fieldPosition="0">
        <references count="5">
          <reference field="4" count="1" selected="0">
            <x v="0"/>
          </reference>
          <reference field="6" count="1" selected="0">
            <x v="1"/>
          </reference>
          <reference field="7" count="1" selected="0">
            <x v="23"/>
          </reference>
          <reference field="8" count="1" selected="0">
            <x v="96"/>
          </reference>
          <reference field="15" count="2">
            <x v="251"/>
            <x v="358"/>
          </reference>
        </references>
      </pivotArea>
    </format>
    <format dxfId="4732">
      <pivotArea dataOnly="0" labelOnly="1" fieldPosition="0">
        <references count="5">
          <reference field="4" count="1" selected="0">
            <x v="0"/>
          </reference>
          <reference field="6" count="1" selected="0">
            <x v="1"/>
          </reference>
          <reference field="7" count="1" selected="0">
            <x v="23"/>
          </reference>
          <reference field="8" count="1" selected="0">
            <x v="97"/>
          </reference>
          <reference field="15" count="1">
            <x v="257"/>
          </reference>
        </references>
      </pivotArea>
    </format>
    <format dxfId="4731">
      <pivotArea dataOnly="0" labelOnly="1" fieldPosition="0">
        <references count="5">
          <reference field="4" count="1" selected="0">
            <x v="0"/>
          </reference>
          <reference field="6" count="1" selected="0">
            <x v="1"/>
          </reference>
          <reference field="7" count="1" selected="0">
            <x v="23"/>
          </reference>
          <reference field="8" count="1" selected="0">
            <x v="98"/>
          </reference>
          <reference field="15" count="1">
            <x v="43"/>
          </reference>
        </references>
      </pivotArea>
    </format>
    <format dxfId="4730">
      <pivotArea dataOnly="0" labelOnly="1" fieldPosition="0">
        <references count="5">
          <reference field="4" count="1" selected="0">
            <x v="0"/>
          </reference>
          <reference field="6" count="1" selected="0">
            <x v="1"/>
          </reference>
          <reference field="7" count="1" selected="0">
            <x v="23"/>
          </reference>
          <reference field="8" count="1" selected="0">
            <x v="99"/>
          </reference>
          <reference field="15" count="1">
            <x v="254"/>
          </reference>
        </references>
      </pivotArea>
    </format>
    <format dxfId="4729">
      <pivotArea dataOnly="0" labelOnly="1" fieldPosition="0">
        <references count="5">
          <reference field="4" count="1" selected="0">
            <x v="0"/>
          </reference>
          <reference field="6" count="1" selected="0">
            <x v="1"/>
          </reference>
          <reference field="7" count="1" selected="0">
            <x v="23"/>
          </reference>
          <reference field="8" count="1" selected="0">
            <x v="100"/>
          </reference>
          <reference field="15" count="1">
            <x v="253"/>
          </reference>
        </references>
      </pivotArea>
    </format>
    <format dxfId="4728">
      <pivotArea dataOnly="0" labelOnly="1" fieldPosition="0">
        <references count="5">
          <reference field="4" count="1" selected="0">
            <x v="0"/>
          </reference>
          <reference field="6" count="1" selected="0">
            <x v="1"/>
          </reference>
          <reference field="7" count="1" selected="0">
            <x v="23"/>
          </reference>
          <reference field="8" count="1" selected="0">
            <x v="101"/>
          </reference>
          <reference field="15" count="1">
            <x v="255"/>
          </reference>
        </references>
      </pivotArea>
    </format>
    <format dxfId="4727">
      <pivotArea dataOnly="0" labelOnly="1" fieldPosition="0">
        <references count="5">
          <reference field="4" count="1" selected="0">
            <x v="0"/>
          </reference>
          <reference field="6" count="1" selected="0">
            <x v="1"/>
          </reference>
          <reference field="7" count="1" selected="0">
            <x v="23"/>
          </reference>
          <reference field="8" count="1" selected="0">
            <x v="102"/>
          </reference>
          <reference field="15" count="1">
            <x v="40"/>
          </reference>
        </references>
      </pivotArea>
    </format>
    <format dxfId="4726">
      <pivotArea dataOnly="0" labelOnly="1" fieldPosition="0">
        <references count="5">
          <reference field="4" count="1" selected="0">
            <x v="0"/>
          </reference>
          <reference field="6" count="1" selected="0">
            <x v="1"/>
          </reference>
          <reference field="7" count="1" selected="0">
            <x v="23"/>
          </reference>
          <reference field="8" count="1" selected="0">
            <x v="103"/>
          </reference>
          <reference field="15" count="1">
            <x v="252"/>
          </reference>
        </references>
      </pivotArea>
    </format>
    <format dxfId="4725">
      <pivotArea dataOnly="0" labelOnly="1" fieldPosition="0">
        <references count="5">
          <reference field="4" count="1" selected="0">
            <x v="0"/>
          </reference>
          <reference field="6" count="1" selected="0">
            <x v="1"/>
          </reference>
          <reference field="7" count="1" selected="0">
            <x v="23"/>
          </reference>
          <reference field="8" count="1" selected="0">
            <x v="104"/>
          </reference>
          <reference field="15" count="1">
            <x v="256"/>
          </reference>
        </references>
      </pivotArea>
    </format>
    <format dxfId="4724">
      <pivotArea dataOnly="0" labelOnly="1" fieldPosition="0">
        <references count="5">
          <reference field="4" count="1" selected="0">
            <x v="0"/>
          </reference>
          <reference field="6" count="1" selected="0">
            <x v="1"/>
          </reference>
          <reference field="7" count="1" selected="0">
            <x v="26"/>
          </reference>
          <reference field="8" count="1" selected="0">
            <x v="131"/>
          </reference>
          <reference field="15" count="1">
            <x v="13"/>
          </reference>
        </references>
      </pivotArea>
    </format>
    <format dxfId="4723">
      <pivotArea dataOnly="0" labelOnly="1" fieldPosition="0">
        <references count="5">
          <reference field="4" count="1" selected="0">
            <x v="1"/>
          </reference>
          <reference field="6" count="1" selected="0">
            <x v="0"/>
          </reference>
          <reference field="7" count="1" selected="0">
            <x v="19"/>
          </reference>
          <reference field="8" count="1" selected="0">
            <x v="81"/>
          </reference>
          <reference field="15" count="1">
            <x v="231"/>
          </reference>
        </references>
      </pivotArea>
    </format>
    <format dxfId="4722">
      <pivotArea dataOnly="0" labelOnly="1" fieldPosition="0">
        <references count="5">
          <reference field="4" count="1" selected="0">
            <x v="1"/>
          </reference>
          <reference field="6" count="1" selected="0">
            <x v="3"/>
          </reference>
          <reference field="7" count="1" selected="0">
            <x v="2"/>
          </reference>
          <reference field="8" count="1" selected="0">
            <x v="7"/>
          </reference>
          <reference field="15" count="5">
            <x v="117"/>
            <x v="124"/>
            <x v="131"/>
            <x v="380"/>
            <x v="400"/>
          </reference>
        </references>
      </pivotArea>
    </format>
    <format dxfId="4721">
      <pivotArea dataOnly="0" labelOnly="1" fieldPosition="0">
        <references count="5">
          <reference field="4" count="1" selected="0">
            <x v="1"/>
          </reference>
          <reference field="6" count="1" selected="0">
            <x v="3"/>
          </reference>
          <reference field="7" count="1" selected="0">
            <x v="2"/>
          </reference>
          <reference field="8" count="1" selected="0">
            <x v="10"/>
          </reference>
          <reference field="15" count="2">
            <x v="17"/>
            <x v="18"/>
          </reference>
        </references>
      </pivotArea>
    </format>
    <format dxfId="4720">
      <pivotArea dataOnly="0" labelOnly="1" fieldPosition="0">
        <references count="5">
          <reference field="4" count="1" selected="0">
            <x v="1"/>
          </reference>
          <reference field="6" count="1" selected="0">
            <x v="3"/>
          </reference>
          <reference field="7" count="1" selected="0">
            <x v="2"/>
          </reference>
          <reference field="8" count="1" selected="0">
            <x v="11"/>
          </reference>
          <reference field="15" count="2">
            <x v="7"/>
            <x v="8"/>
          </reference>
        </references>
      </pivotArea>
    </format>
    <format dxfId="4719">
      <pivotArea dataOnly="0" labelOnly="1" fieldPosition="0">
        <references count="5">
          <reference field="4" count="1" selected="0">
            <x v="1"/>
          </reference>
          <reference field="6" count="1" selected="0">
            <x v="3"/>
          </reference>
          <reference field="7" count="1" selected="0">
            <x v="2"/>
          </reference>
          <reference field="8" count="1" selected="0">
            <x v="12"/>
          </reference>
          <reference field="15" count="1">
            <x v="107"/>
          </reference>
        </references>
      </pivotArea>
    </format>
    <format dxfId="4718">
      <pivotArea dataOnly="0" labelOnly="1" fieldPosition="0">
        <references count="5">
          <reference field="4" count="1" selected="0">
            <x v="1"/>
          </reference>
          <reference field="6" count="1" selected="0">
            <x v="3"/>
          </reference>
          <reference field="7" count="1" selected="0">
            <x v="2"/>
          </reference>
          <reference field="8" count="1" selected="0">
            <x v="13"/>
          </reference>
          <reference field="15" count="1">
            <x v="6"/>
          </reference>
        </references>
      </pivotArea>
    </format>
    <format dxfId="4717">
      <pivotArea dataOnly="0" labelOnly="1" fieldPosition="0">
        <references count="5">
          <reference field="4" count="1" selected="0">
            <x v="1"/>
          </reference>
          <reference field="6" count="1" selected="0">
            <x v="3"/>
          </reference>
          <reference field="7" count="1" selected="0">
            <x v="2"/>
          </reference>
          <reference field="8" count="1" selected="0">
            <x v="14"/>
          </reference>
          <reference field="15" count="2">
            <x v="46"/>
            <x v="47"/>
          </reference>
        </references>
      </pivotArea>
    </format>
    <format dxfId="4716">
      <pivotArea dataOnly="0" labelOnly="1" fieldPosition="0">
        <references count="5">
          <reference field="4" count="1" selected="0">
            <x v="1"/>
          </reference>
          <reference field="6" count="1" selected="0">
            <x v="3"/>
          </reference>
          <reference field="7" count="1" selected="0">
            <x v="2"/>
          </reference>
          <reference field="8" count="1" selected="0">
            <x v="15"/>
          </reference>
          <reference field="15" count="1">
            <x v="372"/>
          </reference>
        </references>
      </pivotArea>
    </format>
    <format dxfId="4715">
      <pivotArea dataOnly="0" labelOnly="1" fieldPosition="0">
        <references count="5">
          <reference field="4" count="1" selected="0">
            <x v="1"/>
          </reference>
          <reference field="6" count="1" selected="0">
            <x v="3"/>
          </reference>
          <reference field="7" count="1" selected="0">
            <x v="3"/>
          </reference>
          <reference field="8" count="1" selected="0">
            <x v="18"/>
          </reference>
          <reference field="15" count="1">
            <x v="232"/>
          </reference>
        </references>
      </pivotArea>
    </format>
    <format dxfId="4714">
      <pivotArea dataOnly="0" labelOnly="1" fieldPosition="0">
        <references count="5">
          <reference field="4" count="1" selected="0">
            <x v="1"/>
          </reference>
          <reference field="6" count="1" selected="0">
            <x v="3"/>
          </reference>
          <reference field="7" count="1" selected="0">
            <x v="3"/>
          </reference>
          <reference field="8" count="1" selected="0">
            <x v="19"/>
          </reference>
          <reference field="15" count="1">
            <x v="9"/>
          </reference>
        </references>
      </pivotArea>
    </format>
    <format dxfId="4713">
      <pivotArea dataOnly="0" labelOnly="1" fieldPosition="0">
        <references count="5">
          <reference field="4" count="1" selected="0">
            <x v="1"/>
          </reference>
          <reference field="6" count="1" selected="0">
            <x v="3"/>
          </reference>
          <reference field="7" count="1" selected="0">
            <x v="4"/>
          </reference>
          <reference field="8" count="1" selected="0">
            <x v="20"/>
          </reference>
          <reference field="15" count="1">
            <x v="34"/>
          </reference>
        </references>
      </pivotArea>
    </format>
    <format dxfId="4712">
      <pivotArea dataOnly="0" labelOnly="1" fieldPosition="0">
        <references count="5">
          <reference field="4" count="1" selected="0">
            <x v="1"/>
          </reference>
          <reference field="6" count="1" selected="0">
            <x v="3"/>
          </reference>
          <reference field="7" count="1" selected="0">
            <x v="4"/>
          </reference>
          <reference field="8" count="1" selected="0">
            <x v="21"/>
          </reference>
          <reference field="15" count="1">
            <x v="98"/>
          </reference>
        </references>
      </pivotArea>
    </format>
    <format dxfId="4711">
      <pivotArea dataOnly="0" labelOnly="1" fieldPosition="0">
        <references count="5">
          <reference field="4" count="1" selected="0">
            <x v="1"/>
          </reference>
          <reference field="6" count="1" selected="0">
            <x v="4"/>
          </reference>
          <reference field="7" count="1" selected="0">
            <x v="8"/>
          </reference>
          <reference field="8" count="1" selected="0">
            <x v="33"/>
          </reference>
          <reference field="15" count="1">
            <x v="237"/>
          </reference>
        </references>
      </pivotArea>
    </format>
    <format dxfId="4710">
      <pivotArea dataOnly="0" labelOnly="1" fieldPosition="0">
        <references count="5">
          <reference field="4" count="1" selected="0">
            <x v="1"/>
          </reference>
          <reference field="6" count="1" selected="0">
            <x v="4"/>
          </reference>
          <reference field="7" count="1" selected="0">
            <x v="8"/>
          </reference>
          <reference field="8" count="1" selected="0">
            <x v="34"/>
          </reference>
          <reference field="15" count="1">
            <x v="373"/>
          </reference>
        </references>
      </pivotArea>
    </format>
    <format dxfId="4709">
      <pivotArea dataOnly="0" labelOnly="1" fieldPosition="0">
        <references count="5">
          <reference field="4" count="1" selected="0">
            <x v="1"/>
          </reference>
          <reference field="6" count="1" selected="0">
            <x v="4"/>
          </reference>
          <reference field="7" count="1" selected="0">
            <x v="8"/>
          </reference>
          <reference field="8" count="1" selected="0">
            <x v="39"/>
          </reference>
          <reference field="15" count="2">
            <x v="233"/>
            <x v="234"/>
          </reference>
        </references>
      </pivotArea>
    </format>
    <format dxfId="4708">
      <pivotArea dataOnly="0" labelOnly="1" fieldPosition="0">
        <references count="5">
          <reference field="4" count="1" selected="0">
            <x v="2"/>
          </reference>
          <reference field="6" count="1" selected="0">
            <x v="2"/>
          </reference>
          <reference field="7" count="1" selected="0">
            <x v="29"/>
          </reference>
          <reference field="8" count="1" selected="0">
            <x v="145"/>
          </reference>
          <reference field="15" count="1">
            <x v="377"/>
          </reference>
        </references>
      </pivotArea>
    </format>
    <format dxfId="4707">
      <pivotArea dataOnly="0" labelOnly="1" fieldPosition="0">
        <references count="5">
          <reference field="4" count="1" selected="0">
            <x v="2"/>
          </reference>
          <reference field="6" count="1" selected="0">
            <x v="2"/>
          </reference>
          <reference field="7" count="1" selected="0">
            <x v="29"/>
          </reference>
          <reference field="8" count="1" selected="0">
            <x v="146"/>
          </reference>
          <reference field="15" count="1">
            <x v="139"/>
          </reference>
        </references>
      </pivotArea>
    </format>
    <format dxfId="4706">
      <pivotArea dataOnly="0" labelOnly="1" fieldPosition="0">
        <references count="5">
          <reference field="4" count="1" selected="0">
            <x v="2"/>
          </reference>
          <reference field="6" count="1" selected="0">
            <x v="2"/>
          </reference>
          <reference field="7" count="1" selected="0">
            <x v="29"/>
          </reference>
          <reference field="8" count="1" selected="0">
            <x v="147"/>
          </reference>
          <reference field="15" count="1">
            <x v="127"/>
          </reference>
        </references>
      </pivotArea>
    </format>
    <format dxfId="4705">
      <pivotArea dataOnly="0" labelOnly="1" fieldPosition="0">
        <references count="5">
          <reference field="4" count="1" selected="0">
            <x v="2"/>
          </reference>
          <reference field="6" count="1" selected="0">
            <x v="2"/>
          </reference>
          <reference field="7" count="1" selected="0">
            <x v="29"/>
          </reference>
          <reference field="8" count="1" selected="0">
            <x v="148"/>
          </reference>
          <reference field="15" count="1">
            <x v="142"/>
          </reference>
        </references>
      </pivotArea>
    </format>
    <format dxfId="4704">
      <pivotArea dataOnly="0" labelOnly="1" fieldPosition="0">
        <references count="5">
          <reference field="4" count="1" selected="0">
            <x v="2"/>
          </reference>
          <reference field="6" count="1" selected="0">
            <x v="2"/>
          </reference>
          <reference field="7" count="1" selected="0">
            <x v="29"/>
          </reference>
          <reference field="8" count="1" selected="0">
            <x v="149"/>
          </reference>
          <reference field="15" count="1">
            <x v="140"/>
          </reference>
        </references>
      </pivotArea>
    </format>
    <format dxfId="4703">
      <pivotArea dataOnly="0" labelOnly="1" fieldPosition="0">
        <references count="5">
          <reference field="4" count="1" selected="0">
            <x v="2"/>
          </reference>
          <reference field="6" count="1" selected="0">
            <x v="2"/>
          </reference>
          <reference field="7" count="1" selected="0">
            <x v="29"/>
          </reference>
          <reference field="8" count="1" selected="0">
            <x v="150"/>
          </reference>
          <reference field="15" count="1">
            <x v="144"/>
          </reference>
        </references>
      </pivotArea>
    </format>
    <format dxfId="4702">
      <pivotArea dataOnly="0" labelOnly="1" fieldPosition="0">
        <references count="5">
          <reference field="4" count="1" selected="0">
            <x v="2"/>
          </reference>
          <reference field="6" count="1" selected="0">
            <x v="2"/>
          </reference>
          <reference field="7" count="1" selected="0">
            <x v="30"/>
          </reference>
          <reference field="8" count="1" selected="0">
            <x v="152"/>
          </reference>
          <reference field="15" count="2">
            <x v="128"/>
            <x v="129"/>
          </reference>
        </references>
      </pivotArea>
    </format>
    <format dxfId="4701">
      <pivotArea dataOnly="0" labelOnly="1" fieldPosition="0">
        <references count="5">
          <reference field="4" count="1" selected="0">
            <x v="2"/>
          </reference>
          <reference field="6" count="1" selected="0">
            <x v="2"/>
          </reference>
          <reference field="7" count="1" selected="0">
            <x v="30"/>
          </reference>
          <reference field="8" count="1" selected="0">
            <x v="153"/>
          </reference>
          <reference field="15" count="1">
            <x v="141"/>
          </reference>
        </references>
      </pivotArea>
    </format>
    <format dxfId="4700">
      <pivotArea dataOnly="0" labelOnly="1" fieldPosition="0">
        <references count="5">
          <reference field="4" count="1" selected="0">
            <x v="2"/>
          </reference>
          <reference field="6" count="1" selected="0">
            <x v="3"/>
          </reference>
          <reference field="7" count="1" selected="0">
            <x v="5"/>
          </reference>
          <reference field="8" count="1" selected="0">
            <x v="24"/>
          </reference>
          <reference field="15" count="1">
            <x v="339"/>
          </reference>
        </references>
      </pivotArea>
    </format>
    <format dxfId="4699">
      <pivotArea dataOnly="0" labelOnly="1" fieldPosition="0">
        <references count="5">
          <reference field="4" count="1" selected="0">
            <x v="2"/>
          </reference>
          <reference field="6" count="1" selected="0">
            <x v="3"/>
          </reference>
          <reference field="7" count="1" selected="0">
            <x v="7"/>
          </reference>
          <reference field="8" count="1" selected="0">
            <x v="31"/>
          </reference>
          <reference field="15" count="2">
            <x v="391"/>
            <x v="392"/>
          </reference>
        </references>
      </pivotArea>
    </format>
    <format dxfId="4698">
      <pivotArea dataOnly="0" labelOnly="1" fieldPosition="0">
        <references count="5">
          <reference field="4" count="1" selected="0">
            <x v="2"/>
          </reference>
          <reference field="6" count="1" selected="0">
            <x v="3"/>
          </reference>
          <reference field="7" count="1" selected="0">
            <x v="7"/>
          </reference>
          <reference field="8" count="1" selected="0">
            <x v="32"/>
          </reference>
          <reference field="15" count="1">
            <x v="371"/>
          </reference>
        </references>
      </pivotArea>
    </format>
    <format dxfId="4697">
      <pivotArea dataOnly="0" labelOnly="1" fieldPosition="0">
        <references count="5">
          <reference field="4" count="1" selected="0">
            <x v="2"/>
          </reference>
          <reference field="6" count="1" selected="0">
            <x v="4"/>
          </reference>
          <reference field="7" count="1" selected="0">
            <x v="8"/>
          </reference>
          <reference field="8" count="1" selected="0">
            <x v="36"/>
          </reference>
          <reference field="15" count="1">
            <x v="379"/>
          </reference>
        </references>
      </pivotArea>
    </format>
    <format dxfId="4696">
      <pivotArea dataOnly="0" labelOnly="1" fieldPosition="0">
        <references count="5">
          <reference field="4" count="1" selected="0">
            <x v="2"/>
          </reference>
          <reference field="6" count="1" selected="0">
            <x v="4"/>
          </reference>
          <reference field="7" count="1" selected="0">
            <x v="8"/>
          </reference>
          <reference field="8" count="1" selected="0">
            <x v="39"/>
          </reference>
          <reference field="15" count="1">
            <x v="378"/>
          </reference>
        </references>
      </pivotArea>
    </format>
    <format dxfId="4695">
      <pivotArea dataOnly="0" labelOnly="1" fieldPosition="0">
        <references count="5">
          <reference field="4" count="1" selected="0">
            <x v="3"/>
          </reference>
          <reference field="6" count="1" selected="0">
            <x v="3"/>
          </reference>
          <reference field="7" count="1" selected="0">
            <x v="6"/>
          </reference>
          <reference field="8" count="1" selected="0">
            <x v="29"/>
          </reference>
          <reference field="15" count="41">
            <x v="0"/>
            <x v="1"/>
            <x v="167"/>
            <x v="175"/>
            <x v="176"/>
            <x v="177"/>
            <x v="178"/>
            <x v="179"/>
            <x v="180"/>
            <x v="181"/>
            <x v="182"/>
            <x v="201"/>
            <x v="202"/>
            <x v="205"/>
            <x v="206"/>
            <x v="207"/>
            <x v="208"/>
            <x v="209"/>
            <x v="210"/>
            <x v="211"/>
            <x v="212"/>
            <x v="213"/>
            <x v="214"/>
            <x v="215"/>
            <x v="216"/>
            <x v="217"/>
            <x v="218"/>
            <x v="219"/>
            <x v="220"/>
            <x v="221"/>
            <x v="224"/>
            <x v="225"/>
            <x v="226"/>
            <x v="227"/>
            <x v="228"/>
            <x v="393"/>
            <x v="394"/>
            <x v="396"/>
            <x v="397"/>
            <x v="398"/>
            <x v="399"/>
          </reference>
        </references>
      </pivotArea>
    </format>
    <format dxfId="4694">
      <pivotArea dataOnly="0" labelOnly="1" fieldPosition="0">
        <references count="5">
          <reference field="4" count="1" selected="0">
            <x v="4"/>
          </reference>
          <reference field="6" count="1" selected="0">
            <x v="0"/>
          </reference>
          <reference field="7" count="1" selected="0">
            <x v="21"/>
          </reference>
          <reference field="8" count="1" selected="0">
            <x v="87"/>
          </reference>
          <reference field="15" count="8">
            <x v="126"/>
            <x v="293"/>
            <x v="305"/>
            <x v="306"/>
            <x v="317"/>
            <x v="388"/>
            <x v="389"/>
            <x v="390"/>
          </reference>
        </references>
      </pivotArea>
    </format>
    <format dxfId="4693">
      <pivotArea dataOnly="0" labelOnly="1" fieldPosition="0">
        <references count="5">
          <reference field="4" count="1" selected="0">
            <x v="4"/>
          </reference>
          <reference field="6" count="1" selected="0">
            <x v="0"/>
          </reference>
          <reference field="7" count="1" selected="0">
            <x v="21"/>
          </reference>
          <reference field="8" count="1" selected="0">
            <x v="88"/>
          </reference>
          <reference field="15" count="3">
            <x v="291"/>
            <x v="292"/>
            <x v="301"/>
          </reference>
        </references>
      </pivotArea>
    </format>
    <format dxfId="4692">
      <pivotArea dataOnly="0" labelOnly="1" fieldPosition="0">
        <references count="5">
          <reference field="4" count="1" selected="0">
            <x v="4"/>
          </reference>
          <reference field="6" count="1" selected="0">
            <x v="0"/>
          </reference>
          <reference field="7" count="1" selected="0">
            <x v="21"/>
          </reference>
          <reference field="8" count="1" selected="0">
            <x v="89"/>
          </reference>
          <reference field="15" count="1">
            <x v="310"/>
          </reference>
        </references>
      </pivotArea>
    </format>
    <format dxfId="4691">
      <pivotArea dataOnly="0" labelOnly="1" fieldPosition="0">
        <references count="5">
          <reference field="4" count="1" selected="0">
            <x v="4"/>
          </reference>
          <reference field="6" count="1" selected="0">
            <x v="0"/>
          </reference>
          <reference field="7" count="1" selected="0">
            <x v="21"/>
          </reference>
          <reference field="8" count="1" selected="0">
            <x v="90"/>
          </reference>
          <reference field="15" count="1">
            <x v="385"/>
          </reference>
        </references>
      </pivotArea>
    </format>
    <format dxfId="4690">
      <pivotArea dataOnly="0" labelOnly="1" fieldPosition="0">
        <references count="5">
          <reference field="4" count="1" selected="0">
            <x v="4"/>
          </reference>
          <reference field="6" count="1" selected="0">
            <x v="0"/>
          </reference>
          <reference field="7" count="1" selected="0">
            <x v="21"/>
          </reference>
          <reference field="8" count="1" selected="0">
            <x v="91"/>
          </reference>
          <reference field="15" count="2">
            <x v="264"/>
            <x v="265"/>
          </reference>
        </references>
      </pivotArea>
    </format>
    <format dxfId="4689">
      <pivotArea dataOnly="0" labelOnly="1" fieldPosition="0">
        <references count="5">
          <reference field="4" count="1" selected="0">
            <x v="4"/>
          </reference>
          <reference field="6" count="1" selected="0">
            <x v="1"/>
          </reference>
          <reference field="7" count="1" selected="0">
            <x v="24"/>
          </reference>
          <reference field="8" count="1" selected="0">
            <x v="114"/>
          </reference>
          <reference field="15" count="1">
            <x v="263"/>
          </reference>
        </references>
      </pivotArea>
    </format>
    <format dxfId="4688">
      <pivotArea dataOnly="0" labelOnly="1" fieldPosition="0">
        <references count="5">
          <reference field="4" count="1" selected="0">
            <x v="4"/>
          </reference>
          <reference field="6" count="1" selected="0">
            <x v="2"/>
          </reference>
          <reference field="7" count="1" selected="0">
            <x v="29"/>
          </reference>
          <reference field="8" count="1" selected="0">
            <x v="142"/>
          </reference>
          <reference field="15" count="1">
            <x v="283"/>
          </reference>
        </references>
      </pivotArea>
    </format>
    <format dxfId="4687">
      <pivotArea dataOnly="0" labelOnly="1" fieldPosition="0">
        <references count="5">
          <reference field="4" count="1" selected="0">
            <x v="4"/>
          </reference>
          <reference field="6" count="1" selected="0">
            <x v="2"/>
          </reference>
          <reference field="7" count="1" selected="0">
            <x v="29"/>
          </reference>
          <reference field="8" count="1" selected="0">
            <x v="143"/>
          </reference>
          <reference field="15" count="2">
            <x v="289"/>
            <x v="314"/>
          </reference>
        </references>
      </pivotArea>
    </format>
    <format dxfId="4686">
      <pivotArea dataOnly="0" labelOnly="1" fieldPosition="0">
        <references count="5">
          <reference field="4" count="1" selected="0">
            <x v="4"/>
          </reference>
          <reference field="6" count="1" selected="0">
            <x v="2"/>
          </reference>
          <reference field="7" count="1" selected="0">
            <x v="29"/>
          </reference>
          <reference field="8" count="1" selected="0">
            <x v="151"/>
          </reference>
          <reference field="15" count="1">
            <x v="387"/>
          </reference>
        </references>
      </pivotArea>
    </format>
    <format dxfId="4685">
      <pivotArea dataOnly="0" labelOnly="1" fieldPosition="0">
        <references count="5">
          <reference field="4" count="1" selected="0">
            <x v="4"/>
          </reference>
          <reference field="6" count="1" selected="0">
            <x v="2"/>
          </reference>
          <reference field="7" count="1" selected="0">
            <x v="31"/>
          </reference>
          <reference field="8" count="1" selected="0">
            <x v="155"/>
          </reference>
          <reference field="15" count="4">
            <x v="235"/>
            <x v="303"/>
            <x v="374"/>
            <x v="386"/>
          </reference>
        </references>
      </pivotArea>
    </format>
    <format dxfId="4684">
      <pivotArea dataOnly="0" labelOnly="1" fieldPosition="0">
        <references count="5">
          <reference field="4" count="1" selected="0">
            <x v="4"/>
          </reference>
          <reference field="6" count="1" selected="0">
            <x v="2"/>
          </reference>
          <reference field="7" count="1" selected="0">
            <x v="31"/>
          </reference>
          <reference field="8" count="1" selected="0">
            <x v="156"/>
          </reference>
          <reference field="15" count="1">
            <x v="304"/>
          </reference>
        </references>
      </pivotArea>
    </format>
    <format dxfId="4683">
      <pivotArea dataOnly="0" labelOnly="1" fieldPosition="0">
        <references count="5">
          <reference field="4" count="1" selected="0">
            <x v="4"/>
          </reference>
          <reference field="6" count="1" selected="0">
            <x v="2"/>
          </reference>
          <reference field="7" count="1" selected="0">
            <x v="31"/>
          </reference>
          <reference field="8" count="1" selected="0">
            <x v="157"/>
          </reference>
          <reference field="15" count="1">
            <x v="302"/>
          </reference>
        </references>
      </pivotArea>
    </format>
    <format dxfId="4682">
      <pivotArea dataOnly="0" labelOnly="1" fieldPosition="0">
        <references count="5">
          <reference field="4" count="1" selected="0">
            <x v="4"/>
          </reference>
          <reference field="6" count="1" selected="0">
            <x v="3"/>
          </reference>
          <reference field="7" count="1" selected="0">
            <x v="0"/>
          </reference>
          <reference field="8" count="1" selected="0">
            <x v="0"/>
          </reference>
          <reference field="15" count="2">
            <x v="125"/>
            <x v="269"/>
          </reference>
        </references>
      </pivotArea>
    </format>
    <format dxfId="4681">
      <pivotArea dataOnly="0" labelOnly="1" fieldPosition="0">
        <references count="5">
          <reference field="4" count="1" selected="0">
            <x v="4"/>
          </reference>
          <reference field="6" count="1" selected="0">
            <x v="3"/>
          </reference>
          <reference field="7" count="1" selected="0">
            <x v="0"/>
          </reference>
          <reference field="8" count="1" selected="0">
            <x v="1"/>
          </reference>
          <reference field="15" count="1">
            <x v="382"/>
          </reference>
        </references>
      </pivotArea>
    </format>
    <format dxfId="4680">
      <pivotArea dataOnly="0" labelOnly="1" fieldPosition="0">
        <references count="5">
          <reference field="4" count="1" selected="0">
            <x v="4"/>
          </reference>
          <reference field="6" count="1" selected="0">
            <x v="3"/>
          </reference>
          <reference field="7" count="1" selected="0">
            <x v="1"/>
          </reference>
          <reference field="8" count="1" selected="0">
            <x v="2"/>
          </reference>
          <reference field="15" count="1">
            <x v="282"/>
          </reference>
        </references>
      </pivotArea>
    </format>
    <format dxfId="4679">
      <pivotArea dataOnly="0" labelOnly="1" fieldPosition="0">
        <references count="5">
          <reference field="4" count="1" selected="0">
            <x v="4"/>
          </reference>
          <reference field="6" count="1" selected="0">
            <x v="3"/>
          </reference>
          <reference field="7" count="1" selected="0">
            <x v="1"/>
          </reference>
          <reference field="8" count="1" selected="0">
            <x v="3"/>
          </reference>
          <reference field="15" count="1">
            <x v="384"/>
          </reference>
        </references>
      </pivotArea>
    </format>
    <format dxfId="4678">
      <pivotArea dataOnly="0" labelOnly="1" fieldPosition="0">
        <references count="5">
          <reference field="4" count="1" selected="0">
            <x v="4"/>
          </reference>
          <reference field="6" count="1" selected="0">
            <x v="3"/>
          </reference>
          <reference field="7" count="1" selected="0">
            <x v="1"/>
          </reference>
          <reference field="8" count="1" selected="0">
            <x v="4"/>
          </reference>
          <reference field="15" count="1">
            <x v="298"/>
          </reference>
        </references>
      </pivotArea>
    </format>
    <format dxfId="4677">
      <pivotArea dataOnly="0" labelOnly="1" fieldPosition="0">
        <references count="5">
          <reference field="4" count="1" selected="0">
            <x v="4"/>
          </reference>
          <reference field="6" count="1" selected="0">
            <x v="3"/>
          </reference>
          <reference field="7" count="1" selected="0">
            <x v="1"/>
          </reference>
          <reference field="8" count="1" selected="0">
            <x v="5"/>
          </reference>
          <reference field="15" count="2">
            <x v="381"/>
            <x v="383"/>
          </reference>
        </references>
      </pivotArea>
    </format>
    <format dxfId="4676">
      <pivotArea dataOnly="0" labelOnly="1" fieldPosition="0">
        <references count="5">
          <reference field="4" count="1" selected="0">
            <x v="5"/>
          </reference>
          <reference field="6" count="1" selected="0">
            <x v="0"/>
          </reference>
          <reference field="7" count="1" selected="0">
            <x v="18"/>
          </reference>
          <reference field="8" count="1" selected="0">
            <x v="73"/>
          </reference>
          <reference field="15" count="3">
            <x v="245"/>
            <x v="246"/>
            <x v="313"/>
          </reference>
        </references>
      </pivotArea>
    </format>
    <format dxfId="4675">
      <pivotArea dataOnly="0" labelOnly="1" fieldPosition="0">
        <references count="5">
          <reference field="4" count="1" selected="0">
            <x v="5"/>
          </reference>
          <reference field="6" count="1" selected="0">
            <x v="0"/>
          </reference>
          <reference field="7" count="1" selected="0">
            <x v="18"/>
          </reference>
          <reference field="8" count="1" selected="0">
            <x v="74"/>
          </reference>
          <reference field="15" count="1">
            <x v="230"/>
          </reference>
        </references>
      </pivotArea>
    </format>
    <format dxfId="4674">
      <pivotArea dataOnly="0" labelOnly="1" fieldPosition="0">
        <references count="5">
          <reference field="4" count="1" selected="0">
            <x v="5"/>
          </reference>
          <reference field="6" count="1" selected="0">
            <x v="0"/>
          </reference>
          <reference field="7" count="1" selected="0">
            <x v="18"/>
          </reference>
          <reference field="8" count="1" selected="0">
            <x v="77"/>
          </reference>
          <reference field="15" count="2">
            <x v="276"/>
            <x v="277"/>
          </reference>
        </references>
      </pivotArea>
    </format>
    <format dxfId="4673">
      <pivotArea dataOnly="0" labelOnly="1" fieldPosition="0">
        <references count="5">
          <reference field="4" count="1" selected="0">
            <x v="5"/>
          </reference>
          <reference field="6" count="1" selected="0">
            <x v="0"/>
          </reference>
          <reference field="7" count="1" selected="0">
            <x v="22"/>
          </reference>
          <reference field="8" count="1" selected="0">
            <x v="94"/>
          </reference>
          <reference field="15" count="1">
            <x v="164"/>
          </reference>
        </references>
      </pivotArea>
    </format>
    <format dxfId="4672">
      <pivotArea dataOnly="0" labelOnly="1" fieldPosition="0">
        <references count="5">
          <reference field="4" count="1" selected="0">
            <x v="5"/>
          </reference>
          <reference field="6" count="1" selected="0">
            <x v="4"/>
          </reference>
          <reference field="7" count="1" selected="0">
            <x v="8"/>
          </reference>
          <reference field="8" count="1" selected="0">
            <x v="37"/>
          </reference>
          <reference field="15" count="1">
            <x v="222"/>
          </reference>
        </references>
      </pivotArea>
    </format>
    <format dxfId="4671">
      <pivotArea dataOnly="0" labelOnly="1" fieldPosition="0">
        <references count="5">
          <reference field="4" count="1" selected="0">
            <x v="6"/>
          </reference>
          <reference field="6" count="1" selected="0">
            <x v="1"/>
          </reference>
          <reference field="7" count="1" selected="0">
            <x v="24"/>
          </reference>
          <reference field="8" count="1" selected="0">
            <x v="105"/>
          </reference>
          <reference field="15" count="13">
            <x v="24"/>
            <x v="25"/>
            <x v="31"/>
            <x v="37"/>
            <x v="44"/>
            <x v="45"/>
            <x v="48"/>
            <x v="49"/>
            <x v="50"/>
            <x v="56"/>
            <x v="66"/>
            <x v="100"/>
            <x v="101"/>
          </reference>
        </references>
      </pivotArea>
    </format>
    <format dxfId="4670">
      <pivotArea dataOnly="0" labelOnly="1" fieldPosition="0">
        <references count="5">
          <reference field="4" count="1" selected="0">
            <x v="6"/>
          </reference>
          <reference field="6" count="1" selected="0">
            <x v="1"/>
          </reference>
          <reference field="7" count="1" selected="0">
            <x v="24"/>
          </reference>
          <reference field="8" count="1" selected="0">
            <x v="107"/>
          </reference>
          <reference field="15" count="3">
            <x v="118"/>
            <x v="123"/>
            <x v="165"/>
          </reference>
        </references>
      </pivotArea>
    </format>
    <format dxfId="4669">
      <pivotArea dataOnly="0" labelOnly="1" fieldPosition="0">
        <references count="5">
          <reference field="4" count="1" selected="0">
            <x v="6"/>
          </reference>
          <reference field="6" count="1" selected="0">
            <x v="1"/>
          </reference>
          <reference field="7" count="1" selected="0">
            <x v="24"/>
          </reference>
          <reference field="8" count="1" selected="0">
            <x v="108"/>
          </reference>
          <reference field="15" count="2">
            <x v="97"/>
            <x v="119"/>
          </reference>
        </references>
      </pivotArea>
    </format>
    <format dxfId="4668">
      <pivotArea dataOnly="0" labelOnly="1" fieldPosition="0">
        <references count="5">
          <reference field="4" count="1" selected="0">
            <x v="6"/>
          </reference>
          <reference field="6" count="1" selected="0">
            <x v="1"/>
          </reference>
          <reference field="7" count="1" selected="0">
            <x v="24"/>
          </reference>
          <reference field="8" count="1" selected="0">
            <x v="109"/>
          </reference>
          <reference field="15" count="2">
            <x v="96"/>
            <x v="327"/>
          </reference>
        </references>
      </pivotArea>
    </format>
    <format dxfId="4667">
      <pivotArea dataOnly="0" labelOnly="1" fieldPosition="0">
        <references count="5">
          <reference field="4" count="1" selected="0">
            <x v="6"/>
          </reference>
          <reference field="6" count="1" selected="0">
            <x v="1"/>
          </reference>
          <reference field="7" count="1" selected="0">
            <x v="24"/>
          </reference>
          <reference field="8" count="1" selected="0">
            <x v="110"/>
          </reference>
          <reference field="15" count="2">
            <x v="115"/>
            <x v="324"/>
          </reference>
        </references>
      </pivotArea>
    </format>
    <format dxfId="4666">
      <pivotArea dataOnly="0" labelOnly="1" fieldPosition="0">
        <references count="5">
          <reference field="4" count="1" selected="0">
            <x v="6"/>
          </reference>
          <reference field="6" count="1" selected="0">
            <x v="1"/>
          </reference>
          <reference field="7" count="1" selected="0">
            <x v="24"/>
          </reference>
          <reference field="8" count="1" selected="0">
            <x v="111"/>
          </reference>
          <reference field="15" count="1">
            <x v="326"/>
          </reference>
        </references>
      </pivotArea>
    </format>
    <format dxfId="4665">
      <pivotArea dataOnly="0" labelOnly="1" fieldPosition="0">
        <references count="5">
          <reference field="4" count="1" selected="0">
            <x v="6"/>
          </reference>
          <reference field="6" count="1" selected="0">
            <x v="1"/>
          </reference>
          <reference field="7" count="1" selected="0">
            <x v="24"/>
          </reference>
          <reference field="8" count="1" selected="0">
            <x v="112"/>
          </reference>
          <reference field="15" count="5">
            <x v="80"/>
            <x v="120"/>
            <x v="121"/>
            <x v="122"/>
            <x v="135"/>
          </reference>
        </references>
      </pivotArea>
    </format>
    <format dxfId="4664">
      <pivotArea dataOnly="0" labelOnly="1" fieldPosition="0">
        <references count="5">
          <reference field="4" count="1" selected="0">
            <x v="6"/>
          </reference>
          <reference field="6" count="1" selected="0">
            <x v="1"/>
          </reference>
          <reference field="7" count="1" selected="0">
            <x v="24"/>
          </reference>
          <reference field="8" count="1" selected="0">
            <x v="113"/>
          </reference>
          <reference field="15" count="3">
            <x v="67"/>
            <x v="84"/>
            <x v="166"/>
          </reference>
        </references>
      </pivotArea>
    </format>
    <format dxfId="4663">
      <pivotArea dataOnly="0" labelOnly="1" fieldPosition="0">
        <references count="5">
          <reference field="4" count="1" selected="0">
            <x v="7"/>
          </reference>
          <reference field="6" count="1" selected="0">
            <x v="0"/>
          </reference>
          <reference field="7" count="1" selected="0">
            <x v="16"/>
          </reference>
          <reference field="8" count="1" selected="0">
            <x v="64"/>
          </reference>
          <reference field="15" count="3">
            <x v="274"/>
            <x v="278"/>
            <x v="325"/>
          </reference>
        </references>
      </pivotArea>
    </format>
    <format dxfId="4662">
      <pivotArea dataOnly="0" labelOnly="1" fieldPosition="0">
        <references count="5">
          <reference field="4" count="1" selected="0">
            <x v="7"/>
          </reference>
          <reference field="6" count="1" selected="0">
            <x v="2"/>
          </reference>
          <reference field="7" count="1" selected="0">
            <x v="29"/>
          </reference>
          <reference field="8" count="1" selected="0">
            <x v="140"/>
          </reference>
          <reference field="15" count="1">
            <x v="53"/>
          </reference>
        </references>
      </pivotArea>
    </format>
    <format dxfId="4661">
      <pivotArea dataOnly="0" labelOnly="1" fieldPosition="0">
        <references count="5">
          <reference field="4" count="1" selected="0">
            <x v="7"/>
          </reference>
          <reference field="6" count="1" selected="0">
            <x v="2"/>
          </reference>
          <reference field="7" count="1" selected="0">
            <x v="29"/>
          </reference>
          <reference field="8" count="1" selected="0">
            <x v="141"/>
          </reference>
          <reference field="15" count="1">
            <x v="279"/>
          </reference>
        </references>
      </pivotArea>
    </format>
    <format dxfId="4660">
      <pivotArea dataOnly="0" labelOnly="1" fieldPosition="0">
        <references count="5">
          <reference field="4" count="1" selected="0">
            <x v="7"/>
          </reference>
          <reference field="6" count="1" selected="0">
            <x v="2"/>
          </reference>
          <reference field="7" count="1" selected="0">
            <x v="29"/>
          </reference>
          <reference field="8" count="1" selected="0">
            <x v="144"/>
          </reference>
          <reference field="15" count="1">
            <x v="52"/>
          </reference>
        </references>
      </pivotArea>
    </format>
    <format dxfId="4659">
      <pivotArea dataOnly="0" labelOnly="1" fieldPosition="0">
        <references count="5">
          <reference field="4" count="1" selected="0">
            <x v="7"/>
          </reference>
          <reference field="6" count="1" selected="0">
            <x v="2"/>
          </reference>
          <reference field="7" count="1" selected="0">
            <x v="29"/>
          </reference>
          <reference field="8" count="1" selected="0">
            <x v="145"/>
          </reference>
          <reference field="15" count="1">
            <x v="51"/>
          </reference>
        </references>
      </pivotArea>
    </format>
    <format dxfId="4658">
      <pivotArea dataOnly="0" labelOnly="1" fieldPosition="0">
        <references count="5">
          <reference field="4" count="1" selected="0">
            <x v="7"/>
          </reference>
          <reference field="6" count="1" selected="0">
            <x v="2"/>
          </reference>
          <reference field="7" count="1" selected="0">
            <x v="30"/>
          </reference>
          <reference field="8" count="1" selected="0">
            <x v="154"/>
          </reference>
          <reference field="15" count="1">
            <x v="275"/>
          </reference>
        </references>
      </pivotArea>
    </format>
    <format dxfId="4657">
      <pivotArea dataOnly="0" labelOnly="1" fieldPosition="0">
        <references count="5">
          <reference field="4" count="1" selected="0">
            <x v="7"/>
          </reference>
          <reference field="6" count="1" selected="0">
            <x v="3"/>
          </reference>
          <reference field="7" count="1" selected="0">
            <x v="6"/>
          </reference>
          <reference field="8" count="1" selected="0">
            <x v="28"/>
          </reference>
          <reference field="15" count="3">
            <x v="318"/>
            <x v="319"/>
            <x v="320"/>
          </reference>
        </references>
      </pivotArea>
    </format>
    <format dxfId="4656">
      <pivotArea dataOnly="0" labelOnly="1" fieldPosition="0">
        <references count="5">
          <reference field="4" count="1" selected="0">
            <x v="7"/>
          </reference>
          <reference field="6" count="1" selected="0">
            <x v="4"/>
          </reference>
          <reference field="7" count="1" selected="0">
            <x v="8"/>
          </reference>
          <reference field="8" count="1" selected="0">
            <x v="35"/>
          </reference>
          <reference field="15" count="1">
            <x v="337"/>
          </reference>
        </references>
      </pivotArea>
    </format>
    <format dxfId="4655">
      <pivotArea dataOnly="0" labelOnly="1" fieldPosition="0">
        <references count="5">
          <reference field="4" count="1" selected="0">
            <x v="7"/>
          </reference>
          <reference field="6" count="1" selected="0">
            <x v="4"/>
          </reference>
          <reference field="7" count="1" selected="0">
            <x v="8"/>
          </reference>
          <reference field="8" count="1" selected="0">
            <x v="36"/>
          </reference>
          <reference field="15" count="1">
            <x v="280"/>
          </reference>
        </references>
      </pivotArea>
    </format>
    <format dxfId="4654">
      <pivotArea dataOnly="0" labelOnly="1" fieldPosition="0">
        <references count="5">
          <reference field="4" count="1" selected="0">
            <x v="7"/>
          </reference>
          <reference field="6" count="1" selected="0">
            <x v="4"/>
          </reference>
          <reference field="7" count="1" selected="0">
            <x v="9"/>
          </reference>
          <reference field="8" count="1" selected="0">
            <x v="40"/>
          </reference>
          <reference field="15" count="3">
            <x v="311"/>
            <x v="312"/>
            <x v="334"/>
          </reference>
        </references>
      </pivotArea>
    </format>
    <format dxfId="4653">
      <pivotArea dataOnly="0" labelOnly="1" fieldPosition="0">
        <references count="5">
          <reference field="4" count="1" selected="0">
            <x v="7"/>
          </reference>
          <reference field="6" count="1" selected="0">
            <x v="4"/>
          </reference>
          <reference field="7" count="1" selected="0">
            <x v="9"/>
          </reference>
          <reference field="8" count="1" selected="0">
            <x v="41"/>
          </reference>
          <reference field="15" count="1">
            <x v="328"/>
          </reference>
        </references>
      </pivotArea>
    </format>
    <format dxfId="4652">
      <pivotArea dataOnly="0" labelOnly="1" fieldPosition="0">
        <references count="5">
          <reference field="4" count="1" selected="0">
            <x v="7"/>
          </reference>
          <reference field="6" count="1" selected="0">
            <x v="4"/>
          </reference>
          <reference field="7" count="1" selected="0">
            <x v="9"/>
          </reference>
          <reference field="8" count="1" selected="0">
            <x v="42"/>
          </reference>
          <reference field="15" count="1">
            <x v="329"/>
          </reference>
        </references>
      </pivotArea>
    </format>
    <format dxfId="4651">
      <pivotArea dataOnly="0" labelOnly="1" fieldPosition="0">
        <references count="5">
          <reference field="4" count="1" selected="0">
            <x v="7"/>
          </reference>
          <reference field="6" count="1" selected="0">
            <x v="4"/>
          </reference>
          <reference field="7" count="1" selected="0">
            <x v="9"/>
          </reference>
          <reference field="8" count="1" selected="0">
            <x v="43"/>
          </reference>
          <reference field="15" count="1">
            <x v="321"/>
          </reference>
        </references>
      </pivotArea>
    </format>
    <format dxfId="4650">
      <pivotArea dataOnly="0" labelOnly="1" fieldPosition="0">
        <references count="5">
          <reference field="4" count="1" selected="0">
            <x v="7"/>
          </reference>
          <reference field="6" count="1" selected="0">
            <x v="4"/>
          </reference>
          <reference field="7" count="1" selected="0">
            <x v="10"/>
          </reference>
          <reference field="8" count="1" selected="0">
            <x v="44"/>
          </reference>
          <reference field="15" count="2">
            <x v="57"/>
            <x v="58"/>
          </reference>
        </references>
      </pivotArea>
    </format>
    <format dxfId="4649">
      <pivotArea dataOnly="0" labelOnly="1" fieldPosition="0">
        <references count="5">
          <reference field="4" count="1" selected="0">
            <x v="7"/>
          </reference>
          <reference field="6" count="1" selected="0">
            <x v="4"/>
          </reference>
          <reference field="7" count="1" selected="0">
            <x v="10"/>
          </reference>
          <reference field="8" count="1" selected="0">
            <x v="45"/>
          </reference>
          <reference field="15" count="1">
            <x v="55"/>
          </reference>
        </references>
      </pivotArea>
    </format>
    <format dxfId="4648">
      <pivotArea dataOnly="0" labelOnly="1" fieldPosition="0">
        <references count="5">
          <reference field="4" count="1" selected="0">
            <x v="7"/>
          </reference>
          <reference field="6" count="1" selected="0">
            <x v="4"/>
          </reference>
          <reference field="7" count="1" selected="0">
            <x v="10"/>
          </reference>
          <reference field="8" count="1" selected="0">
            <x v="46"/>
          </reference>
          <reference field="15" count="1">
            <x v="59"/>
          </reference>
        </references>
      </pivotArea>
    </format>
    <format dxfId="4647">
      <pivotArea dataOnly="0" labelOnly="1" fieldPosition="0">
        <references count="5">
          <reference field="4" count="1" selected="0">
            <x v="7"/>
          </reference>
          <reference field="6" count="1" selected="0">
            <x v="4"/>
          </reference>
          <reference field="7" count="1" selected="0">
            <x v="10"/>
          </reference>
          <reference field="8" count="1" selected="0">
            <x v="47"/>
          </reference>
          <reference field="15" count="1">
            <x v="54"/>
          </reference>
        </references>
      </pivotArea>
    </format>
    <format dxfId="4646">
      <pivotArea dataOnly="0" labelOnly="1" fieldPosition="0">
        <references count="5">
          <reference field="4" count="1" selected="0">
            <x v="7"/>
          </reference>
          <reference field="6" count="1" selected="0">
            <x v="4"/>
          </reference>
          <reference field="7" count="1" selected="0">
            <x v="11"/>
          </reference>
          <reference field="8" count="1" selected="0">
            <x v="48"/>
          </reference>
          <reference field="15" count="1">
            <x v="88"/>
          </reference>
        </references>
      </pivotArea>
    </format>
    <format dxfId="4645">
      <pivotArea dataOnly="0" labelOnly="1" fieldPosition="0">
        <references count="5">
          <reference field="4" count="1" selected="0">
            <x v="7"/>
          </reference>
          <reference field="6" count="1" selected="0">
            <x v="4"/>
          </reference>
          <reference field="7" count="1" selected="0">
            <x v="11"/>
          </reference>
          <reference field="8" count="1" selected="0">
            <x v="49"/>
          </reference>
          <reference field="15" count="1">
            <x v="86"/>
          </reference>
        </references>
      </pivotArea>
    </format>
    <format dxfId="4644">
      <pivotArea dataOnly="0" labelOnly="1" fieldPosition="0">
        <references count="5">
          <reference field="4" count="1" selected="0">
            <x v="7"/>
          </reference>
          <reference field="6" count="1" selected="0">
            <x v="4"/>
          </reference>
          <reference field="7" count="1" selected="0">
            <x v="12"/>
          </reference>
          <reference field="8" count="1" selected="0">
            <x v="50"/>
          </reference>
          <reference field="15" count="3">
            <x v="64"/>
            <x v="65"/>
            <x v="136"/>
          </reference>
        </references>
      </pivotArea>
    </format>
    <format dxfId="4643">
      <pivotArea dataOnly="0" labelOnly="1" fieldPosition="0">
        <references count="5">
          <reference field="4" count="1" selected="0">
            <x v="7"/>
          </reference>
          <reference field="6" count="1" selected="0">
            <x v="4"/>
          </reference>
          <reference field="7" count="1" selected="0">
            <x v="13"/>
          </reference>
          <reference field="8" count="1" selected="0">
            <x v="51"/>
          </reference>
          <reference field="15" count="1">
            <x v="307"/>
          </reference>
        </references>
      </pivotArea>
    </format>
    <format dxfId="4642">
      <pivotArea dataOnly="0" labelOnly="1" fieldPosition="0">
        <references count="5">
          <reference field="4" count="1" selected="0">
            <x v="7"/>
          </reference>
          <reference field="6" count="1" selected="0">
            <x v="4"/>
          </reference>
          <reference field="7" count="1" selected="0">
            <x v="13"/>
          </reference>
          <reference field="8" count="1" selected="0">
            <x v="52"/>
          </reference>
          <reference field="15" count="1">
            <x v="309"/>
          </reference>
        </references>
      </pivotArea>
    </format>
    <format dxfId="4641">
      <pivotArea dataOnly="0" labelOnly="1" fieldPosition="0">
        <references count="5">
          <reference field="4" count="1" selected="0">
            <x v="7"/>
          </reference>
          <reference field="6" count="1" selected="0">
            <x v="4"/>
          </reference>
          <reference field="7" count="1" selected="0">
            <x v="13"/>
          </reference>
          <reference field="8" count="1" selected="0">
            <x v="53"/>
          </reference>
          <reference field="15" count="1">
            <x v="308"/>
          </reference>
        </references>
      </pivotArea>
    </format>
    <format dxfId="4640">
      <pivotArea dataOnly="0" labelOnly="1" fieldPosition="0">
        <references count="5">
          <reference field="4" count="1" selected="0">
            <x v="7"/>
          </reference>
          <reference field="6" count="1" selected="0">
            <x v="4"/>
          </reference>
          <reference field="7" count="1" selected="0">
            <x v="14"/>
          </reference>
          <reference field="8" count="1" selected="0">
            <x v="54"/>
          </reference>
          <reference field="15" count="1">
            <x v="281"/>
          </reference>
        </references>
      </pivotArea>
    </format>
    <format dxfId="4639">
      <pivotArea dataOnly="0" labelOnly="1" fieldPosition="0">
        <references count="5">
          <reference field="4" count="1" selected="0">
            <x v="7"/>
          </reference>
          <reference field="6" count="1" selected="0">
            <x v="4"/>
          </reference>
          <reference field="7" count="1" selected="0">
            <x v="14"/>
          </reference>
          <reference field="8" count="1" selected="0">
            <x v="55"/>
          </reference>
          <reference field="15" count="1">
            <x v="138"/>
          </reference>
        </references>
      </pivotArea>
    </format>
    <format dxfId="4638">
      <pivotArea dataOnly="0" labelOnly="1" fieldPosition="0">
        <references count="5">
          <reference field="4" count="1" selected="0">
            <x v="7"/>
          </reference>
          <reference field="6" count="1" selected="0">
            <x v="4"/>
          </reference>
          <reference field="7" count="1" selected="0">
            <x v="15"/>
          </reference>
          <reference field="8" count="1" selected="0">
            <x v="56"/>
          </reference>
          <reference field="15" count="2">
            <x v="335"/>
            <x v="336"/>
          </reference>
        </references>
      </pivotArea>
    </format>
    <format dxfId="4637">
      <pivotArea dataOnly="0" labelOnly="1" fieldPosition="0">
        <references count="5">
          <reference field="4" count="1" selected="0">
            <x v="8"/>
          </reference>
          <reference field="6" count="1" selected="0">
            <x v="0"/>
          </reference>
          <reference field="7" count="1" selected="0">
            <x v="18"/>
          </reference>
          <reference field="8" count="1" selected="0">
            <x v="77"/>
          </reference>
          <reference field="15" count="1">
            <x v="290"/>
          </reference>
        </references>
      </pivotArea>
    </format>
    <format dxfId="4636">
      <pivotArea dataOnly="0" labelOnly="1" fieldPosition="0">
        <references count="5">
          <reference field="4" count="1" selected="0">
            <x v="8"/>
          </reference>
          <reference field="6" count="1" selected="0">
            <x v="0"/>
          </reference>
          <reference field="7" count="1" selected="0">
            <x v="22"/>
          </reference>
          <reference field="8" count="1" selected="0">
            <x v="92"/>
          </reference>
          <reference field="15" count="4">
            <x v="130"/>
            <x v="359"/>
            <x v="360"/>
            <x v="361"/>
          </reference>
        </references>
      </pivotArea>
    </format>
    <format dxfId="4635">
      <pivotArea dataOnly="0" labelOnly="1" fieldPosition="0">
        <references count="5">
          <reference field="4" count="1" selected="0">
            <x v="8"/>
          </reference>
          <reference field="6" count="1" selected="0">
            <x v="0"/>
          </reference>
          <reference field="7" count="1" selected="0">
            <x v="22"/>
          </reference>
          <reference field="8" count="1" selected="0">
            <x v="93"/>
          </reference>
          <reference field="15" count="1">
            <x v="369"/>
          </reference>
        </references>
      </pivotArea>
    </format>
    <format dxfId="4634">
      <pivotArea dataOnly="0" labelOnly="1" fieldPosition="0">
        <references count="5">
          <reference field="4" count="1" selected="0">
            <x v="8"/>
          </reference>
          <reference field="6" count="1" selected="0">
            <x v="0"/>
          </reference>
          <reference field="7" count="1" selected="0">
            <x v="22"/>
          </reference>
          <reference field="8" count="1" selected="0">
            <x v="94"/>
          </reference>
          <reference field="15" count="1">
            <x v="273"/>
          </reference>
        </references>
      </pivotArea>
    </format>
    <format dxfId="4633">
      <pivotArea dataOnly="0" labelOnly="1" fieldPosition="0">
        <references count="5">
          <reference field="4" count="1" selected="0">
            <x v="8"/>
          </reference>
          <reference field="6" count="1" selected="0">
            <x v="1"/>
          </reference>
          <reference field="7" count="1" selected="0">
            <x v="28"/>
          </reference>
          <reference field="8" count="1" selected="0">
            <x v="138"/>
          </reference>
          <reference field="15" count="3">
            <x v="270"/>
            <x v="343"/>
            <x v="355"/>
          </reference>
        </references>
      </pivotArea>
    </format>
    <format dxfId="4632">
      <pivotArea dataOnly="0" labelOnly="1" fieldPosition="0">
        <references count="5">
          <reference field="4" count="1" selected="0">
            <x v="8"/>
          </reference>
          <reference field="6" count="1" selected="0">
            <x v="1"/>
          </reference>
          <reference field="7" count="1" selected="0">
            <x v="28"/>
          </reference>
          <reference field="8" count="1" selected="0">
            <x v="139"/>
          </reference>
          <reference field="15" count="1">
            <x v="147"/>
          </reference>
        </references>
      </pivotArea>
    </format>
    <format dxfId="4631">
      <pivotArea dataOnly="0" labelOnly="1" fieldPosition="0">
        <references count="5">
          <reference field="4" count="1" selected="0">
            <x v="8"/>
          </reference>
          <reference field="6" count="1" selected="0">
            <x v="2"/>
          </reference>
          <reference field="7" count="1" selected="0">
            <x v="32"/>
          </reference>
          <reference field="8" count="1" selected="0">
            <x v="158"/>
          </reference>
          <reference field="15" count="1">
            <x v="344"/>
          </reference>
        </references>
      </pivotArea>
    </format>
    <format dxfId="4630">
      <pivotArea dataOnly="0" labelOnly="1" fieldPosition="0">
        <references count="5">
          <reference field="4" count="1" selected="0">
            <x v="8"/>
          </reference>
          <reference field="6" count="1" selected="0">
            <x v="2"/>
          </reference>
          <reference field="7" count="1" selected="0">
            <x v="32"/>
          </reference>
          <reference field="8" count="1" selected="0">
            <x v="159"/>
          </reference>
          <reference field="15" count="1">
            <x v="137"/>
          </reference>
        </references>
      </pivotArea>
    </format>
    <format dxfId="4629">
      <pivotArea dataOnly="0" labelOnly="1" fieldPosition="0">
        <references count="5">
          <reference field="4" count="1" selected="0">
            <x v="8"/>
          </reference>
          <reference field="6" count="1" selected="0">
            <x v="3"/>
          </reference>
          <reference field="7" count="1" selected="0">
            <x v="6"/>
          </reference>
          <reference field="8" count="1" selected="0">
            <x v="29"/>
          </reference>
          <reference field="15" count="4">
            <x v="145"/>
            <x v="146"/>
            <x v="356"/>
            <x v="357"/>
          </reference>
        </references>
      </pivotArea>
    </format>
    <format dxfId="4628">
      <pivotArea dataOnly="0" labelOnly="1" fieldPosition="0">
        <references count="5">
          <reference field="4" count="1" selected="0">
            <x v="8"/>
          </reference>
          <reference field="6" count="1" selected="0">
            <x v="3"/>
          </reference>
          <reference field="7" count="1" selected="0">
            <x v="6"/>
          </reference>
          <reference field="8" count="1" selected="0">
            <x v="30"/>
          </reference>
          <reference field="15" count="2">
            <x v="267"/>
            <x v="268"/>
          </reference>
        </references>
      </pivotArea>
    </format>
    <format dxfId="4627">
      <pivotArea dataOnly="0" labelOnly="1" fieldPosition="0">
        <references count="5">
          <reference field="4" count="1" selected="0">
            <x v="9"/>
          </reference>
          <reference field="6" count="1" selected="0">
            <x v="1"/>
          </reference>
          <reference field="7" count="1" selected="0">
            <x v="25"/>
          </reference>
          <reference field="8" count="1" selected="0">
            <x v="115"/>
          </reference>
          <reference field="15" count="13">
            <x v="35"/>
            <x v="36"/>
            <x v="63"/>
            <x v="72"/>
            <x v="77"/>
            <x v="238"/>
            <x v="241"/>
            <x v="242"/>
            <x v="243"/>
            <x v="247"/>
            <x v="248"/>
            <x v="260"/>
            <x v="262"/>
          </reference>
        </references>
      </pivotArea>
    </format>
    <format dxfId="4626">
      <pivotArea dataOnly="0" labelOnly="1" fieldPosition="0">
        <references count="5">
          <reference field="4" count="1" selected="0">
            <x v="9"/>
          </reference>
          <reference field="6" count="1" selected="0">
            <x v="1"/>
          </reference>
          <reference field="7" count="1" selected="0">
            <x v="25"/>
          </reference>
          <reference field="8" count="1" selected="0">
            <x v="116"/>
          </reference>
          <reference field="15" count="1">
            <x v="61"/>
          </reference>
        </references>
      </pivotArea>
    </format>
    <format dxfId="4625">
      <pivotArea dataOnly="0" labelOnly="1" fieldPosition="0">
        <references count="5">
          <reference field="4" count="1" selected="0">
            <x v="9"/>
          </reference>
          <reference field="6" count="1" selected="0">
            <x v="1"/>
          </reference>
          <reference field="7" count="1" selected="0">
            <x v="25"/>
          </reference>
          <reference field="8" count="1" selected="0">
            <x v="117"/>
          </reference>
          <reference field="15" count="2">
            <x v="92"/>
            <x v="249"/>
          </reference>
        </references>
      </pivotArea>
    </format>
    <format dxfId="4624">
      <pivotArea dataOnly="0" labelOnly="1" fieldPosition="0">
        <references count="5">
          <reference field="4" count="1" selected="0">
            <x v="9"/>
          </reference>
          <reference field="6" count="1" selected="0">
            <x v="1"/>
          </reference>
          <reference field="7" count="1" selected="0">
            <x v="25"/>
          </reference>
          <reference field="8" count="1" selected="0">
            <x v="118"/>
          </reference>
          <reference field="15" count="3">
            <x v="71"/>
            <x v="87"/>
            <x v="91"/>
          </reference>
        </references>
      </pivotArea>
    </format>
    <format dxfId="4623">
      <pivotArea dataOnly="0" labelOnly="1" fieldPosition="0">
        <references count="5">
          <reference field="4" count="1" selected="0">
            <x v="9"/>
          </reference>
          <reference field="6" count="1" selected="0">
            <x v="1"/>
          </reference>
          <reference field="7" count="1" selected="0">
            <x v="25"/>
          </reference>
          <reference field="8" count="1" selected="0">
            <x v="119"/>
          </reference>
          <reference field="15" count="4">
            <x v="62"/>
            <x v="68"/>
            <x v="69"/>
            <x v="70"/>
          </reference>
        </references>
      </pivotArea>
    </format>
    <format dxfId="4622">
      <pivotArea dataOnly="0" labelOnly="1" fieldPosition="0">
        <references count="5">
          <reference field="4" count="1" selected="0">
            <x v="9"/>
          </reference>
          <reference field="6" count="1" selected="0">
            <x v="1"/>
          </reference>
          <reference field="7" count="1" selected="0">
            <x v="25"/>
          </reference>
          <reference field="8" count="1" selected="0">
            <x v="120"/>
          </reference>
          <reference field="15" count="1">
            <x v="85"/>
          </reference>
        </references>
      </pivotArea>
    </format>
    <format dxfId="4621">
      <pivotArea dataOnly="0" labelOnly="1" fieldPosition="0">
        <references count="5">
          <reference field="4" count="1" selected="0">
            <x v="9"/>
          </reference>
          <reference field="6" count="1" selected="0">
            <x v="1"/>
          </reference>
          <reference field="7" count="1" selected="0">
            <x v="25"/>
          </reference>
          <reference field="8" count="1" selected="0">
            <x v="121"/>
          </reference>
          <reference field="15" count="2">
            <x v="41"/>
            <x v="78"/>
          </reference>
        </references>
      </pivotArea>
    </format>
    <format dxfId="4620">
      <pivotArea dataOnly="0" labelOnly="1" fieldPosition="0">
        <references count="5">
          <reference field="4" count="1" selected="0">
            <x v="9"/>
          </reference>
          <reference field="6" count="1" selected="0">
            <x v="1"/>
          </reference>
          <reference field="7" count="1" selected="0">
            <x v="25"/>
          </reference>
          <reference field="8" count="1" selected="0">
            <x v="122"/>
          </reference>
          <reference field="15" count="2">
            <x v="38"/>
            <x v="39"/>
          </reference>
        </references>
      </pivotArea>
    </format>
    <format dxfId="4619">
      <pivotArea dataOnly="0" labelOnly="1" fieldPosition="0">
        <references count="5">
          <reference field="4" count="1" selected="0">
            <x v="9"/>
          </reference>
          <reference field="6" count="1" selected="0">
            <x v="1"/>
          </reference>
          <reference field="7" count="1" selected="0">
            <x v="25"/>
          </reference>
          <reference field="8" count="1" selected="0">
            <x v="123"/>
          </reference>
          <reference field="15" count="7">
            <x v="32"/>
            <x v="33"/>
            <x v="60"/>
            <x v="82"/>
            <x v="83"/>
            <x v="89"/>
            <x v="90"/>
          </reference>
        </references>
      </pivotArea>
    </format>
    <format dxfId="4618">
      <pivotArea dataOnly="0" labelOnly="1" fieldPosition="0">
        <references count="5">
          <reference field="4" count="1" selected="0">
            <x v="9"/>
          </reference>
          <reference field="6" count="1" selected="0">
            <x v="1"/>
          </reference>
          <reference field="7" count="1" selected="0">
            <x v="25"/>
          </reference>
          <reference field="8" count="1" selected="0">
            <x v="124"/>
          </reference>
          <reference field="15" count="1">
            <x v="261"/>
          </reference>
        </references>
      </pivotArea>
    </format>
    <format dxfId="4617">
      <pivotArea dataOnly="0" labelOnly="1" fieldPosition="0">
        <references count="5">
          <reference field="4" count="1" selected="0">
            <x v="10"/>
          </reference>
          <reference field="6" count="1" selected="0">
            <x v="3"/>
          </reference>
          <reference field="7" count="1" selected="0">
            <x v="6"/>
          </reference>
          <reference field="8" count="1" selected="0">
            <x v="29"/>
          </reference>
          <reference field="15" count="21">
            <x v="2"/>
            <x v="3"/>
            <x v="5"/>
            <x v="152"/>
            <x v="153"/>
            <x v="154"/>
            <x v="155"/>
            <x v="156"/>
            <x v="157"/>
            <x v="158"/>
            <x v="159"/>
            <x v="160"/>
            <x v="161"/>
            <x v="162"/>
            <x v="163"/>
            <x v="189"/>
            <x v="190"/>
            <x v="191"/>
            <x v="192"/>
            <x v="193"/>
            <x v="395"/>
          </reference>
        </references>
      </pivotArea>
    </format>
    <format dxfId="4616">
      <pivotArea dataOnly="0" labelOnly="1" fieldPosition="0">
        <references count="5">
          <reference field="4" count="1" selected="0">
            <x v="11"/>
          </reference>
          <reference field="6" count="1" selected="0">
            <x v="0"/>
          </reference>
          <reference field="7" count="1" selected="0">
            <x v="17"/>
          </reference>
          <reference field="8" count="1" selected="0">
            <x v="70"/>
          </reference>
          <reference field="15" count="4">
            <x v="345"/>
            <x v="346"/>
            <x v="347"/>
            <x v="351"/>
          </reference>
        </references>
      </pivotArea>
    </format>
    <format dxfId="4615">
      <pivotArea dataOnly="0" labelOnly="1" fieldPosition="0">
        <references count="5">
          <reference field="4" count="1" selected="0">
            <x v="11"/>
          </reference>
          <reference field="6" count="1" selected="0">
            <x v="0"/>
          </reference>
          <reference field="7" count="1" selected="0">
            <x v="17"/>
          </reference>
          <reference field="8" count="1" selected="0">
            <x v="71"/>
          </reference>
          <reference field="15" count="3">
            <x v="348"/>
            <x v="352"/>
            <x v="353"/>
          </reference>
        </references>
      </pivotArea>
    </format>
    <format dxfId="4614">
      <pivotArea dataOnly="0" labelOnly="1" fieldPosition="0">
        <references count="5">
          <reference field="4" count="1" selected="0">
            <x v="11"/>
          </reference>
          <reference field="6" count="1" selected="0">
            <x v="0"/>
          </reference>
          <reference field="7" count="1" selected="0">
            <x v="17"/>
          </reference>
          <reference field="8" count="1" selected="0">
            <x v="72"/>
          </reference>
          <reference field="15" count="3">
            <x v="143"/>
            <x v="349"/>
            <x v="350"/>
          </reference>
        </references>
      </pivotArea>
    </format>
    <format dxfId="4613">
      <pivotArea dataOnly="0" labelOnly="1" fieldPosition="0">
        <references count="5">
          <reference field="4" count="1" selected="0">
            <x v="12"/>
          </reference>
          <reference field="6" count="1" selected="0">
            <x v="0"/>
          </reference>
          <reference field="7" count="1" selected="0">
            <x v="18"/>
          </reference>
          <reference field="8" count="1" selected="0">
            <x v="74"/>
          </reference>
          <reference field="15" count="2">
            <x v="113"/>
            <x v="114"/>
          </reference>
        </references>
      </pivotArea>
    </format>
    <format dxfId="4612">
      <pivotArea dataOnly="0" labelOnly="1" fieldPosition="0">
        <references count="5">
          <reference field="4" count="1" selected="0">
            <x v="12"/>
          </reference>
          <reference field="6" count="1" selected="0">
            <x v="0"/>
          </reference>
          <reference field="7" count="1" selected="0">
            <x v="18"/>
          </reference>
          <reference field="8" count="1" selected="0">
            <x v="75"/>
          </reference>
          <reference field="15" count="1">
            <x v="116"/>
          </reference>
        </references>
      </pivotArea>
    </format>
    <format dxfId="4611">
      <pivotArea dataOnly="0" labelOnly="1" fieldPosition="0">
        <references count="5">
          <reference field="4" count="1" selected="0">
            <x v="12"/>
          </reference>
          <reference field="6" count="1" selected="0">
            <x v="0"/>
          </reference>
          <reference field="7" count="1" selected="0">
            <x v="18"/>
          </reference>
          <reference field="8" count="1" selected="0">
            <x v="76"/>
          </reference>
          <reference field="15" count="1">
            <x v="244"/>
          </reference>
        </references>
      </pivotArea>
    </format>
    <format dxfId="4610">
      <pivotArea dataOnly="0" labelOnly="1" fieldPosition="0">
        <references count="5">
          <reference field="4" count="1" selected="0">
            <x v="13"/>
          </reference>
          <reference field="6" count="1" selected="0">
            <x v="3"/>
          </reference>
          <reference field="7" count="1" selected="0">
            <x v="1"/>
          </reference>
          <reference field="8" count="1" selected="0">
            <x v="6"/>
          </reference>
          <reference field="15" count="1">
            <x v="340"/>
          </reference>
        </references>
      </pivotArea>
    </format>
    <format dxfId="4609">
      <pivotArea dataOnly="0" labelOnly="1" fieldPosition="0">
        <references count="5">
          <reference field="4" count="1" selected="0">
            <x v="13"/>
          </reference>
          <reference field="6" count="1" selected="0">
            <x v="3"/>
          </reference>
          <reference field="7" count="1" selected="0">
            <x v="5"/>
          </reference>
          <reference field="8" count="1" selected="0">
            <x v="22"/>
          </reference>
          <reference field="15" count="1">
            <x v="333"/>
          </reference>
        </references>
      </pivotArea>
    </format>
    <format dxfId="4608">
      <pivotArea dataOnly="0" labelOnly="1" fieldPosition="0">
        <references count="5">
          <reference field="4" count="1" selected="0">
            <x v="13"/>
          </reference>
          <reference field="6" count="1" selected="0">
            <x v="3"/>
          </reference>
          <reference field="7" count="1" selected="0">
            <x v="5"/>
          </reference>
          <reference field="8" count="1" selected="0">
            <x v="23"/>
          </reference>
          <reference field="15" count="1">
            <x v="332"/>
          </reference>
        </references>
      </pivotArea>
    </format>
    <format dxfId="4607">
      <pivotArea dataOnly="0" labelOnly="1" fieldPosition="0">
        <references count="5">
          <reference field="4" count="1" selected="0">
            <x v="13"/>
          </reference>
          <reference field="6" count="1" selected="0">
            <x v="3"/>
          </reference>
          <reference field="7" count="1" selected="0">
            <x v="5"/>
          </reference>
          <reference field="8" count="1" selected="0">
            <x v="24"/>
          </reference>
          <reference field="15" count="1">
            <x v="339"/>
          </reference>
        </references>
      </pivotArea>
    </format>
    <format dxfId="4606">
      <pivotArea dataOnly="0" labelOnly="1" fieldPosition="0">
        <references count="5">
          <reference field="4" count="1" selected="0">
            <x v="13"/>
          </reference>
          <reference field="6" count="1" selected="0">
            <x v="3"/>
          </reference>
          <reference field="7" count="1" selected="0">
            <x v="5"/>
          </reference>
          <reference field="8" count="1" selected="0">
            <x v="25"/>
          </reference>
          <reference field="15" count="1">
            <x v="342"/>
          </reference>
        </references>
      </pivotArea>
    </format>
    <format dxfId="4605">
      <pivotArea dataOnly="0" labelOnly="1" fieldPosition="0">
        <references count="5">
          <reference field="4" count="1" selected="0">
            <x v="13"/>
          </reference>
          <reference field="6" count="1" selected="0">
            <x v="3"/>
          </reference>
          <reference field="7" count="1" selected="0">
            <x v="5"/>
          </reference>
          <reference field="8" count="1" selected="0">
            <x v="26"/>
          </reference>
          <reference field="15" count="1">
            <x v="338"/>
          </reference>
        </references>
      </pivotArea>
    </format>
    <format dxfId="4604">
      <pivotArea dataOnly="0" labelOnly="1" fieldPosition="0">
        <references count="5">
          <reference field="4" count="1" selected="0">
            <x v="13"/>
          </reference>
          <reference field="6" count="1" selected="0">
            <x v="3"/>
          </reference>
          <reference field="7" count="1" selected="0">
            <x v="5"/>
          </reference>
          <reference field="8" count="1" selected="0">
            <x v="27"/>
          </reference>
          <reference field="15" count="1">
            <x v="341"/>
          </reference>
        </references>
      </pivotArea>
    </format>
    <format dxfId="4603">
      <pivotArea dataOnly="0" labelOnly="1" fieldPosition="0">
        <references count="5">
          <reference field="4" count="1" selected="0">
            <x v="14"/>
          </reference>
          <reference field="6" count="1" selected="0">
            <x v="1"/>
          </reference>
          <reference field="7" count="1" selected="0">
            <x v="26"/>
          </reference>
          <reference field="8" count="1" selected="0">
            <x v="125"/>
          </reference>
          <reference field="15" count="4">
            <x v="26"/>
            <x v="27"/>
            <x v="28"/>
            <x v="99"/>
          </reference>
        </references>
      </pivotArea>
    </format>
    <format dxfId="4602">
      <pivotArea dataOnly="0" labelOnly="1" fieldPosition="0">
        <references count="5">
          <reference field="4" count="1" selected="0">
            <x v="14"/>
          </reference>
          <reference field="6" count="1" selected="0">
            <x v="1"/>
          </reference>
          <reference field="7" count="1" selected="0">
            <x v="26"/>
          </reference>
          <reference field="8" count="1" selected="0">
            <x v="126"/>
          </reference>
          <reference field="15" count="1">
            <x v="19"/>
          </reference>
        </references>
      </pivotArea>
    </format>
    <format dxfId="4601">
      <pivotArea dataOnly="0" labelOnly="1" fieldPosition="0">
        <references count="5">
          <reference field="4" count="1" selected="0">
            <x v="14"/>
          </reference>
          <reference field="6" count="1" selected="0">
            <x v="1"/>
          </reference>
          <reference field="7" count="1" selected="0">
            <x v="26"/>
          </reference>
          <reference field="8" count="1" selected="0">
            <x v="127"/>
          </reference>
          <reference field="15" count="2">
            <x v="150"/>
            <x v="151"/>
          </reference>
        </references>
      </pivotArea>
    </format>
    <format dxfId="4600">
      <pivotArea dataOnly="0" labelOnly="1" fieldPosition="0">
        <references count="5">
          <reference field="4" count="1" selected="0">
            <x v="14"/>
          </reference>
          <reference field="6" count="1" selected="0">
            <x v="1"/>
          </reference>
          <reference field="7" count="1" selected="0">
            <x v="26"/>
          </reference>
          <reference field="8" count="1" selected="0">
            <x v="128"/>
          </reference>
          <reference field="15" count="2">
            <x v="29"/>
            <x v="30"/>
          </reference>
        </references>
      </pivotArea>
    </format>
    <format dxfId="4599">
      <pivotArea dataOnly="0" labelOnly="1" fieldPosition="0">
        <references count="5">
          <reference field="4" count="1" selected="0">
            <x v="14"/>
          </reference>
          <reference field="6" count="1" selected="0">
            <x v="1"/>
          </reference>
          <reference field="7" count="1" selected="0">
            <x v="26"/>
          </reference>
          <reference field="8" count="1" selected="0">
            <x v="129"/>
          </reference>
          <reference field="15" count="2">
            <x v="330"/>
            <x v="331"/>
          </reference>
        </references>
      </pivotArea>
    </format>
    <format dxfId="4598">
      <pivotArea dataOnly="0" labelOnly="1" fieldPosition="0">
        <references count="5">
          <reference field="4" count="1" selected="0">
            <x v="14"/>
          </reference>
          <reference field="6" count="1" selected="0">
            <x v="1"/>
          </reference>
          <reference field="7" count="1" selected="0">
            <x v="26"/>
          </reference>
          <reference field="8" count="1" selected="0">
            <x v="130"/>
          </reference>
          <reference field="15" count="2">
            <x v="367"/>
            <x v="368"/>
          </reference>
        </references>
      </pivotArea>
    </format>
    <format dxfId="4597">
      <pivotArea dataOnly="0" labelOnly="1" fieldPosition="0">
        <references count="5">
          <reference field="4" count="1" selected="0">
            <x v="14"/>
          </reference>
          <reference field="6" count="1" selected="0">
            <x v="1"/>
          </reference>
          <reference field="7" count="1" selected="0">
            <x v="26"/>
          </reference>
          <reference field="8" count="1" selected="0">
            <x v="131"/>
          </reference>
          <reference field="15" count="3">
            <x v="14"/>
            <x v="15"/>
            <x v="16"/>
          </reference>
        </references>
      </pivotArea>
    </format>
    <format dxfId="4596">
      <pivotArea dataOnly="0" labelOnly="1" fieldPosition="0">
        <references count="5">
          <reference field="4" count="1" selected="0">
            <x v="15"/>
          </reference>
          <reference field="6" count="1" selected="0">
            <x v="0"/>
          </reference>
          <reference field="7" count="1" selected="0">
            <x v="20"/>
          </reference>
          <reference field="8" count="1" selected="0">
            <x v="82"/>
          </reference>
          <reference field="15" count="2">
            <x v="73"/>
            <x v="74"/>
          </reference>
        </references>
      </pivotArea>
    </format>
    <format dxfId="4595">
      <pivotArea dataOnly="0" labelOnly="1" fieldPosition="0">
        <references count="5">
          <reference field="4" count="1" selected="0">
            <x v="15"/>
          </reference>
          <reference field="6" count="1" selected="0">
            <x v="0"/>
          </reference>
          <reference field="7" count="1" selected="0">
            <x v="20"/>
          </reference>
          <reference field="8" count="1" selected="0">
            <x v="83"/>
          </reference>
          <reference field="15" count="1">
            <x v="75"/>
          </reference>
        </references>
      </pivotArea>
    </format>
    <format dxfId="4594">
      <pivotArea dataOnly="0" labelOnly="1" fieldPosition="0">
        <references count="5">
          <reference field="4" count="1" selected="0">
            <x v="15"/>
          </reference>
          <reference field="6" count="1" selected="0">
            <x v="0"/>
          </reference>
          <reference field="7" count="1" selected="0">
            <x v="20"/>
          </reference>
          <reference field="8" count="1" selected="0">
            <x v="84"/>
          </reference>
          <reference field="15" count="1">
            <x v="76"/>
          </reference>
        </references>
      </pivotArea>
    </format>
    <format dxfId="4593">
      <pivotArea dataOnly="0" labelOnly="1" fieldPosition="0">
        <references count="5">
          <reference field="4" count="1" selected="0">
            <x v="15"/>
          </reference>
          <reference field="6" count="1" selected="0">
            <x v="0"/>
          </reference>
          <reference field="7" count="1" selected="0">
            <x v="20"/>
          </reference>
          <reference field="8" count="1" selected="0">
            <x v="85"/>
          </reference>
          <reference field="15" count="1">
            <x v="259"/>
          </reference>
        </references>
      </pivotArea>
    </format>
    <format dxfId="4592">
      <pivotArea dataOnly="0" labelOnly="1" fieldPosition="0">
        <references count="5">
          <reference field="4" count="1" selected="0">
            <x v="15"/>
          </reference>
          <reference field="6" count="1" selected="0">
            <x v="0"/>
          </reference>
          <reference field="7" count="1" selected="0">
            <x v="20"/>
          </reference>
          <reference field="8" count="1" selected="0">
            <x v="86"/>
          </reference>
          <reference field="15" count="3">
            <x v="132"/>
            <x v="133"/>
            <x v="134"/>
          </reference>
        </references>
      </pivotArea>
    </format>
    <format dxfId="4591">
      <pivotArea dataOnly="0" labelOnly="1" fieldPosition="0">
        <references count="5">
          <reference field="4" count="1" selected="0">
            <x v="16"/>
          </reference>
          <reference field="6" count="1" selected="0">
            <x v="1"/>
          </reference>
          <reference field="7" count="1" selected="0">
            <x v="27"/>
          </reference>
          <reference field="8" count="1" selected="0">
            <x v="132"/>
          </reference>
          <reference field="15" count="1">
            <x v="20"/>
          </reference>
        </references>
      </pivotArea>
    </format>
    <format dxfId="4590">
      <pivotArea dataOnly="0" labelOnly="1" fieldPosition="0">
        <references count="5">
          <reference field="4" count="1" selected="0">
            <x v="16"/>
          </reference>
          <reference field="6" count="1" selected="0">
            <x v="1"/>
          </reference>
          <reference field="7" count="1" selected="0">
            <x v="27"/>
          </reference>
          <reference field="8" count="1" selected="0">
            <x v="133"/>
          </reference>
          <reference field="15" count="3">
            <x v="21"/>
            <x v="22"/>
            <x v="23"/>
          </reference>
        </references>
      </pivotArea>
    </format>
    <format dxfId="4589">
      <pivotArea dataOnly="0" labelOnly="1" fieldPosition="0">
        <references count="5">
          <reference field="4" count="1" selected="0">
            <x v="16"/>
          </reference>
          <reference field="6" count="1" selected="0">
            <x v="1"/>
          </reference>
          <reference field="7" count="1" selected="0">
            <x v="27"/>
          </reference>
          <reference field="8" count="1" selected="0">
            <x v="134"/>
          </reference>
          <reference field="15" count="2">
            <x v="149"/>
            <x v="354"/>
          </reference>
        </references>
      </pivotArea>
    </format>
    <format dxfId="4588">
      <pivotArea dataOnly="0" labelOnly="1" fieldPosition="0">
        <references count="5">
          <reference field="4" count="1" selected="0">
            <x v="16"/>
          </reference>
          <reference field="6" count="1" selected="0">
            <x v="1"/>
          </reference>
          <reference field="7" count="1" selected="0">
            <x v="27"/>
          </reference>
          <reference field="8" count="1" selected="0">
            <x v="135"/>
          </reference>
          <reference field="15" count="2">
            <x v="109"/>
            <x v="363"/>
          </reference>
        </references>
      </pivotArea>
    </format>
    <format dxfId="4587">
      <pivotArea dataOnly="0" labelOnly="1" fieldPosition="0">
        <references count="5">
          <reference field="4" count="1" selected="0">
            <x v="16"/>
          </reference>
          <reference field="6" count="1" selected="0">
            <x v="1"/>
          </reference>
          <reference field="7" count="1" selected="0">
            <x v="27"/>
          </reference>
          <reference field="8" count="1" selected="0">
            <x v="136"/>
          </reference>
          <reference field="15" count="2">
            <x v="81"/>
            <x v="148"/>
          </reference>
        </references>
      </pivotArea>
    </format>
    <format dxfId="4586">
      <pivotArea dataOnly="0" labelOnly="1" fieldPosition="0">
        <references count="5">
          <reference field="4" count="1" selected="0">
            <x v="16"/>
          </reference>
          <reference field="6" count="1" selected="0">
            <x v="1"/>
          </reference>
          <reference field="7" count="1" selected="0">
            <x v="27"/>
          </reference>
          <reference field="8" count="1" selected="0">
            <x v="137"/>
          </reference>
          <reference field="15" count="2">
            <x v="111"/>
            <x v="112"/>
          </reference>
        </references>
      </pivotArea>
    </format>
    <format dxfId="4585">
      <pivotArea dataOnly="0" labelOnly="1" fieldPosition="0">
        <references count="5">
          <reference field="4" count="1" selected="0">
            <x v="16"/>
          </reference>
          <reference field="6" count="1" selected="0">
            <x v="3"/>
          </reference>
          <reference field="7" count="1" selected="0">
            <x v="1"/>
          </reference>
          <reference field="8" count="1" selected="0">
            <x v="6"/>
          </reference>
          <reference field="15" count="1">
            <x v="362"/>
          </reference>
        </references>
      </pivotArea>
    </format>
    <format dxfId="4584">
      <pivotArea dataOnly="0" labelOnly="1" fieldPosition="0">
        <references count="5">
          <reference field="4" count="1" selected="0">
            <x v="16"/>
          </reference>
          <reference field="6" count="1" selected="0">
            <x v="4"/>
          </reference>
          <reference field="7" count="1" selected="0">
            <x v="8"/>
          </reference>
          <reference field="8" count="1" selected="0">
            <x v="38"/>
          </reference>
          <reference field="15" count="1">
            <x v="229"/>
          </reference>
        </references>
      </pivotArea>
    </format>
    <format dxfId="4583">
      <pivotArea dataOnly="0" labelOnly="1" fieldPosition="0">
        <references count="5">
          <reference field="4" count="1" selected="0">
            <x v="16"/>
          </reference>
          <reference field="6" count="1" selected="0">
            <x v="4"/>
          </reference>
          <reference field="7" count="1" selected="0">
            <x v="11"/>
          </reference>
          <reference field="8" count="1" selected="0">
            <x v="48"/>
          </reference>
          <reference field="15" count="1">
            <x v="200"/>
          </reference>
        </references>
      </pivotArea>
    </format>
    <format dxfId="4582">
      <pivotArea dataOnly="0" labelOnly="1" fieldPosition="0">
        <references count="5">
          <reference field="4" count="1" selected="0">
            <x v="17"/>
          </reference>
          <reference field="6" count="1" selected="0">
            <x v="0"/>
          </reference>
          <reference field="7" count="1" selected="0">
            <x v="16"/>
          </reference>
          <reference field="8" count="1" selected="0">
            <x v="57"/>
          </reference>
          <reference field="15" count="5">
            <x v="110"/>
            <x v="284"/>
            <x v="285"/>
            <x v="294"/>
            <x v="295"/>
          </reference>
        </references>
      </pivotArea>
    </format>
    <format dxfId="4581">
      <pivotArea dataOnly="0" labelOnly="1" fieldPosition="0">
        <references count="5">
          <reference field="4" count="1" selected="0">
            <x v="17"/>
          </reference>
          <reference field="6" count="1" selected="0">
            <x v="0"/>
          </reference>
          <reference field="7" count="1" selected="0">
            <x v="16"/>
          </reference>
          <reference field="8" count="1" selected="0">
            <x v="58"/>
          </reference>
          <reference field="15" count="2">
            <x v="299"/>
            <x v="300"/>
          </reference>
        </references>
      </pivotArea>
    </format>
    <format dxfId="4580">
      <pivotArea dataOnly="0" labelOnly="1" fieldPosition="0">
        <references count="5">
          <reference field="4" count="1" selected="0">
            <x v="17"/>
          </reference>
          <reference field="6" count="1" selected="0">
            <x v="0"/>
          </reference>
          <reference field="7" count="1" selected="0">
            <x v="16"/>
          </reference>
          <reference field="8" count="1" selected="0">
            <x v="59"/>
          </reference>
          <reference field="15" count="2">
            <x v="94"/>
            <x v="95"/>
          </reference>
        </references>
      </pivotArea>
    </format>
    <format dxfId="4579">
      <pivotArea dataOnly="0" labelOnly="1" fieldPosition="0">
        <references count="5">
          <reference field="4" count="1" selected="0">
            <x v="17"/>
          </reference>
          <reference field="6" count="1" selected="0">
            <x v="0"/>
          </reference>
          <reference field="7" count="1" selected="0">
            <x v="16"/>
          </reference>
          <reference field="8" count="1" selected="0">
            <x v="60"/>
          </reference>
          <reference field="15" count="5">
            <x v="102"/>
            <x v="103"/>
            <x v="104"/>
            <x v="322"/>
            <x v="323"/>
          </reference>
        </references>
      </pivotArea>
    </format>
    <format dxfId="4578">
      <pivotArea dataOnly="0" labelOnly="1" fieldPosition="0">
        <references count="5">
          <reference field="4" count="1" selected="0">
            <x v="17"/>
          </reference>
          <reference field="6" count="1" selected="0">
            <x v="0"/>
          </reference>
          <reference field="7" count="1" selected="0">
            <x v="16"/>
          </reference>
          <reference field="8" count="1" selected="0">
            <x v="61"/>
          </reference>
          <reference field="15" count="2">
            <x v="296"/>
            <x v="297"/>
          </reference>
        </references>
      </pivotArea>
    </format>
    <format dxfId="4577">
      <pivotArea dataOnly="0" labelOnly="1" fieldPosition="0">
        <references count="5">
          <reference field="4" count="1" selected="0">
            <x v="17"/>
          </reference>
          <reference field="6" count="1" selected="0">
            <x v="0"/>
          </reference>
          <reference field="7" count="1" selected="0">
            <x v="16"/>
          </reference>
          <reference field="8" count="1" selected="0">
            <x v="62"/>
          </reference>
          <reference field="15" count="1">
            <x v="93"/>
          </reference>
        </references>
      </pivotArea>
    </format>
    <format dxfId="4576">
      <pivotArea dataOnly="0" labelOnly="1" fieldPosition="0">
        <references count="5">
          <reference field="4" count="1" selected="0">
            <x v="17"/>
          </reference>
          <reference field="6" count="1" selected="0">
            <x v="0"/>
          </reference>
          <reference field="7" count="1" selected="0">
            <x v="16"/>
          </reference>
          <reference field="8" count="1" selected="0">
            <x v="63"/>
          </reference>
          <reference field="15" count="2">
            <x v="315"/>
            <x v="316"/>
          </reference>
        </references>
      </pivotArea>
    </format>
    <format dxfId="4575">
      <pivotArea dataOnly="0" labelOnly="1" fieldPosition="0">
        <references count="5">
          <reference field="4" count="1" selected="0">
            <x v="17"/>
          </reference>
          <reference field="6" count="1" selected="0">
            <x v="0"/>
          </reference>
          <reference field="7" count="1" selected="0">
            <x v="22"/>
          </reference>
          <reference field="8" count="1" selected="0">
            <x v="94"/>
          </reference>
          <reference field="15" count="2">
            <x v="105"/>
            <x v="106"/>
          </reference>
        </references>
      </pivotArea>
    </format>
    <format dxfId="4574">
      <pivotArea dataOnly="0" labelOnly="1" fieldPosition="0">
        <references count="5">
          <reference field="4" count="1" selected="0">
            <x v="18"/>
          </reference>
          <reference field="6" count="1" selected="0">
            <x v="3"/>
          </reference>
          <reference field="7" count="1" selected="0">
            <x v="2"/>
          </reference>
          <reference field="8" count="1" selected="0">
            <x v="8"/>
          </reference>
          <reference field="15" count="2">
            <x v="375"/>
            <x v="376"/>
          </reference>
        </references>
      </pivotArea>
    </format>
    <format dxfId="4573">
      <pivotArea dataOnly="0" labelOnly="1" fieldPosition="0">
        <references count="5">
          <reference field="4" count="1" selected="0">
            <x v="18"/>
          </reference>
          <reference field="6" count="1" selected="0">
            <x v="3"/>
          </reference>
          <reference field="7" count="1" selected="0">
            <x v="2"/>
          </reference>
          <reference field="8" count="1" selected="0">
            <x v="9"/>
          </reference>
          <reference field="15" count="1">
            <x v="266"/>
          </reference>
        </references>
      </pivotArea>
    </format>
    <format dxfId="4572">
      <pivotArea dataOnly="0" labelOnly="1" fieldPosition="0">
        <references count="5">
          <reference field="4" count="1" selected="0">
            <x v="18"/>
          </reference>
          <reference field="6" count="1" selected="0">
            <x v="3"/>
          </reference>
          <reference field="7" count="1" selected="0">
            <x v="2"/>
          </reference>
          <reference field="8" count="1" selected="0">
            <x v="16"/>
          </reference>
          <reference field="15" count="2">
            <x v="271"/>
            <x v="272"/>
          </reference>
        </references>
      </pivotArea>
    </format>
    <format dxfId="4571">
      <pivotArea dataOnly="0" labelOnly="1" fieldPosition="0">
        <references count="5">
          <reference field="4" count="1" selected="0">
            <x v="18"/>
          </reference>
          <reference field="6" count="1" selected="0">
            <x v="3"/>
          </reference>
          <reference field="7" count="1" selected="0">
            <x v="2"/>
          </reference>
          <reference field="8" count="1" selected="0">
            <x v="17"/>
          </reference>
          <reference field="15" count="3">
            <x v="286"/>
            <x v="287"/>
            <x v="288"/>
          </reference>
        </references>
      </pivotArea>
    </format>
    <format dxfId="4570">
      <pivotArea dataOnly="0" labelOnly="1" fieldPosition="0">
        <references count="5">
          <reference field="4" count="1" selected="0">
            <x v="19"/>
          </reference>
          <reference field="6" count="1" selected="0">
            <x v="3"/>
          </reference>
          <reference field="7" count="1" selected="0">
            <x v="6"/>
          </reference>
          <reference field="8" count="1" selected="0">
            <x v="29"/>
          </reference>
          <reference field="15" count="24">
            <x v="4"/>
            <x v="168"/>
            <x v="169"/>
            <x v="170"/>
            <x v="171"/>
            <x v="172"/>
            <x v="173"/>
            <x v="174"/>
            <x v="183"/>
            <x v="184"/>
            <x v="185"/>
            <x v="186"/>
            <x v="187"/>
            <x v="188"/>
            <x v="194"/>
            <x v="195"/>
            <x v="196"/>
            <x v="197"/>
            <x v="198"/>
            <x v="199"/>
            <x v="203"/>
            <x v="204"/>
            <x v="223"/>
            <x v="258"/>
          </reference>
        </references>
      </pivotArea>
    </format>
    <format dxfId="4569">
      <pivotArea dataOnly="0" labelOnly="1" fieldPosition="0">
        <references count="5">
          <reference field="4" count="1" selected="0">
            <x v="20"/>
          </reference>
          <reference field="6" count="1" selected="0">
            <x v="1"/>
          </reference>
          <reference field="7" count="1" selected="0">
            <x v="24"/>
          </reference>
          <reference field="8" count="1" selected="0">
            <x v="106"/>
          </reference>
          <reference field="15" count="2">
            <x v="239"/>
            <x v="240"/>
          </reference>
        </references>
      </pivotArea>
    </format>
    <format dxfId="4568">
      <pivotArea dataOnly="0" labelOnly="1" outline="0" fieldPosition="0">
        <references count="1">
          <reference field="4294967294" count="2">
            <x v="7"/>
            <x v="8"/>
          </reference>
        </references>
      </pivotArea>
    </format>
    <format dxfId="4567">
      <pivotArea outline="0" collapsedLevelsAreSubtotals="1" fieldPosition="0"/>
    </format>
    <format dxfId="4566">
      <pivotArea dataOnly="0" labelOnly="1" outline="0" fieldPosition="0">
        <references count="1">
          <reference field="2" count="0"/>
        </references>
      </pivotArea>
    </format>
    <format dxfId="4565">
      <pivotArea dataOnly="0" labelOnly="1" outline="0" fieldPosition="0">
        <references count="1">
          <reference field="4294967294" count="9">
            <x v="0"/>
            <x v="1"/>
            <x v="2"/>
            <x v="3"/>
            <x v="4"/>
            <x v="5"/>
            <x v="6"/>
            <x v="7"/>
            <x v="8"/>
          </reference>
        </references>
      </pivotArea>
    </format>
    <format dxfId="4564">
      <pivotArea field="2" type="button" dataOnly="0" labelOnly="1" outline="0" axis="axisPage" fieldPosition="0"/>
    </format>
    <format dxfId="4563">
      <pivotArea field="4" type="button" dataOnly="0" labelOnly="1" outline="0" axis="axisRow" fieldPosition="0"/>
    </format>
    <format dxfId="4562">
      <pivotArea dataOnly="0" labelOnly="1" fieldPosition="0">
        <references count="1">
          <reference field="4" count="1">
            <x v="7"/>
          </reference>
        </references>
      </pivotArea>
    </format>
    <format dxfId="4561">
      <pivotArea dataOnly="0" labelOnly="1" grandRow="1" outline="0" fieldPosition="0"/>
    </format>
    <format dxfId="4560">
      <pivotArea dataOnly="0" labelOnly="1" fieldPosition="0">
        <references count="2">
          <reference field="4" count="1" selected="0">
            <x v="7"/>
          </reference>
          <reference field="6" count="4">
            <x v="0"/>
            <x v="2"/>
            <x v="3"/>
            <x v="4"/>
          </reference>
        </references>
      </pivotArea>
    </format>
    <format dxfId="4559">
      <pivotArea dataOnly="0" labelOnly="1" fieldPosition="0">
        <references count="3">
          <reference field="4" count="1" selected="0">
            <x v="7"/>
          </reference>
          <reference field="6" count="1" selected="0">
            <x v="0"/>
          </reference>
          <reference field="7" count="1">
            <x v="16"/>
          </reference>
        </references>
      </pivotArea>
    </format>
    <format dxfId="4558">
      <pivotArea dataOnly="0" labelOnly="1" fieldPosition="0">
        <references count="3">
          <reference field="4" count="1" selected="0">
            <x v="7"/>
          </reference>
          <reference field="6" count="1" selected="0">
            <x v="2"/>
          </reference>
          <reference field="7" count="2">
            <x v="29"/>
            <x v="30"/>
          </reference>
        </references>
      </pivotArea>
    </format>
    <format dxfId="4557">
      <pivotArea dataOnly="0" labelOnly="1" fieldPosition="0">
        <references count="3">
          <reference field="4" count="1" selected="0">
            <x v="7"/>
          </reference>
          <reference field="6" count="1" selected="0">
            <x v="3"/>
          </reference>
          <reference field="7" count="1">
            <x v="6"/>
          </reference>
        </references>
      </pivotArea>
    </format>
    <format dxfId="4556">
      <pivotArea dataOnly="0" labelOnly="1" fieldPosition="0">
        <references count="3">
          <reference field="4" count="1" selected="0">
            <x v="7"/>
          </reference>
          <reference field="6" count="1" selected="0">
            <x v="4"/>
          </reference>
          <reference field="7" count="8">
            <x v="8"/>
            <x v="9"/>
            <x v="10"/>
            <x v="11"/>
            <x v="12"/>
            <x v="13"/>
            <x v="14"/>
            <x v="15"/>
          </reference>
        </references>
      </pivotArea>
    </format>
    <format dxfId="4555">
      <pivotArea dataOnly="0" labelOnly="1" fieldPosition="0">
        <references count="4">
          <reference field="4" count="1" selected="0">
            <x v="7"/>
          </reference>
          <reference field="6" count="1" selected="0">
            <x v="0"/>
          </reference>
          <reference field="7" count="1" selected="0">
            <x v="16"/>
          </reference>
          <reference field="8" count="1">
            <x v="64"/>
          </reference>
        </references>
      </pivotArea>
    </format>
    <format dxfId="4554">
      <pivotArea dataOnly="0" labelOnly="1" fieldPosition="0">
        <references count="4">
          <reference field="4" count="1" selected="0">
            <x v="7"/>
          </reference>
          <reference field="6" count="1" selected="0">
            <x v="2"/>
          </reference>
          <reference field="7" count="1" selected="0">
            <x v="29"/>
          </reference>
          <reference field="8" count="4">
            <x v="140"/>
            <x v="141"/>
            <x v="144"/>
            <x v="145"/>
          </reference>
        </references>
      </pivotArea>
    </format>
    <format dxfId="4553">
      <pivotArea dataOnly="0" labelOnly="1" fieldPosition="0">
        <references count="4">
          <reference field="4" count="1" selected="0">
            <x v="7"/>
          </reference>
          <reference field="6" count="1" selected="0">
            <x v="2"/>
          </reference>
          <reference field="7" count="1" selected="0">
            <x v="30"/>
          </reference>
          <reference field="8" count="1">
            <x v="154"/>
          </reference>
        </references>
      </pivotArea>
    </format>
    <format dxfId="4552">
      <pivotArea dataOnly="0" labelOnly="1" fieldPosition="0">
        <references count="4">
          <reference field="4" count="1" selected="0">
            <x v="7"/>
          </reference>
          <reference field="6" count="1" selected="0">
            <x v="3"/>
          </reference>
          <reference field="7" count="1" selected="0">
            <x v="6"/>
          </reference>
          <reference field="8" count="1">
            <x v="28"/>
          </reference>
        </references>
      </pivotArea>
    </format>
    <format dxfId="4551">
      <pivotArea dataOnly="0" labelOnly="1" fieldPosition="0">
        <references count="4">
          <reference field="4" count="1" selected="0">
            <x v="7"/>
          </reference>
          <reference field="6" count="1" selected="0">
            <x v="4"/>
          </reference>
          <reference field="7" count="1" selected="0">
            <x v="8"/>
          </reference>
          <reference field="8" count="2">
            <x v="35"/>
            <x v="36"/>
          </reference>
        </references>
      </pivotArea>
    </format>
    <format dxfId="4550">
      <pivotArea dataOnly="0" labelOnly="1" fieldPosition="0">
        <references count="4">
          <reference field="4" count="1" selected="0">
            <x v="7"/>
          </reference>
          <reference field="6" count="1" selected="0">
            <x v="4"/>
          </reference>
          <reference field="7" count="1" selected="0">
            <x v="9"/>
          </reference>
          <reference field="8" count="4">
            <x v="40"/>
            <x v="41"/>
            <x v="42"/>
            <x v="43"/>
          </reference>
        </references>
      </pivotArea>
    </format>
    <format dxfId="4549">
      <pivotArea dataOnly="0" labelOnly="1" fieldPosition="0">
        <references count="4">
          <reference field="4" count="1" selected="0">
            <x v="7"/>
          </reference>
          <reference field="6" count="1" selected="0">
            <x v="4"/>
          </reference>
          <reference field="7" count="1" selected="0">
            <x v="10"/>
          </reference>
          <reference field="8" count="4">
            <x v="44"/>
            <x v="45"/>
            <x v="46"/>
            <x v="47"/>
          </reference>
        </references>
      </pivotArea>
    </format>
    <format dxfId="4548">
      <pivotArea dataOnly="0" labelOnly="1" fieldPosition="0">
        <references count="4">
          <reference field="4" count="1" selected="0">
            <x v="7"/>
          </reference>
          <reference field="6" count="1" selected="0">
            <x v="4"/>
          </reference>
          <reference field="7" count="1" selected="0">
            <x v="11"/>
          </reference>
          <reference field="8" count="2">
            <x v="48"/>
            <x v="49"/>
          </reference>
        </references>
      </pivotArea>
    </format>
    <format dxfId="4547">
      <pivotArea dataOnly="0" labelOnly="1" fieldPosition="0">
        <references count="4">
          <reference field="4" count="1" selected="0">
            <x v="7"/>
          </reference>
          <reference field="6" count="1" selected="0">
            <x v="4"/>
          </reference>
          <reference field="7" count="1" selected="0">
            <x v="12"/>
          </reference>
          <reference field="8" count="1">
            <x v="50"/>
          </reference>
        </references>
      </pivotArea>
    </format>
    <format dxfId="4546">
      <pivotArea dataOnly="0" labelOnly="1" fieldPosition="0">
        <references count="4">
          <reference field="4" count="1" selected="0">
            <x v="7"/>
          </reference>
          <reference field="6" count="1" selected="0">
            <x v="4"/>
          </reference>
          <reference field="7" count="1" selected="0">
            <x v="13"/>
          </reference>
          <reference field="8" count="3">
            <x v="51"/>
            <x v="52"/>
            <x v="53"/>
          </reference>
        </references>
      </pivotArea>
    </format>
    <format dxfId="4545">
      <pivotArea dataOnly="0" labelOnly="1" fieldPosition="0">
        <references count="4">
          <reference field="4" count="1" selected="0">
            <x v="7"/>
          </reference>
          <reference field="6" count="1" selected="0">
            <x v="4"/>
          </reference>
          <reference field="7" count="1" selected="0">
            <x v="14"/>
          </reference>
          <reference field="8" count="2">
            <x v="54"/>
            <x v="55"/>
          </reference>
        </references>
      </pivotArea>
    </format>
    <format dxfId="4544">
      <pivotArea dataOnly="0" labelOnly="1" fieldPosition="0">
        <references count="4">
          <reference field="4" count="1" selected="0">
            <x v="7"/>
          </reference>
          <reference field="6" count="1" selected="0">
            <x v="4"/>
          </reference>
          <reference field="7" count="1" selected="0">
            <x v="15"/>
          </reference>
          <reference field="8" count="1">
            <x v="56"/>
          </reference>
        </references>
      </pivotArea>
    </format>
    <format dxfId="4543">
      <pivotArea dataOnly="0" labelOnly="1" fieldPosition="0">
        <references count="5">
          <reference field="4" count="1" selected="0">
            <x v="7"/>
          </reference>
          <reference field="6" count="1" selected="0">
            <x v="0"/>
          </reference>
          <reference field="7" count="1" selected="0">
            <x v="16"/>
          </reference>
          <reference field="8" count="1" selected="0">
            <x v="64"/>
          </reference>
          <reference field="15" count="3">
            <x v="274"/>
            <x v="278"/>
            <x v="325"/>
          </reference>
        </references>
      </pivotArea>
    </format>
    <format dxfId="4542">
      <pivotArea dataOnly="0" labelOnly="1" fieldPosition="0">
        <references count="5">
          <reference field="4" count="1" selected="0">
            <x v="7"/>
          </reference>
          <reference field="6" count="1" selected="0">
            <x v="2"/>
          </reference>
          <reference field="7" count="1" selected="0">
            <x v="29"/>
          </reference>
          <reference field="8" count="1" selected="0">
            <x v="140"/>
          </reference>
          <reference field="15" count="1">
            <x v="53"/>
          </reference>
        </references>
      </pivotArea>
    </format>
    <format dxfId="4541">
      <pivotArea dataOnly="0" labelOnly="1" fieldPosition="0">
        <references count="5">
          <reference field="4" count="1" selected="0">
            <x v="7"/>
          </reference>
          <reference field="6" count="1" selected="0">
            <x v="2"/>
          </reference>
          <reference field="7" count="1" selected="0">
            <x v="29"/>
          </reference>
          <reference field="8" count="1" selected="0">
            <x v="141"/>
          </reference>
          <reference field="15" count="1">
            <x v="279"/>
          </reference>
        </references>
      </pivotArea>
    </format>
    <format dxfId="4540">
      <pivotArea dataOnly="0" labelOnly="1" fieldPosition="0">
        <references count="5">
          <reference field="4" count="1" selected="0">
            <x v="7"/>
          </reference>
          <reference field="6" count="1" selected="0">
            <x v="2"/>
          </reference>
          <reference field="7" count="1" selected="0">
            <x v="29"/>
          </reference>
          <reference field="8" count="1" selected="0">
            <x v="144"/>
          </reference>
          <reference field="15" count="1">
            <x v="52"/>
          </reference>
        </references>
      </pivotArea>
    </format>
    <format dxfId="4539">
      <pivotArea dataOnly="0" labelOnly="1" fieldPosition="0">
        <references count="5">
          <reference field="4" count="1" selected="0">
            <x v="7"/>
          </reference>
          <reference field="6" count="1" selected="0">
            <x v="2"/>
          </reference>
          <reference field="7" count="1" selected="0">
            <x v="29"/>
          </reference>
          <reference field="8" count="1" selected="0">
            <x v="145"/>
          </reference>
          <reference field="15" count="1">
            <x v="51"/>
          </reference>
        </references>
      </pivotArea>
    </format>
    <format dxfId="4538">
      <pivotArea dataOnly="0" labelOnly="1" fieldPosition="0">
        <references count="5">
          <reference field="4" count="1" selected="0">
            <x v="7"/>
          </reference>
          <reference field="6" count="1" selected="0">
            <x v="2"/>
          </reference>
          <reference field="7" count="1" selected="0">
            <x v="30"/>
          </reference>
          <reference field="8" count="1" selected="0">
            <x v="154"/>
          </reference>
          <reference field="15" count="1">
            <x v="275"/>
          </reference>
        </references>
      </pivotArea>
    </format>
    <format dxfId="4537">
      <pivotArea dataOnly="0" labelOnly="1" fieldPosition="0">
        <references count="5">
          <reference field="4" count="1" selected="0">
            <x v="7"/>
          </reference>
          <reference field="6" count="1" selected="0">
            <x v="3"/>
          </reference>
          <reference field="7" count="1" selected="0">
            <x v="6"/>
          </reference>
          <reference field="8" count="1" selected="0">
            <x v="28"/>
          </reference>
          <reference field="15" count="3">
            <x v="318"/>
            <x v="319"/>
            <x v="320"/>
          </reference>
        </references>
      </pivotArea>
    </format>
    <format dxfId="4536">
      <pivotArea dataOnly="0" labelOnly="1" fieldPosition="0">
        <references count="5">
          <reference field="4" count="1" selected="0">
            <x v="7"/>
          </reference>
          <reference field="6" count="1" selected="0">
            <x v="4"/>
          </reference>
          <reference field="7" count="1" selected="0">
            <x v="8"/>
          </reference>
          <reference field="8" count="1" selected="0">
            <x v="35"/>
          </reference>
          <reference field="15" count="1">
            <x v="337"/>
          </reference>
        </references>
      </pivotArea>
    </format>
    <format dxfId="4535">
      <pivotArea dataOnly="0" labelOnly="1" fieldPosition="0">
        <references count="5">
          <reference field="4" count="1" selected="0">
            <x v="7"/>
          </reference>
          <reference field="6" count="1" selected="0">
            <x v="4"/>
          </reference>
          <reference field="7" count="1" selected="0">
            <x v="8"/>
          </reference>
          <reference field="8" count="1" selected="0">
            <x v="36"/>
          </reference>
          <reference field="15" count="1">
            <x v="280"/>
          </reference>
        </references>
      </pivotArea>
    </format>
    <format dxfId="4534">
      <pivotArea dataOnly="0" labelOnly="1" fieldPosition="0">
        <references count="5">
          <reference field="4" count="1" selected="0">
            <x v="7"/>
          </reference>
          <reference field="6" count="1" selected="0">
            <x v="4"/>
          </reference>
          <reference field="7" count="1" selected="0">
            <x v="9"/>
          </reference>
          <reference field="8" count="1" selected="0">
            <x v="40"/>
          </reference>
          <reference field="15" count="3">
            <x v="311"/>
            <x v="312"/>
            <x v="334"/>
          </reference>
        </references>
      </pivotArea>
    </format>
    <format dxfId="4533">
      <pivotArea dataOnly="0" labelOnly="1" fieldPosition="0">
        <references count="5">
          <reference field="4" count="1" selected="0">
            <x v="7"/>
          </reference>
          <reference field="6" count="1" selected="0">
            <x v="4"/>
          </reference>
          <reference field="7" count="1" selected="0">
            <x v="9"/>
          </reference>
          <reference field="8" count="1" selected="0">
            <x v="41"/>
          </reference>
          <reference field="15" count="1">
            <x v="328"/>
          </reference>
        </references>
      </pivotArea>
    </format>
    <format dxfId="4532">
      <pivotArea dataOnly="0" labelOnly="1" fieldPosition="0">
        <references count="5">
          <reference field="4" count="1" selected="0">
            <x v="7"/>
          </reference>
          <reference field="6" count="1" selected="0">
            <x v="4"/>
          </reference>
          <reference field="7" count="1" selected="0">
            <x v="9"/>
          </reference>
          <reference field="8" count="1" selected="0">
            <x v="42"/>
          </reference>
          <reference field="15" count="1">
            <x v="329"/>
          </reference>
        </references>
      </pivotArea>
    </format>
    <format dxfId="4531">
      <pivotArea dataOnly="0" labelOnly="1" fieldPosition="0">
        <references count="5">
          <reference field="4" count="1" selected="0">
            <x v="7"/>
          </reference>
          <reference field="6" count="1" selected="0">
            <x v="4"/>
          </reference>
          <reference field="7" count="1" selected="0">
            <x v="9"/>
          </reference>
          <reference field="8" count="1" selected="0">
            <x v="43"/>
          </reference>
          <reference field="15" count="1">
            <x v="321"/>
          </reference>
        </references>
      </pivotArea>
    </format>
    <format dxfId="4530">
      <pivotArea dataOnly="0" labelOnly="1" fieldPosition="0">
        <references count="5">
          <reference field="4" count="1" selected="0">
            <x v="7"/>
          </reference>
          <reference field="6" count="1" selected="0">
            <x v="4"/>
          </reference>
          <reference field="7" count="1" selected="0">
            <x v="10"/>
          </reference>
          <reference field="8" count="1" selected="0">
            <x v="44"/>
          </reference>
          <reference field="15" count="2">
            <x v="57"/>
            <x v="58"/>
          </reference>
        </references>
      </pivotArea>
    </format>
    <format dxfId="4529">
      <pivotArea dataOnly="0" labelOnly="1" fieldPosition="0">
        <references count="5">
          <reference field="4" count="1" selected="0">
            <x v="7"/>
          </reference>
          <reference field="6" count="1" selected="0">
            <x v="4"/>
          </reference>
          <reference field="7" count="1" selected="0">
            <x v="10"/>
          </reference>
          <reference field="8" count="1" selected="0">
            <x v="45"/>
          </reference>
          <reference field="15" count="1">
            <x v="55"/>
          </reference>
        </references>
      </pivotArea>
    </format>
    <format dxfId="4528">
      <pivotArea dataOnly="0" labelOnly="1" fieldPosition="0">
        <references count="5">
          <reference field="4" count="1" selected="0">
            <x v="7"/>
          </reference>
          <reference field="6" count="1" selected="0">
            <x v="4"/>
          </reference>
          <reference field="7" count="1" selected="0">
            <x v="10"/>
          </reference>
          <reference field="8" count="1" selected="0">
            <x v="46"/>
          </reference>
          <reference field="15" count="1">
            <x v="59"/>
          </reference>
        </references>
      </pivotArea>
    </format>
    <format dxfId="4527">
      <pivotArea dataOnly="0" labelOnly="1" fieldPosition="0">
        <references count="5">
          <reference field="4" count="1" selected="0">
            <x v="7"/>
          </reference>
          <reference field="6" count="1" selected="0">
            <x v="4"/>
          </reference>
          <reference field="7" count="1" selected="0">
            <x v="10"/>
          </reference>
          <reference field="8" count="1" selected="0">
            <x v="47"/>
          </reference>
          <reference field="15" count="1">
            <x v="54"/>
          </reference>
        </references>
      </pivotArea>
    </format>
    <format dxfId="4526">
      <pivotArea dataOnly="0" labelOnly="1" fieldPosition="0">
        <references count="5">
          <reference field="4" count="1" selected="0">
            <x v="7"/>
          </reference>
          <reference field="6" count="1" selected="0">
            <x v="4"/>
          </reference>
          <reference field="7" count="1" selected="0">
            <x v="11"/>
          </reference>
          <reference field="8" count="1" selected="0">
            <x v="48"/>
          </reference>
          <reference field="15" count="1">
            <x v="88"/>
          </reference>
        </references>
      </pivotArea>
    </format>
    <format dxfId="4525">
      <pivotArea dataOnly="0" labelOnly="1" fieldPosition="0">
        <references count="5">
          <reference field="4" count="1" selected="0">
            <x v="7"/>
          </reference>
          <reference field="6" count="1" selected="0">
            <x v="4"/>
          </reference>
          <reference field="7" count="1" selected="0">
            <x v="11"/>
          </reference>
          <reference field="8" count="1" selected="0">
            <x v="49"/>
          </reference>
          <reference field="15" count="1">
            <x v="86"/>
          </reference>
        </references>
      </pivotArea>
    </format>
    <format dxfId="4524">
      <pivotArea dataOnly="0" labelOnly="1" fieldPosition="0">
        <references count="5">
          <reference field="4" count="1" selected="0">
            <x v="7"/>
          </reference>
          <reference field="6" count="1" selected="0">
            <x v="4"/>
          </reference>
          <reference field="7" count="1" selected="0">
            <x v="12"/>
          </reference>
          <reference field="8" count="1" selected="0">
            <x v="50"/>
          </reference>
          <reference field="15" count="3">
            <x v="64"/>
            <x v="65"/>
            <x v="136"/>
          </reference>
        </references>
      </pivotArea>
    </format>
    <format dxfId="4523">
      <pivotArea dataOnly="0" labelOnly="1" fieldPosition="0">
        <references count="5">
          <reference field="4" count="1" selected="0">
            <x v="7"/>
          </reference>
          <reference field="6" count="1" selected="0">
            <x v="4"/>
          </reference>
          <reference field="7" count="1" selected="0">
            <x v="13"/>
          </reference>
          <reference field="8" count="1" selected="0">
            <x v="51"/>
          </reference>
          <reference field="15" count="1">
            <x v="307"/>
          </reference>
        </references>
      </pivotArea>
    </format>
    <format dxfId="4522">
      <pivotArea dataOnly="0" labelOnly="1" fieldPosition="0">
        <references count="5">
          <reference field="4" count="1" selected="0">
            <x v="7"/>
          </reference>
          <reference field="6" count="1" selected="0">
            <x v="4"/>
          </reference>
          <reference field="7" count="1" selected="0">
            <x v="13"/>
          </reference>
          <reference field="8" count="1" selected="0">
            <x v="52"/>
          </reference>
          <reference field="15" count="1">
            <x v="309"/>
          </reference>
        </references>
      </pivotArea>
    </format>
    <format dxfId="4521">
      <pivotArea dataOnly="0" labelOnly="1" fieldPosition="0">
        <references count="5">
          <reference field="4" count="1" selected="0">
            <x v="7"/>
          </reference>
          <reference field="6" count="1" selected="0">
            <x v="4"/>
          </reference>
          <reference field="7" count="1" selected="0">
            <x v="13"/>
          </reference>
          <reference field="8" count="1" selected="0">
            <x v="53"/>
          </reference>
          <reference field="15" count="1">
            <x v="308"/>
          </reference>
        </references>
      </pivotArea>
    </format>
    <format dxfId="4520">
      <pivotArea dataOnly="0" labelOnly="1" fieldPosition="0">
        <references count="5">
          <reference field="4" count="1" selected="0">
            <x v="7"/>
          </reference>
          <reference field="6" count="1" selected="0">
            <x v="4"/>
          </reference>
          <reference field="7" count="1" selected="0">
            <x v="14"/>
          </reference>
          <reference field="8" count="1" selected="0">
            <x v="54"/>
          </reference>
          <reference field="15" count="1">
            <x v="281"/>
          </reference>
        </references>
      </pivotArea>
    </format>
    <format dxfId="4519">
      <pivotArea dataOnly="0" labelOnly="1" fieldPosition="0">
        <references count="5">
          <reference field="4" count="1" selected="0">
            <x v="7"/>
          </reference>
          <reference field="6" count="1" selected="0">
            <x v="4"/>
          </reference>
          <reference field="7" count="1" selected="0">
            <x v="14"/>
          </reference>
          <reference field="8" count="1" selected="0">
            <x v="55"/>
          </reference>
          <reference field="15" count="1">
            <x v="138"/>
          </reference>
        </references>
      </pivotArea>
    </format>
    <format dxfId="4518">
      <pivotArea dataOnly="0" labelOnly="1" fieldPosition="0">
        <references count="5">
          <reference field="4" count="1" selected="0">
            <x v="7"/>
          </reference>
          <reference field="6" count="1" selected="0">
            <x v="4"/>
          </reference>
          <reference field="7" count="1" selected="0">
            <x v="15"/>
          </reference>
          <reference field="8" count="1" selected="0">
            <x v="56"/>
          </reference>
          <reference field="15" count="2">
            <x v="335"/>
            <x v="336"/>
          </reference>
        </references>
      </pivotArea>
    </format>
    <format dxfId="4517">
      <pivotArea outline="0" collapsedLevelsAreSubtotals="1" fieldPosition="0">
        <references count="1">
          <reference field="4294967294" count="2" selected="0">
            <x v="7"/>
            <x v="8"/>
          </reference>
        </references>
      </pivotArea>
    </format>
    <format dxfId="4516">
      <pivotArea dataOnly="0" labelOnly="1" outline="0" fieldPosition="0">
        <references count="1">
          <reference field="4294967294" count="2">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3" cacheId="2" applyNumberFormats="0" applyBorderFormats="0" applyFontFormats="0" applyPatternFormats="0" applyAlignmentFormats="0" applyWidthHeightFormats="1" dataCaption="Valores" grandTotalCaption="TOTAL " updatedVersion="8" minRefreshableVersion="3" useAutoFormatting="1" itemPrintTitles="1" createdVersion="8" indent="0" outline="1" outlineData="1" multipleFieldFilters="0" rowHeaderCaption="UNIDAD EJECUTORA">
  <location ref="A3:J43" firstHeaderRow="0" firstDataRow="1" firstDataCol="1" rowPageCount="1" colPageCount="1"/>
  <pivotFields count="33">
    <pivotField showAll="0"/>
    <pivotField showAll="0"/>
    <pivotField axis="axisPage" showAll="0">
      <items count="22">
        <item x="4"/>
        <item x="3"/>
        <item x="14"/>
        <item x="0"/>
        <item x="13"/>
        <item x="17"/>
        <item x="7"/>
        <item x="9"/>
        <item x="15"/>
        <item x="8"/>
        <item x="1"/>
        <item x="16"/>
        <item x="12"/>
        <item x="20"/>
        <item x="5"/>
        <item x="10"/>
        <item x="6"/>
        <item x="11"/>
        <item x="19"/>
        <item x="2"/>
        <item x="18"/>
        <item t="default"/>
      </items>
    </pivotField>
    <pivotField showAll="0"/>
    <pivotField axis="axisRow" showAll="0">
      <items count="22">
        <item x="4"/>
        <item x="3"/>
        <item x="14"/>
        <item x="0"/>
        <item x="13"/>
        <item x="17"/>
        <item x="7"/>
        <item x="9"/>
        <item x="15"/>
        <item x="8"/>
        <item x="1"/>
        <item x="16"/>
        <item x="12"/>
        <item x="20"/>
        <item x="5"/>
        <item x="10"/>
        <item x="6"/>
        <item x="11"/>
        <item x="19"/>
        <item x="2"/>
        <item x="18"/>
        <item t="default"/>
      </items>
    </pivotField>
    <pivotField numFmtId="1" showAll="0"/>
    <pivotField axis="axisRow" showAll="0">
      <items count="6">
        <item x="1"/>
        <item x="2"/>
        <item x="3"/>
        <item x="0"/>
        <item x="4"/>
        <item t="default"/>
      </items>
    </pivotField>
    <pivotField axis="axisRow" showAll="0">
      <items count="34">
        <item x="19"/>
        <item x="27"/>
        <item x="1"/>
        <item x="2"/>
        <item x="8"/>
        <item x="30"/>
        <item x="0"/>
        <item x="32"/>
        <item x="25"/>
        <item x="29"/>
        <item x="12"/>
        <item x="15"/>
        <item x="13"/>
        <item x="28"/>
        <item x="23"/>
        <item x="31"/>
        <item x="16"/>
        <item x="10"/>
        <item x="18"/>
        <item x="3"/>
        <item x="14"/>
        <item x="20"/>
        <item x="17"/>
        <item x="9"/>
        <item x="6"/>
        <item x="7"/>
        <item x="4"/>
        <item x="5"/>
        <item x="24"/>
        <item x="11"/>
        <item x="21"/>
        <item x="26"/>
        <item x="22"/>
        <item t="default"/>
      </items>
    </pivotField>
    <pivotField axis="axisRow" showAll="0">
      <items count="161">
        <item x="62"/>
        <item x="155"/>
        <item x="112"/>
        <item x="156"/>
        <item x="118"/>
        <item x="154"/>
        <item x="140"/>
        <item x="60"/>
        <item x="153"/>
        <item x="102"/>
        <item x="7"/>
        <item x="2"/>
        <item x="52"/>
        <item x="1"/>
        <item x="22"/>
        <item x="151"/>
        <item x="105"/>
        <item x="114"/>
        <item x="82"/>
        <item x="3"/>
        <item x="15"/>
        <item x="49"/>
        <item x="135"/>
        <item x="134"/>
        <item x="139"/>
        <item x="142"/>
        <item x="138"/>
        <item x="141"/>
        <item x="128"/>
        <item x="0"/>
        <item x="103"/>
        <item x="159"/>
        <item x="150"/>
        <item x="86"/>
        <item x="152"/>
        <item x="137"/>
        <item x="110"/>
        <item x="79"/>
        <item x="80"/>
        <item x="83"/>
        <item x="126"/>
        <item x="131"/>
        <item x="132"/>
        <item x="129"/>
        <item x="28"/>
        <item x="27"/>
        <item x="29"/>
        <item x="26"/>
        <item x="43"/>
        <item x="42"/>
        <item x="32"/>
        <item x="122"/>
        <item x="124"/>
        <item x="123"/>
        <item x="111"/>
        <item x="69"/>
        <item x="136"/>
        <item x="55"/>
        <item x="119"/>
        <item x="46"/>
        <item x="50"/>
        <item x="117"/>
        <item x="45"/>
        <item x="127"/>
        <item x="106"/>
        <item x="53"/>
        <item x="147"/>
        <item x="146"/>
        <item x="38"/>
        <item x="20"/>
        <item x="144"/>
        <item x="145"/>
        <item x="74"/>
        <item x="89"/>
        <item x="57"/>
        <item x="59"/>
        <item x="88"/>
        <item x="108"/>
        <item x="85"/>
        <item x="5"/>
        <item x="4"/>
        <item x="81"/>
        <item x="35"/>
        <item x="36"/>
        <item x="37"/>
        <item x="98"/>
        <item x="67"/>
        <item x="63"/>
        <item x="116"/>
        <item x="125"/>
        <item x="157"/>
        <item x="101"/>
        <item x="66"/>
        <item x="149"/>
        <item x="51"/>
        <item x="90"/>
        <item x="91"/>
        <item x="97"/>
        <item x="21"/>
        <item x="94"/>
        <item x="93"/>
        <item x="95"/>
        <item x="18"/>
        <item x="92"/>
        <item x="96"/>
        <item x="11"/>
        <item x="87"/>
        <item x="61"/>
        <item x="48"/>
        <item x="47"/>
        <item x="58"/>
        <item x="130"/>
        <item x="39"/>
        <item x="33"/>
        <item x="100"/>
        <item x="16"/>
        <item x="30"/>
        <item x="44"/>
        <item x="34"/>
        <item x="31"/>
        <item x="41"/>
        <item x="19"/>
        <item x="17"/>
        <item x="14"/>
        <item x="99"/>
        <item x="12"/>
        <item x="8"/>
        <item x="78"/>
        <item x="13"/>
        <item x="133"/>
        <item x="148"/>
        <item x="6"/>
        <item x="9"/>
        <item x="10"/>
        <item x="77"/>
        <item x="54"/>
        <item x="40"/>
        <item x="56"/>
        <item x="104"/>
        <item x="76"/>
        <item x="25"/>
        <item x="109"/>
        <item x="113"/>
        <item x="115"/>
        <item x="24"/>
        <item x="23"/>
        <item x="70"/>
        <item x="64"/>
        <item x="73"/>
        <item x="71"/>
        <item x="75"/>
        <item x="158"/>
        <item x="65"/>
        <item x="72"/>
        <item x="107"/>
        <item x="84"/>
        <item x="121"/>
        <item x="120"/>
        <item x="143"/>
        <item x="68"/>
        <item t="default"/>
      </items>
    </pivotField>
    <pivotField showAll="0"/>
    <pivotField showAll="0"/>
    <pivotField showAll="0"/>
    <pivotField showAll="0"/>
    <pivotField showAll="0"/>
    <pivotField showAll="0"/>
    <pivotField axis="axisRow" showAll="0">
      <items count="402">
        <item x="1"/>
        <item x="0"/>
        <item x="3"/>
        <item x="2"/>
        <item x="4"/>
        <item x="5"/>
        <item x="6"/>
        <item x="8"/>
        <item x="7"/>
        <item x="9"/>
        <item x="11"/>
        <item x="10"/>
        <item x="12"/>
        <item x="13"/>
        <item x="16"/>
        <item x="15"/>
        <item x="14"/>
        <item x="18"/>
        <item x="17"/>
        <item x="19"/>
        <item x="20"/>
        <item x="21"/>
        <item x="22"/>
        <item x="23"/>
        <item x="25"/>
        <item x="24"/>
        <item x="27"/>
        <item x="26"/>
        <item x="28"/>
        <item x="29"/>
        <item x="30"/>
        <item x="31"/>
        <item x="32"/>
        <item x="33"/>
        <item x="34"/>
        <item x="35"/>
        <item x="36"/>
        <item x="37"/>
        <item x="38"/>
        <item x="39"/>
        <item x="40"/>
        <item x="41"/>
        <item x="42"/>
        <item x="43"/>
        <item x="44"/>
        <item x="45"/>
        <item x="46"/>
        <item x="47"/>
        <item x="48"/>
        <item x="49"/>
        <item x="50"/>
        <item x="51"/>
        <item x="52"/>
        <item x="53"/>
        <item x="54"/>
        <item x="55"/>
        <item x="56"/>
        <item x="58"/>
        <item x="57"/>
        <item x="59"/>
        <item x="60"/>
        <item x="61"/>
        <item x="62"/>
        <item x="63"/>
        <item x="65"/>
        <item x="64"/>
        <item x="66"/>
        <item x="67"/>
        <item x="68"/>
        <item x="69"/>
        <item x="70"/>
        <item x="71"/>
        <item x="72"/>
        <item x="74"/>
        <item x="73"/>
        <item x="75"/>
        <item x="76"/>
        <item x="77"/>
        <item x="78"/>
        <item x="79"/>
        <item x="80"/>
        <item x="81"/>
        <item x="82"/>
        <item x="83"/>
        <item x="84"/>
        <item x="85"/>
        <item x="86"/>
        <item x="87"/>
        <item x="88"/>
        <item x="89"/>
        <item x="90"/>
        <item x="91"/>
        <item x="92"/>
        <item x="93"/>
        <item x="95"/>
        <item x="94"/>
        <item x="96"/>
        <item x="97"/>
        <item x="98"/>
        <item x="99"/>
        <item x="101"/>
        <item x="100"/>
        <item x="103"/>
        <item x="102"/>
        <item x="104"/>
        <item x="105"/>
        <item x="106"/>
        <item x="107"/>
        <item x="108"/>
        <item x="109"/>
        <item x="110"/>
        <item x="111"/>
        <item x="112"/>
        <item x="114"/>
        <item x="113"/>
        <item x="115"/>
        <item x="116"/>
        <item x="117"/>
        <item x="118"/>
        <item x="119"/>
        <item x="122"/>
        <item x="120"/>
        <item x="121"/>
        <item x="123"/>
        <item x="124"/>
        <item x="125"/>
        <item x="126"/>
        <item x="127"/>
        <item x="129"/>
        <item x="128"/>
        <item x="130"/>
        <item x="131"/>
        <item x="132"/>
        <item x="133"/>
        <item x="134"/>
        <item x="135"/>
        <item x="136"/>
        <item x="137"/>
        <item x="138"/>
        <item x="139"/>
        <item x="140"/>
        <item x="141"/>
        <item x="142"/>
        <item x="143"/>
        <item x="144"/>
        <item x="145"/>
        <item x="146"/>
        <item x="147"/>
        <item x="148"/>
        <item x="149"/>
        <item x="151"/>
        <item x="150"/>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3"/>
        <item x="192"/>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4"/>
        <item x="233"/>
        <item x="235"/>
        <item x="236"/>
        <item x="237"/>
        <item x="238"/>
        <item x="239"/>
        <item x="240"/>
        <item x="241"/>
        <item x="242"/>
        <item x="243"/>
        <item x="244"/>
        <item x="246"/>
        <item x="245"/>
        <item x="247"/>
        <item x="248"/>
        <item x="249"/>
        <item x="250"/>
        <item x="251"/>
        <item x="252"/>
        <item x="253"/>
        <item x="254"/>
        <item x="255"/>
        <item x="256"/>
        <item x="257"/>
        <item x="258"/>
        <item x="259"/>
        <item x="260"/>
        <item x="261"/>
        <item x="262"/>
        <item x="263"/>
        <item x="264"/>
        <item x="265"/>
        <item x="266"/>
        <item x="268"/>
        <item x="267"/>
        <item x="269"/>
        <item x="270"/>
        <item x="271"/>
        <item x="272"/>
        <item x="273"/>
        <item x="274"/>
        <item x="275"/>
        <item x="277"/>
        <item x="276"/>
        <item x="278"/>
        <item x="279"/>
        <item x="280"/>
        <item x="281"/>
        <item x="282"/>
        <item x="283"/>
        <item x="285"/>
        <item x="284"/>
        <item x="288"/>
        <item x="286"/>
        <item x="287"/>
        <item x="289"/>
        <item x="290"/>
        <item x="291"/>
        <item x="292"/>
        <item x="293"/>
        <item x="294"/>
        <item x="295"/>
        <item x="297"/>
        <item x="296"/>
        <item x="298"/>
        <item x="299"/>
        <item x="300"/>
        <item x="301"/>
        <item x="302"/>
        <item x="303"/>
        <item x="304"/>
        <item x="305"/>
        <item x="306"/>
        <item x="307"/>
        <item x="308"/>
        <item x="309"/>
        <item x="310"/>
        <item x="311"/>
        <item x="312"/>
        <item x="313"/>
        <item x="314"/>
        <item x="316"/>
        <item x="315"/>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7"/>
        <item x="346"/>
        <item x="348"/>
        <item x="349"/>
        <item x="350"/>
        <item x="351"/>
        <item x="352"/>
        <item x="353"/>
        <item x="354"/>
        <item x="355"/>
        <item x="357"/>
        <item x="356"/>
        <item x="358"/>
        <item x="360"/>
        <item x="359"/>
        <item x="361"/>
        <item x="362"/>
        <item x="363"/>
        <item x="364"/>
        <item x="365"/>
        <item x="366"/>
        <item x="368"/>
        <item x="367"/>
        <item x="369"/>
        <item x="370"/>
        <item x="371"/>
        <item x="372"/>
        <item x="373"/>
        <item x="374"/>
        <item x="376"/>
        <item x="375"/>
        <item x="377"/>
        <item x="378"/>
        <item x="379"/>
        <item x="380"/>
        <item x="381"/>
        <item x="382"/>
        <item x="383"/>
        <item x="384"/>
        <item x="385"/>
        <item x="386"/>
        <item x="387"/>
        <item x="389"/>
        <item x="388"/>
        <item x="390"/>
        <item x="391"/>
        <item x="392"/>
        <item x="393"/>
        <item x="394"/>
        <item x="395"/>
        <item x="396"/>
        <item x="397"/>
        <item x="398"/>
        <item x="399"/>
        <item x="400"/>
        <item t="default"/>
      </items>
    </pivotField>
    <pivotField showAll="0"/>
    <pivotField showAll="0"/>
    <pivotField dataField="1" numFmtId="43" showAll="0"/>
    <pivotField numFmtId="43" showAll="0"/>
    <pivotField dataField="1" numFmtId="43" showAll="0"/>
    <pivotField numFmtId="43" showAll="0"/>
    <pivotField numFmtId="43" showAll="0"/>
    <pivotField dataField="1" numFmtId="43" showAll="0"/>
    <pivotField numFmtId="43" showAll="0"/>
    <pivotField dataField="1" numFmtId="43" showAll="0"/>
    <pivotField numFmtId="43" showAll="0"/>
    <pivotField numFmtId="43" showAll="0"/>
    <pivotField dataField="1" numFmtId="43" showAl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5">
    <field x="4"/>
    <field x="6"/>
    <field x="7"/>
    <field x="8"/>
    <field x="15"/>
  </rowFields>
  <rowItems count="40">
    <i>
      <x v="8"/>
    </i>
    <i r="1">
      <x/>
    </i>
    <i r="2">
      <x v="18"/>
    </i>
    <i r="3">
      <x v="77"/>
    </i>
    <i r="4">
      <x v="290"/>
    </i>
    <i r="2">
      <x v="22"/>
    </i>
    <i r="3">
      <x v="92"/>
    </i>
    <i r="4">
      <x v="130"/>
    </i>
    <i r="4">
      <x v="359"/>
    </i>
    <i r="4">
      <x v="360"/>
    </i>
    <i r="4">
      <x v="361"/>
    </i>
    <i r="3">
      <x v="93"/>
    </i>
    <i r="4">
      <x v="369"/>
    </i>
    <i r="3">
      <x v="94"/>
    </i>
    <i r="4">
      <x v="273"/>
    </i>
    <i r="1">
      <x v="1"/>
    </i>
    <i r="2">
      <x v="28"/>
    </i>
    <i r="3">
      <x v="138"/>
    </i>
    <i r="4">
      <x v="270"/>
    </i>
    <i r="4">
      <x v="343"/>
    </i>
    <i r="4">
      <x v="355"/>
    </i>
    <i r="3">
      <x v="139"/>
    </i>
    <i r="4">
      <x v="147"/>
    </i>
    <i r="1">
      <x v="2"/>
    </i>
    <i r="2">
      <x v="32"/>
    </i>
    <i r="3">
      <x v="158"/>
    </i>
    <i r="4">
      <x v="344"/>
    </i>
    <i r="3">
      <x v="159"/>
    </i>
    <i r="4">
      <x v="137"/>
    </i>
    <i r="1">
      <x v="3"/>
    </i>
    <i r="2">
      <x v="6"/>
    </i>
    <i r="3">
      <x v="29"/>
    </i>
    <i r="4">
      <x v="145"/>
    </i>
    <i r="4">
      <x v="146"/>
    </i>
    <i r="4">
      <x v="356"/>
    </i>
    <i r="4">
      <x v="357"/>
    </i>
    <i r="3">
      <x v="30"/>
    </i>
    <i r="4">
      <x v="267"/>
    </i>
    <i r="4">
      <x v="268"/>
    </i>
    <i t="grand">
      <x/>
    </i>
  </rowItems>
  <colFields count="1">
    <field x="-2"/>
  </colFields>
  <colItems count="9">
    <i>
      <x/>
    </i>
    <i i="1">
      <x v="1"/>
    </i>
    <i i="2">
      <x v="2"/>
    </i>
    <i i="3">
      <x v="3"/>
    </i>
    <i i="4">
      <x v="4"/>
    </i>
    <i i="5">
      <x v="5"/>
    </i>
    <i i="6">
      <x v="6"/>
    </i>
    <i i="7">
      <x v="7"/>
    </i>
    <i i="8">
      <x v="8"/>
    </i>
  </colItems>
  <pageFields count="1">
    <pageField fld="2" item="8" hier="-1"/>
  </pageFields>
  <dataFields count="9">
    <dataField name="PPTO INICIAL" fld="18" baseField="4" baseItem="0"/>
    <dataField name="PPTO VIGENTE" fld="20" baseField="4" baseItem="0"/>
    <dataField name="COMPROMISOS." fld="23" baseField="4" baseItem="0"/>
    <dataField name="GIROS." fld="25" baseField="4" baseItem="0"/>
    <dataField name="PAGOS " fld="28" baseField="4" baseItem="0"/>
    <dataField name=" SALDO APROPIACIÓN CDP" fld="29" baseField="4" baseItem="0" numFmtId="43"/>
    <dataField name="SALDO APROPIACIÓN RP" fld="30" baseField="4" baseItem="0" numFmtId="43"/>
    <dataField name="Suma de % CDP" fld="31" baseField="0" baseItem="0" numFmtId="43"/>
    <dataField name="Suma de % RP" fld="32" baseField="0" baseItem="0" numFmtId="43"/>
  </dataFields>
  <formats count="311">
    <format dxfId="4515">
      <pivotArea dataOnly="0" labelOnly="1" fieldPosition="0">
        <references count="1">
          <reference field="4" count="0"/>
        </references>
      </pivotArea>
    </format>
    <format dxfId="4514">
      <pivotArea dataOnly="0" labelOnly="1" fieldPosition="0">
        <references count="1">
          <reference field="4" count="1">
            <x v="0"/>
          </reference>
        </references>
      </pivotArea>
    </format>
    <format dxfId="4513">
      <pivotArea dataOnly="0" labelOnly="1" fieldPosition="0">
        <references count="1">
          <reference field="6" count="0"/>
        </references>
      </pivotArea>
    </format>
    <format dxfId="4512">
      <pivotArea dataOnly="0" labelOnly="1" fieldPosition="0">
        <references count="1">
          <reference field="7" count="0"/>
        </references>
      </pivotArea>
    </format>
    <format dxfId="4511">
      <pivotArea dataOnly="0" labelOnly="1" fieldPosition="0">
        <references count="1">
          <reference field="7" count="0"/>
        </references>
      </pivotArea>
    </format>
    <format dxfId="4510">
      <pivotArea dataOnly="0" labelOnly="1" fieldPosition="0">
        <references count="1">
          <reference field="8" count="0"/>
        </references>
      </pivotArea>
    </format>
    <format dxfId="4509">
      <pivotArea outline="0" collapsedLevelsAreSubtotals="1" fieldPosition="0"/>
    </format>
    <format dxfId="4508">
      <pivotArea dataOnly="0" labelOnly="1" outline="0" fieldPosition="0">
        <references count="1">
          <reference field="2" count="0"/>
        </references>
      </pivotArea>
    </format>
    <format dxfId="4507">
      <pivotArea dataOnly="0" labelOnly="1" outline="0" fieldPosition="0">
        <references count="1">
          <reference field="4294967294" count="9">
            <x v="0"/>
            <x v="1"/>
            <x v="2"/>
            <x v="3"/>
            <x v="4"/>
            <x v="5"/>
            <x v="6"/>
            <x v="7"/>
            <x v="8"/>
          </reference>
        </references>
      </pivotArea>
    </format>
    <format dxfId="4506">
      <pivotArea field="2" type="button" dataOnly="0" labelOnly="1" outline="0" axis="axisPage" fieldPosition="0"/>
    </format>
    <format dxfId="4505">
      <pivotArea field="4" type="button" dataOnly="0" labelOnly="1" outline="0" axis="axisRow" fieldPosition="0"/>
    </format>
    <format dxfId="4504">
      <pivotArea dataOnly="0" labelOnly="1" fieldPosition="0">
        <references count="1">
          <reference field="4" count="0"/>
        </references>
      </pivotArea>
    </format>
    <format dxfId="4503">
      <pivotArea dataOnly="0" labelOnly="1" grandRow="1" outline="0" fieldPosition="0"/>
    </format>
    <format dxfId="4502">
      <pivotArea dataOnly="0" labelOnly="1" fieldPosition="0">
        <references count="2">
          <reference field="4" count="1" selected="0">
            <x v="0"/>
          </reference>
          <reference field="6" count="2">
            <x v="0"/>
            <x v="1"/>
          </reference>
        </references>
      </pivotArea>
    </format>
    <format dxfId="4501">
      <pivotArea dataOnly="0" labelOnly="1" fieldPosition="0">
        <references count="2">
          <reference field="4" count="1" selected="0">
            <x v="1"/>
          </reference>
          <reference field="6" count="3">
            <x v="0"/>
            <x v="3"/>
            <x v="4"/>
          </reference>
        </references>
      </pivotArea>
    </format>
    <format dxfId="4500">
      <pivotArea dataOnly="0" labelOnly="1" fieldPosition="0">
        <references count="2">
          <reference field="4" count="1" selected="0">
            <x v="2"/>
          </reference>
          <reference field="6" count="3">
            <x v="2"/>
            <x v="3"/>
            <x v="4"/>
          </reference>
        </references>
      </pivotArea>
    </format>
    <format dxfId="4499">
      <pivotArea dataOnly="0" labelOnly="1" fieldPosition="0">
        <references count="2">
          <reference field="4" count="1" selected="0">
            <x v="3"/>
          </reference>
          <reference field="6" count="1">
            <x v="3"/>
          </reference>
        </references>
      </pivotArea>
    </format>
    <format dxfId="4498">
      <pivotArea dataOnly="0" labelOnly="1" fieldPosition="0">
        <references count="2">
          <reference field="4" count="1" selected="0">
            <x v="4"/>
          </reference>
          <reference field="6" count="4">
            <x v="0"/>
            <x v="1"/>
            <x v="2"/>
            <x v="3"/>
          </reference>
        </references>
      </pivotArea>
    </format>
    <format dxfId="4497">
      <pivotArea dataOnly="0" labelOnly="1" fieldPosition="0">
        <references count="2">
          <reference field="4" count="1" selected="0">
            <x v="5"/>
          </reference>
          <reference field="6" count="2">
            <x v="0"/>
            <x v="4"/>
          </reference>
        </references>
      </pivotArea>
    </format>
    <format dxfId="4496">
      <pivotArea dataOnly="0" labelOnly="1" fieldPosition="0">
        <references count="2">
          <reference field="4" count="1" selected="0">
            <x v="6"/>
          </reference>
          <reference field="6" count="1">
            <x v="1"/>
          </reference>
        </references>
      </pivotArea>
    </format>
    <format dxfId="4495">
      <pivotArea dataOnly="0" labelOnly="1" fieldPosition="0">
        <references count="2">
          <reference field="4" count="1" selected="0">
            <x v="7"/>
          </reference>
          <reference field="6" count="4">
            <x v="0"/>
            <x v="2"/>
            <x v="3"/>
            <x v="4"/>
          </reference>
        </references>
      </pivotArea>
    </format>
    <format dxfId="4494">
      <pivotArea dataOnly="0" labelOnly="1" fieldPosition="0">
        <references count="2">
          <reference field="4" count="1" selected="0">
            <x v="8"/>
          </reference>
          <reference field="6" count="4">
            <x v="0"/>
            <x v="1"/>
            <x v="2"/>
            <x v="3"/>
          </reference>
        </references>
      </pivotArea>
    </format>
    <format dxfId="4493">
      <pivotArea dataOnly="0" labelOnly="1" fieldPosition="0">
        <references count="2">
          <reference field="4" count="1" selected="0">
            <x v="9"/>
          </reference>
          <reference field="6" count="1">
            <x v="1"/>
          </reference>
        </references>
      </pivotArea>
    </format>
    <format dxfId="4492">
      <pivotArea dataOnly="0" labelOnly="1" fieldPosition="0">
        <references count="2">
          <reference field="4" count="1" selected="0">
            <x v="10"/>
          </reference>
          <reference field="6" count="1">
            <x v="3"/>
          </reference>
        </references>
      </pivotArea>
    </format>
    <format dxfId="4491">
      <pivotArea dataOnly="0" labelOnly="1" fieldPosition="0">
        <references count="2">
          <reference field="4" count="1" selected="0">
            <x v="11"/>
          </reference>
          <reference field="6" count="1">
            <x v="0"/>
          </reference>
        </references>
      </pivotArea>
    </format>
    <format dxfId="4490">
      <pivotArea dataOnly="0" labelOnly="1" fieldPosition="0">
        <references count="2">
          <reference field="4" count="1" selected="0">
            <x v="12"/>
          </reference>
          <reference field="6" count="1">
            <x v="0"/>
          </reference>
        </references>
      </pivotArea>
    </format>
    <format dxfId="4489">
      <pivotArea dataOnly="0" labelOnly="1" fieldPosition="0">
        <references count="2">
          <reference field="4" count="1" selected="0">
            <x v="13"/>
          </reference>
          <reference field="6" count="1">
            <x v="3"/>
          </reference>
        </references>
      </pivotArea>
    </format>
    <format dxfId="4488">
      <pivotArea dataOnly="0" labelOnly="1" fieldPosition="0">
        <references count="2">
          <reference field="4" count="1" selected="0">
            <x v="14"/>
          </reference>
          <reference field="6" count="1">
            <x v="1"/>
          </reference>
        </references>
      </pivotArea>
    </format>
    <format dxfId="4487">
      <pivotArea dataOnly="0" labelOnly="1" fieldPosition="0">
        <references count="2">
          <reference field="4" count="1" selected="0">
            <x v="15"/>
          </reference>
          <reference field="6" count="1">
            <x v="0"/>
          </reference>
        </references>
      </pivotArea>
    </format>
    <format dxfId="4486">
      <pivotArea dataOnly="0" labelOnly="1" fieldPosition="0">
        <references count="2">
          <reference field="4" count="1" selected="0">
            <x v="16"/>
          </reference>
          <reference field="6" count="3">
            <x v="1"/>
            <x v="3"/>
            <x v="4"/>
          </reference>
        </references>
      </pivotArea>
    </format>
    <format dxfId="4485">
      <pivotArea dataOnly="0" labelOnly="1" fieldPosition="0">
        <references count="2">
          <reference field="4" count="1" selected="0">
            <x v="17"/>
          </reference>
          <reference field="6" count="1">
            <x v="0"/>
          </reference>
        </references>
      </pivotArea>
    </format>
    <format dxfId="4484">
      <pivotArea dataOnly="0" labelOnly="1" fieldPosition="0">
        <references count="2">
          <reference field="4" count="1" selected="0">
            <x v="18"/>
          </reference>
          <reference field="6" count="1">
            <x v="3"/>
          </reference>
        </references>
      </pivotArea>
    </format>
    <format dxfId="4483">
      <pivotArea dataOnly="0" labelOnly="1" fieldPosition="0">
        <references count="2">
          <reference field="4" count="1" selected="0">
            <x v="19"/>
          </reference>
          <reference field="6" count="1">
            <x v="3"/>
          </reference>
        </references>
      </pivotArea>
    </format>
    <format dxfId="4482">
      <pivotArea dataOnly="0" labelOnly="1" fieldPosition="0">
        <references count="2">
          <reference field="4" count="1" selected="0">
            <x v="20"/>
          </reference>
          <reference field="6" count="1">
            <x v="1"/>
          </reference>
        </references>
      </pivotArea>
    </format>
    <format dxfId="4481">
      <pivotArea dataOnly="0" labelOnly="1" fieldPosition="0">
        <references count="3">
          <reference field="4" count="1" selected="0">
            <x v="0"/>
          </reference>
          <reference field="6" count="1" selected="0">
            <x v="0"/>
          </reference>
          <reference field="7" count="2">
            <x v="17"/>
            <x v="19"/>
          </reference>
        </references>
      </pivotArea>
    </format>
    <format dxfId="4480">
      <pivotArea dataOnly="0" labelOnly="1" fieldPosition="0">
        <references count="3">
          <reference field="4" count="1" selected="0">
            <x v="0"/>
          </reference>
          <reference field="6" count="1" selected="0">
            <x v="1"/>
          </reference>
          <reference field="7" count="2">
            <x v="23"/>
            <x v="26"/>
          </reference>
        </references>
      </pivotArea>
    </format>
    <format dxfId="4479">
      <pivotArea dataOnly="0" labelOnly="1" fieldPosition="0">
        <references count="3">
          <reference field="4" count="1" selected="0">
            <x v="1"/>
          </reference>
          <reference field="6" count="1" selected="0">
            <x v="0"/>
          </reference>
          <reference field="7" count="1">
            <x v="19"/>
          </reference>
        </references>
      </pivotArea>
    </format>
    <format dxfId="4478">
      <pivotArea dataOnly="0" labelOnly="1" fieldPosition="0">
        <references count="3">
          <reference field="4" count="1" selected="0">
            <x v="1"/>
          </reference>
          <reference field="6" count="1" selected="0">
            <x v="3"/>
          </reference>
          <reference field="7" count="3">
            <x v="2"/>
            <x v="3"/>
            <x v="4"/>
          </reference>
        </references>
      </pivotArea>
    </format>
    <format dxfId="4477">
      <pivotArea dataOnly="0" labelOnly="1" fieldPosition="0">
        <references count="3">
          <reference field="4" count="1" selected="0">
            <x v="1"/>
          </reference>
          <reference field="6" count="1" selected="0">
            <x v="4"/>
          </reference>
          <reference field="7" count="1">
            <x v="8"/>
          </reference>
        </references>
      </pivotArea>
    </format>
    <format dxfId="4476">
      <pivotArea dataOnly="0" labelOnly="1" fieldPosition="0">
        <references count="3">
          <reference field="4" count="1" selected="0">
            <x v="2"/>
          </reference>
          <reference field="6" count="1" selected="0">
            <x v="2"/>
          </reference>
          <reference field="7" count="2">
            <x v="29"/>
            <x v="30"/>
          </reference>
        </references>
      </pivotArea>
    </format>
    <format dxfId="4475">
      <pivotArea dataOnly="0" labelOnly="1" fieldPosition="0">
        <references count="3">
          <reference field="4" count="1" selected="0">
            <x v="2"/>
          </reference>
          <reference field="6" count="1" selected="0">
            <x v="3"/>
          </reference>
          <reference field="7" count="2">
            <x v="5"/>
            <x v="7"/>
          </reference>
        </references>
      </pivotArea>
    </format>
    <format dxfId="4474">
      <pivotArea dataOnly="0" labelOnly="1" fieldPosition="0">
        <references count="3">
          <reference field="4" count="1" selected="0">
            <x v="2"/>
          </reference>
          <reference field="6" count="1" selected="0">
            <x v="4"/>
          </reference>
          <reference field="7" count="1">
            <x v="8"/>
          </reference>
        </references>
      </pivotArea>
    </format>
    <format dxfId="4473">
      <pivotArea dataOnly="0" labelOnly="1" fieldPosition="0">
        <references count="3">
          <reference field="4" count="1" selected="0">
            <x v="3"/>
          </reference>
          <reference field="6" count="1" selected="0">
            <x v="3"/>
          </reference>
          <reference field="7" count="1">
            <x v="6"/>
          </reference>
        </references>
      </pivotArea>
    </format>
    <format dxfId="4472">
      <pivotArea dataOnly="0" labelOnly="1" fieldPosition="0">
        <references count="3">
          <reference field="4" count="1" selected="0">
            <x v="4"/>
          </reference>
          <reference field="6" count="1" selected="0">
            <x v="0"/>
          </reference>
          <reference field="7" count="1">
            <x v="21"/>
          </reference>
        </references>
      </pivotArea>
    </format>
    <format dxfId="4471">
      <pivotArea dataOnly="0" labelOnly="1" fieldPosition="0">
        <references count="3">
          <reference field="4" count="1" selected="0">
            <x v="4"/>
          </reference>
          <reference field="6" count="1" selected="0">
            <x v="1"/>
          </reference>
          <reference field="7" count="1">
            <x v="24"/>
          </reference>
        </references>
      </pivotArea>
    </format>
    <format dxfId="4470">
      <pivotArea dataOnly="0" labelOnly="1" fieldPosition="0">
        <references count="3">
          <reference field="4" count="1" selected="0">
            <x v="4"/>
          </reference>
          <reference field="6" count="1" selected="0">
            <x v="2"/>
          </reference>
          <reference field="7" count="2">
            <x v="29"/>
            <x v="31"/>
          </reference>
        </references>
      </pivotArea>
    </format>
    <format dxfId="4469">
      <pivotArea dataOnly="0" labelOnly="1" fieldPosition="0">
        <references count="3">
          <reference field="4" count="1" selected="0">
            <x v="4"/>
          </reference>
          <reference field="6" count="1" selected="0">
            <x v="3"/>
          </reference>
          <reference field="7" count="2">
            <x v="0"/>
            <x v="1"/>
          </reference>
        </references>
      </pivotArea>
    </format>
    <format dxfId="4468">
      <pivotArea dataOnly="0" labelOnly="1" fieldPosition="0">
        <references count="3">
          <reference field="4" count="1" selected="0">
            <x v="5"/>
          </reference>
          <reference field="6" count="1" selected="0">
            <x v="0"/>
          </reference>
          <reference field="7" count="2">
            <x v="18"/>
            <x v="22"/>
          </reference>
        </references>
      </pivotArea>
    </format>
    <format dxfId="4467">
      <pivotArea dataOnly="0" labelOnly="1" fieldPosition="0">
        <references count="3">
          <reference field="4" count="1" selected="0">
            <x v="5"/>
          </reference>
          <reference field="6" count="1" selected="0">
            <x v="4"/>
          </reference>
          <reference field="7" count="1">
            <x v="8"/>
          </reference>
        </references>
      </pivotArea>
    </format>
    <format dxfId="4466">
      <pivotArea dataOnly="0" labelOnly="1" fieldPosition="0">
        <references count="3">
          <reference field="4" count="1" selected="0">
            <x v="6"/>
          </reference>
          <reference field="6" count="1" selected="0">
            <x v="1"/>
          </reference>
          <reference field="7" count="1">
            <x v="24"/>
          </reference>
        </references>
      </pivotArea>
    </format>
    <format dxfId="4465">
      <pivotArea dataOnly="0" labelOnly="1" fieldPosition="0">
        <references count="3">
          <reference field="4" count="1" selected="0">
            <x v="7"/>
          </reference>
          <reference field="6" count="1" selected="0">
            <x v="0"/>
          </reference>
          <reference field="7" count="1">
            <x v="16"/>
          </reference>
        </references>
      </pivotArea>
    </format>
    <format dxfId="4464">
      <pivotArea dataOnly="0" labelOnly="1" fieldPosition="0">
        <references count="3">
          <reference field="4" count="1" selected="0">
            <x v="7"/>
          </reference>
          <reference field="6" count="1" selected="0">
            <x v="2"/>
          </reference>
          <reference field="7" count="2">
            <x v="29"/>
            <x v="30"/>
          </reference>
        </references>
      </pivotArea>
    </format>
    <format dxfId="4463">
      <pivotArea dataOnly="0" labelOnly="1" fieldPosition="0">
        <references count="3">
          <reference field="4" count="1" selected="0">
            <x v="7"/>
          </reference>
          <reference field="6" count="1" selected="0">
            <x v="3"/>
          </reference>
          <reference field="7" count="1">
            <x v="6"/>
          </reference>
        </references>
      </pivotArea>
    </format>
    <format dxfId="4462">
      <pivotArea dataOnly="0" labelOnly="1" fieldPosition="0">
        <references count="3">
          <reference field="4" count="1" selected="0">
            <x v="7"/>
          </reference>
          <reference field="6" count="1" selected="0">
            <x v="4"/>
          </reference>
          <reference field="7" count="8">
            <x v="8"/>
            <x v="9"/>
            <x v="10"/>
            <x v="11"/>
            <x v="12"/>
            <x v="13"/>
            <x v="14"/>
            <x v="15"/>
          </reference>
        </references>
      </pivotArea>
    </format>
    <format dxfId="4461">
      <pivotArea dataOnly="0" labelOnly="1" fieldPosition="0">
        <references count="3">
          <reference field="4" count="1" selected="0">
            <x v="8"/>
          </reference>
          <reference field="6" count="1" selected="0">
            <x v="0"/>
          </reference>
          <reference field="7" count="2">
            <x v="18"/>
            <x v="22"/>
          </reference>
        </references>
      </pivotArea>
    </format>
    <format dxfId="4460">
      <pivotArea dataOnly="0" labelOnly="1" fieldPosition="0">
        <references count="3">
          <reference field="4" count="1" selected="0">
            <x v="8"/>
          </reference>
          <reference field="6" count="1" selected="0">
            <x v="1"/>
          </reference>
          <reference field="7" count="1">
            <x v="28"/>
          </reference>
        </references>
      </pivotArea>
    </format>
    <format dxfId="4459">
      <pivotArea dataOnly="0" labelOnly="1" fieldPosition="0">
        <references count="3">
          <reference field="4" count="1" selected="0">
            <x v="8"/>
          </reference>
          <reference field="6" count="1" selected="0">
            <x v="2"/>
          </reference>
          <reference field="7" count="1">
            <x v="32"/>
          </reference>
        </references>
      </pivotArea>
    </format>
    <format dxfId="4458">
      <pivotArea dataOnly="0" labelOnly="1" fieldPosition="0">
        <references count="3">
          <reference field="4" count="1" selected="0">
            <x v="8"/>
          </reference>
          <reference field="6" count="1" selected="0">
            <x v="3"/>
          </reference>
          <reference field="7" count="1">
            <x v="6"/>
          </reference>
        </references>
      </pivotArea>
    </format>
    <format dxfId="4457">
      <pivotArea dataOnly="0" labelOnly="1" fieldPosition="0">
        <references count="3">
          <reference field="4" count="1" selected="0">
            <x v="9"/>
          </reference>
          <reference field="6" count="1" selected="0">
            <x v="1"/>
          </reference>
          <reference field="7" count="1">
            <x v="25"/>
          </reference>
        </references>
      </pivotArea>
    </format>
    <format dxfId="4456">
      <pivotArea dataOnly="0" labelOnly="1" fieldPosition="0">
        <references count="3">
          <reference field="4" count="1" selected="0">
            <x v="10"/>
          </reference>
          <reference field="6" count="1" selected="0">
            <x v="3"/>
          </reference>
          <reference field="7" count="1">
            <x v="6"/>
          </reference>
        </references>
      </pivotArea>
    </format>
    <format dxfId="4455">
      <pivotArea dataOnly="0" labelOnly="1" fieldPosition="0">
        <references count="3">
          <reference field="4" count="1" selected="0">
            <x v="11"/>
          </reference>
          <reference field="6" count="1" selected="0">
            <x v="0"/>
          </reference>
          <reference field="7" count="1">
            <x v="17"/>
          </reference>
        </references>
      </pivotArea>
    </format>
    <format dxfId="4454">
      <pivotArea dataOnly="0" labelOnly="1" fieldPosition="0">
        <references count="3">
          <reference field="4" count="1" selected="0">
            <x v="12"/>
          </reference>
          <reference field="6" count="1" selected="0">
            <x v="0"/>
          </reference>
          <reference field="7" count="1">
            <x v="18"/>
          </reference>
        </references>
      </pivotArea>
    </format>
    <format dxfId="4453">
      <pivotArea dataOnly="0" labelOnly="1" fieldPosition="0">
        <references count="3">
          <reference field="4" count="1" selected="0">
            <x v="13"/>
          </reference>
          <reference field="6" count="1" selected="0">
            <x v="3"/>
          </reference>
          <reference field="7" count="2">
            <x v="1"/>
            <x v="5"/>
          </reference>
        </references>
      </pivotArea>
    </format>
    <format dxfId="4452">
      <pivotArea dataOnly="0" labelOnly="1" fieldPosition="0">
        <references count="3">
          <reference field="4" count="1" selected="0">
            <x v="14"/>
          </reference>
          <reference field="6" count="1" selected="0">
            <x v="1"/>
          </reference>
          <reference field="7" count="1">
            <x v="26"/>
          </reference>
        </references>
      </pivotArea>
    </format>
    <format dxfId="4451">
      <pivotArea dataOnly="0" labelOnly="1" fieldPosition="0">
        <references count="3">
          <reference field="4" count="1" selected="0">
            <x v="15"/>
          </reference>
          <reference field="6" count="1" selected="0">
            <x v="0"/>
          </reference>
          <reference field="7" count="1">
            <x v="20"/>
          </reference>
        </references>
      </pivotArea>
    </format>
    <format dxfId="4450">
      <pivotArea dataOnly="0" labelOnly="1" fieldPosition="0">
        <references count="3">
          <reference field="4" count="1" selected="0">
            <x v="16"/>
          </reference>
          <reference field="6" count="1" selected="0">
            <x v="1"/>
          </reference>
          <reference field="7" count="1">
            <x v="27"/>
          </reference>
        </references>
      </pivotArea>
    </format>
    <format dxfId="4449">
      <pivotArea dataOnly="0" labelOnly="1" fieldPosition="0">
        <references count="3">
          <reference field="4" count="1" selected="0">
            <x v="16"/>
          </reference>
          <reference field="6" count="1" selected="0">
            <x v="3"/>
          </reference>
          <reference field="7" count="1">
            <x v="1"/>
          </reference>
        </references>
      </pivotArea>
    </format>
    <format dxfId="4448">
      <pivotArea dataOnly="0" labelOnly="1" fieldPosition="0">
        <references count="3">
          <reference field="4" count="1" selected="0">
            <x v="16"/>
          </reference>
          <reference field="6" count="1" selected="0">
            <x v="4"/>
          </reference>
          <reference field="7" count="2">
            <x v="8"/>
            <x v="11"/>
          </reference>
        </references>
      </pivotArea>
    </format>
    <format dxfId="4447">
      <pivotArea dataOnly="0" labelOnly="1" fieldPosition="0">
        <references count="3">
          <reference field="4" count="1" selected="0">
            <x v="17"/>
          </reference>
          <reference field="6" count="1" selected="0">
            <x v="0"/>
          </reference>
          <reference field="7" count="2">
            <x v="16"/>
            <x v="22"/>
          </reference>
        </references>
      </pivotArea>
    </format>
    <format dxfId="4446">
      <pivotArea dataOnly="0" labelOnly="1" fieldPosition="0">
        <references count="3">
          <reference field="4" count="1" selected="0">
            <x v="18"/>
          </reference>
          <reference field="6" count="1" selected="0">
            <x v="3"/>
          </reference>
          <reference field="7" count="1">
            <x v="2"/>
          </reference>
        </references>
      </pivotArea>
    </format>
    <format dxfId="4445">
      <pivotArea dataOnly="0" labelOnly="1" fieldPosition="0">
        <references count="3">
          <reference field="4" count="1" selected="0">
            <x v="19"/>
          </reference>
          <reference field="6" count="1" selected="0">
            <x v="3"/>
          </reference>
          <reference field="7" count="1">
            <x v="6"/>
          </reference>
        </references>
      </pivotArea>
    </format>
    <format dxfId="4444">
      <pivotArea dataOnly="0" labelOnly="1" fieldPosition="0">
        <references count="3">
          <reference field="4" count="1" selected="0">
            <x v="20"/>
          </reference>
          <reference field="6" count="1" selected="0">
            <x v="1"/>
          </reference>
          <reference field="7" count="1">
            <x v="24"/>
          </reference>
        </references>
      </pivotArea>
    </format>
    <format dxfId="4443">
      <pivotArea dataOnly="0" labelOnly="1" fieldPosition="0">
        <references count="4">
          <reference field="4" count="1" selected="0">
            <x v="0"/>
          </reference>
          <reference field="6" count="1" selected="0">
            <x v="0"/>
          </reference>
          <reference field="7" count="1" selected="0">
            <x v="17"/>
          </reference>
          <reference field="8" count="5">
            <x v="65"/>
            <x v="66"/>
            <x v="67"/>
            <x v="68"/>
            <x v="69"/>
          </reference>
        </references>
      </pivotArea>
    </format>
    <format dxfId="4442">
      <pivotArea dataOnly="0" labelOnly="1" fieldPosition="0">
        <references count="4">
          <reference field="4" count="1" selected="0">
            <x v="0"/>
          </reference>
          <reference field="6" count="1" selected="0">
            <x v="0"/>
          </reference>
          <reference field="7" count="1" selected="0">
            <x v="19"/>
          </reference>
          <reference field="8" count="3">
            <x v="78"/>
            <x v="79"/>
            <x v="80"/>
          </reference>
        </references>
      </pivotArea>
    </format>
    <format dxfId="4441">
      <pivotArea dataOnly="0" labelOnly="1" fieldPosition="0">
        <references count="4">
          <reference field="4" count="1" selected="0">
            <x v="0"/>
          </reference>
          <reference field="6" count="1" selected="0">
            <x v="1"/>
          </reference>
          <reference field="7" count="1" selected="0">
            <x v="23"/>
          </reference>
          <reference field="8" count="10">
            <x v="95"/>
            <x v="96"/>
            <x v="97"/>
            <x v="98"/>
            <x v="99"/>
            <x v="100"/>
            <x v="101"/>
            <x v="102"/>
            <x v="103"/>
            <x v="104"/>
          </reference>
        </references>
      </pivotArea>
    </format>
    <format dxfId="4440">
      <pivotArea dataOnly="0" labelOnly="1" fieldPosition="0">
        <references count="4">
          <reference field="4" count="1" selected="0">
            <x v="0"/>
          </reference>
          <reference field="6" count="1" selected="0">
            <x v="1"/>
          </reference>
          <reference field="7" count="1" selected="0">
            <x v="26"/>
          </reference>
          <reference field="8" count="1">
            <x v="131"/>
          </reference>
        </references>
      </pivotArea>
    </format>
    <format dxfId="4439">
      <pivotArea dataOnly="0" labelOnly="1" fieldPosition="0">
        <references count="4">
          <reference field="4" count="1" selected="0">
            <x v="1"/>
          </reference>
          <reference field="6" count="1" selected="0">
            <x v="0"/>
          </reference>
          <reference field="7" count="1" selected="0">
            <x v="19"/>
          </reference>
          <reference field="8" count="1">
            <x v="81"/>
          </reference>
        </references>
      </pivotArea>
    </format>
    <format dxfId="4438">
      <pivotArea dataOnly="0" labelOnly="1" fieldPosition="0">
        <references count="4">
          <reference field="4" count="1" selected="0">
            <x v="1"/>
          </reference>
          <reference field="6" count="1" selected="0">
            <x v="3"/>
          </reference>
          <reference field="7" count="1" selected="0">
            <x v="2"/>
          </reference>
          <reference field="8" count="7">
            <x v="7"/>
            <x v="10"/>
            <x v="11"/>
            <x v="12"/>
            <x v="13"/>
            <x v="14"/>
            <x v="15"/>
          </reference>
        </references>
      </pivotArea>
    </format>
    <format dxfId="4437">
      <pivotArea dataOnly="0" labelOnly="1" fieldPosition="0">
        <references count="4">
          <reference field="4" count="1" selected="0">
            <x v="1"/>
          </reference>
          <reference field="6" count="1" selected="0">
            <x v="3"/>
          </reference>
          <reference field="7" count="1" selected="0">
            <x v="3"/>
          </reference>
          <reference field="8" count="2">
            <x v="18"/>
            <x v="19"/>
          </reference>
        </references>
      </pivotArea>
    </format>
    <format dxfId="4436">
      <pivotArea dataOnly="0" labelOnly="1" fieldPosition="0">
        <references count="4">
          <reference field="4" count="1" selected="0">
            <x v="1"/>
          </reference>
          <reference field="6" count="1" selected="0">
            <x v="3"/>
          </reference>
          <reference field="7" count="1" selected="0">
            <x v="4"/>
          </reference>
          <reference field="8" count="2">
            <x v="20"/>
            <x v="21"/>
          </reference>
        </references>
      </pivotArea>
    </format>
    <format dxfId="4435">
      <pivotArea dataOnly="0" labelOnly="1" fieldPosition="0">
        <references count="4">
          <reference field="4" count="1" selected="0">
            <x v="1"/>
          </reference>
          <reference field="6" count="1" selected="0">
            <x v="4"/>
          </reference>
          <reference field="7" count="1" selected="0">
            <x v="8"/>
          </reference>
          <reference field="8" count="3">
            <x v="33"/>
            <x v="34"/>
            <x v="39"/>
          </reference>
        </references>
      </pivotArea>
    </format>
    <format dxfId="4434">
      <pivotArea dataOnly="0" labelOnly="1" fieldPosition="0">
        <references count="4">
          <reference field="4" count="1" selected="0">
            <x v="2"/>
          </reference>
          <reference field="6" count="1" selected="0">
            <x v="2"/>
          </reference>
          <reference field="7" count="1" selected="0">
            <x v="29"/>
          </reference>
          <reference field="8" count="6">
            <x v="145"/>
            <x v="146"/>
            <x v="147"/>
            <x v="148"/>
            <x v="149"/>
            <x v="150"/>
          </reference>
        </references>
      </pivotArea>
    </format>
    <format dxfId="4433">
      <pivotArea dataOnly="0" labelOnly="1" fieldPosition="0">
        <references count="4">
          <reference field="4" count="1" selected="0">
            <x v="2"/>
          </reference>
          <reference field="6" count="1" selected="0">
            <x v="2"/>
          </reference>
          <reference field="7" count="1" selected="0">
            <x v="30"/>
          </reference>
          <reference field="8" count="2">
            <x v="152"/>
            <x v="153"/>
          </reference>
        </references>
      </pivotArea>
    </format>
    <format dxfId="4432">
      <pivotArea dataOnly="0" labelOnly="1" fieldPosition="0">
        <references count="4">
          <reference field="4" count="1" selected="0">
            <x v="2"/>
          </reference>
          <reference field="6" count="1" selected="0">
            <x v="3"/>
          </reference>
          <reference field="7" count="1" selected="0">
            <x v="5"/>
          </reference>
          <reference field="8" count="1">
            <x v="24"/>
          </reference>
        </references>
      </pivotArea>
    </format>
    <format dxfId="4431">
      <pivotArea dataOnly="0" labelOnly="1" fieldPosition="0">
        <references count="4">
          <reference field="4" count="1" selected="0">
            <x v="2"/>
          </reference>
          <reference field="6" count="1" selected="0">
            <x v="3"/>
          </reference>
          <reference field="7" count="1" selected="0">
            <x v="7"/>
          </reference>
          <reference field="8" count="2">
            <x v="31"/>
            <x v="32"/>
          </reference>
        </references>
      </pivotArea>
    </format>
    <format dxfId="4430">
      <pivotArea dataOnly="0" labelOnly="1" fieldPosition="0">
        <references count="4">
          <reference field="4" count="1" selected="0">
            <x v="2"/>
          </reference>
          <reference field="6" count="1" selected="0">
            <x v="4"/>
          </reference>
          <reference field="7" count="1" selected="0">
            <x v="8"/>
          </reference>
          <reference field="8" count="2">
            <x v="36"/>
            <x v="39"/>
          </reference>
        </references>
      </pivotArea>
    </format>
    <format dxfId="4429">
      <pivotArea dataOnly="0" labelOnly="1" fieldPosition="0">
        <references count="4">
          <reference field="4" count="1" selected="0">
            <x v="3"/>
          </reference>
          <reference field="6" count="1" selected="0">
            <x v="3"/>
          </reference>
          <reference field="7" count="1" selected="0">
            <x v="6"/>
          </reference>
          <reference field="8" count="1">
            <x v="29"/>
          </reference>
        </references>
      </pivotArea>
    </format>
    <format dxfId="4428">
      <pivotArea dataOnly="0" labelOnly="1" fieldPosition="0">
        <references count="4">
          <reference field="4" count="1" selected="0">
            <x v="4"/>
          </reference>
          <reference field="6" count="1" selected="0">
            <x v="0"/>
          </reference>
          <reference field="7" count="1" selected="0">
            <x v="21"/>
          </reference>
          <reference field="8" count="5">
            <x v="87"/>
            <x v="88"/>
            <x v="89"/>
            <x v="90"/>
            <x v="91"/>
          </reference>
        </references>
      </pivotArea>
    </format>
    <format dxfId="4427">
      <pivotArea dataOnly="0" labelOnly="1" fieldPosition="0">
        <references count="4">
          <reference field="4" count="1" selected="0">
            <x v="4"/>
          </reference>
          <reference field="6" count="1" selected="0">
            <x v="1"/>
          </reference>
          <reference field="7" count="1" selected="0">
            <x v="24"/>
          </reference>
          <reference field="8" count="1">
            <x v="114"/>
          </reference>
        </references>
      </pivotArea>
    </format>
    <format dxfId="4426">
      <pivotArea dataOnly="0" labelOnly="1" fieldPosition="0">
        <references count="4">
          <reference field="4" count="1" selected="0">
            <x v="4"/>
          </reference>
          <reference field="6" count="1" selected="0">
            <x v="2"/>
          </reference>
          <reference field="7" count="1" selected="0">
            <x v="29"/>
          </reference>
          <reference field="8" count="3">
            <x v="142"/>
            <x v="143"/>
            <x v="151"/>
          </reference>
        </references>
      </pivotArea>
    </format>
    <format dxfId="4425">
      <pivotArea dataOnly="0" labelOnly="1" fieldPosition="0">
        <references count="4">
          <reference field="4" count="1" selected="0">
            <x v="4"/>
          </reference>
          <reference field="6" count="1" selected="0">
            <x v="2"/>
          </reference>
          <reference field="7" count="1" selected="0">
            <x v="31"/>
          </reference>
          <reference field="8" count="3">
            <x v="155"/>
            <x v="156"/>
            <x v="157"/>
          </reference>
        </references>
      </pivotArea>
    </format>
    <format dxfId="4424">
      <pivotArea dataOnly="0" labelOnly="1" fieldPosition="0">
        <references count="4">
          <reference field="4" count="1" selected="0">
            <x v="4"/>
          </reference>
          <reference field="6" count="1" selected="0">
            <x v="3"/>
          </reference>
          <reference field="7" count="1" selected="0">
            <x v="0"/>
          </reference>
          <reference field="8" count="2">
            <x v="0"/>
            <x v="1"/>
          </reference>
        </references>
      </pivotArea>
    </format>
    <format dxfId="4423">
      <pivotArea dataOnly="0" labelOnly="1" fieldPosition="0">
        <references count="4">
          <reference field="4" count="1" selected="0">
            <x v="4"/>
          </reference>
          <reference field="6" count="1" selected="0">
            <x v="3"/>
          </reference>
          <reference field="7" count="1" selected="0">
            <x v="1"/>
          </reference>
          <reference field="8" count="4">
            <x v="2"/>
            <x v="3"/>
            <x v="4"/>
            <x v="5"/>
          </reference>
        </references>
      </pivotArea>
    </format>
    <format dxfId="4422">
      <pivotArea dataOnly="0" labelOnly="1" fieldPosition="0">
        <references count="4">
          <reference field="4" count="1" selected="0">
            <x v="5"/>
          </reference>
          <reference field="6" count="1" selected="0">
            <x v="0"/>
          </reference>
          <reference field="7" count="1" selected="0">
            <x v="18"/>
          </reference>
          <reference field="8" count="3">
            <x v="73"/>
            <x v="74"/>
            <x v="77"/>
          </reference>
        </references>
      </pivotArea>
    </format>
    <format dxfId="4421">
      <pivotArea dataOnly="0" labelOnly="1" fieldPosition="0">
        <references count="4">
          <reference field="4" count="1" selected="0">
            <x v="5"/>
          </reference>
          <reference field="6" count="1" selected="0">
            <x v="0"/>
          </reference>
          <reference field="7" count="1" selected="0">
            <x v="22"/>
          </reference>
          <reference field="8" count="1">
            <x v="94"/>
          </reference>
        </references>
      </pivotArea>
    </format>
    <format dxfId="4420">
      <pivotArea dataOnly="0" labelOnly="1" fieldPosition="0">
        <references count="4">
          <reference field="4" count="1" selected="0">
            <x v="5"/>
          </reference>
          <reference field="6" count="1" selected="0">
            <x v="4"/>
          </reference>
          <reference field="7" count="1" selected="0">
            <x v="8"/>
          </reference>
          <reference field="8" count="1">
            <x v="37"/>
          </reference>
        </references>
      </pivotArea>
    </format>
    <format dxfId="4419">
      <pivotArea dataOnly="0" labelOnly="1" fieldPosition="0">
        <references count="4">
          <reference field="4" count="1" selected="0">
            <x v="6"/>
          </reference>
          <reference field="6" count="1" selected="0">
            <x v="1"/>
          </reference>
          <reference field="7" count="1" selected="0">
            <x v="24"/>
          </reference>
          <reference field="8" count="8">
            <x v="105"/>
            <x v="107"/>
            <x v="108"/>
            <x v="109"/>
            <x v="110"/>
            <x v="111"/>
            <x v="112"/>
            <x v="113"/>
          </reference>
        </references>
      </pivotArea>
    </format>
    <format dxfId="4418">
      <pivotArea dataOnly="0" labelOnly="1" fieldPosition="0">
        <references count="4">
          <reference field="4" count="1" selected="0">
            <x v="7"/>
          </reference>
          <reference field="6" count="1" selected="0">
            <x v="0"/>
          </reference>
          <reference field="7" count="1" selected="0">
            <x v="16"/>
          </reference>
          <reference field="8" count="1">
            <x v="64"/>
          </reference>
        </references>
      </pivotArea>
    </format>
    <format dxfId="4417">
      <pivotArea dataOnly="0" labelOnly="1" fieldPosition="0">
        <references count="4">
          <reference field="4" count="1" selected="0">
            <x v="7"/>
          </reference>
          <reference field="6" count="1" selected="0">
            <x v="2"/>
          </reference>
          <reference field="7" count="1" selected="0">
            <x v="29"/>
          </reference>
          <reference field="8" count="4">
            <x v="140"/>
            <x v="141"/>
            <x v="144"/>
            <x v="145"/>
          </reference>
        </references>
      </pivotArea>
    </format>
    <format dxfId="4416">
      <pivotArea dataOnly="0" labelOnly="1" fieldPosition="0">
        <references count="4">
          <reference field="4" count="1" selected="0">
            <x v="7"/>
          </reference>
          <reference field="6" count="1" selected="0">
            <x v="2"/>
          </reference>
          <reference field="7" count="1" selected="0">
            <x v="30"/>
          </reference>
          <reference field="8" count="1">
            <x v="154"/>
          </reference>
        </references>
      </pivotArea>
    </format>
    <format dxfId="4415">
      <pivotArea dataOnly="0" labelOnly="1" fieldPosition="0">
        <references count="4">
          <reference field="4" count="1" selected="0">
            <x v="7"/>
          </reference>
          <reference field="6" count="1" selected="0">
            <x v="3"/>
          </reference>
          <reference field="7" count="1" selected="0">
            <x v="6"/>
          </reference>
          <reference field="8" count="1">
            <x v="28"/>
          </reference>
        </references>
      </pivotArea>
    </format>
    <format dxfId="4414">
      <pivotArea dataOnly="0" labelOnly="1" fieldPosition="0">
        <references count="4">
          <reference field="4" count="1" selected="0">
            <x v="7"/>
          </reference>
          <reference field="6" count="1" selected="0">
            <x v="4"/>
          </reference>
          <reference field="7" count="1" selected="0">
            <x v="8"/>
          </reference>
          <reference field="8" count="2">
            <x v="35"/>
            <x v="36"/>
          </reference>
        </references>
      </pivotArea>
    </format>
    <format dxfId="4413">
      <pivotArea dataOnly="0" labelOnly="1" fieldPosition="0">
        <references count="4">
          <reference field="4" count="1" selected="0">
            <x v="7"/>
          </reference>
          <reference field="6" count="1" selected="0">
            <x v="4"/>
          </reference>
          <reference field="7" count="1" selected="0">
            <x v="9"/>
          </reference>
          <reference field="8" count="4">
            <x v="40"/>
            <x v="41"/>
            <x v="42"/>
            <x v="43"/>
          </reference>
        </references>
      </pivotArea>
    </format>
    <format dxfId="4412">
      <pivotArea dataOnly="0" labelOnly="1" fieldPosition="0">
        <references count="4">
          <reference field="4" count="1" selected="0">
            <x v="7"/>
          </reference>
          <reference field="6" count="1" selected="0">
            <x v="4"/>
          </reference>
          <reference field="7" count="1" selected="0">
            <x v="10"/>
          </reference>
          <reference field="8" count="4">
            <x v="44"/>
            <x v="45"/>
            <x v="46"/>
            <x v="47"/>
          </reference>
        </references>
      </pivotArea>
    </format>
    <format dxfId="4411">
      <pivotArea dataOnly="0" labelOnly="1" fieldPosition="0">
        <references count="4">
          <reference field="4" count="1" selected="0">
            <x v="7"/>
          </reference>
          <reference field="6" count="1" selected="0">
            <x v="4"/>
          </reference>
          <reference field="7" count="1" selected="0">
            <x v="11"/>
          </reference>
          <reference field="8" count="2">
            <x v="48"/>
            <x v="49"/>
          </reference>
        </references>
      </pivotArea>
    </format>
    <format dxfId="4410">
      <pivotArea dataOnly="0" labelOnly="1" fieldPosition="0">
        <references count="4">
          <reference field="4" count="1" selected="0">
            <x v="7"/>
          </reference>
          <reference field="6" count="1" selected="0">
            <x v="4"/>
          </reference>
          <reference field="7" count="1" selected="0">
            <x v="12"/>
          </reference>
          <reference field="8" count="1">
            <x v="50"/>
          </reference>
        </references>
      </pivotArea>
    </format>
    <format dxfId="4409">
      <pivotArea dataOnly="0" labelOnly="1" fieldPosition="0">
        <references count="4">
          <reference field="4" count="1" selected="0">
            <x v="7"/>
          </reference>
          <reference field="6" count="1" selected="0">
            <x v="4"/>
          </reference>
          <reference field="7" count="1" selected="0">
            <x v="13"/>
          </reference>
          <reference field="8" count="3">
            <x v="51"/>
            <x v="52"/>
            <x v="53"/>
          </reference>
        </references>
      </pivotArea>
    </format>
    <format dxfId="4408">
      <pivotArea dataOnly="0" labelOnly="1" fieldPosition="0">
        <references count="4">
          <reference field="4" count="1" selected="0">
            <x v="7"/>
          </reference>
          <reference field="6" count="1" selected="0">
            <x v="4"/>
          </reference>
          <reference field="7" count="1" selected="0">
            <x v="14"/>
          </reference>
          <reference field="8" count="2">
            <x v="54"/>
            <x v="55"/>
          </reference>
        </references>
      </pivotArea>
    </format>
    <format dxfId="4407">
      <pivotArea dataOnly="0" labelOnly="1" fieldPosition="0">
        <references count="4">
          <reference field="4" count="1" selected="0">
            <x v="7"/>
          </reference>
          <reference field="6" count="1" selected="0">
            <x v="4"/>
          </reference>
          <reference field="7" count="1" selected="0">
            <x v="15"/>
          </reference>
          <reference field="8" count="1">
            <x v="56"/>
          </reference>
        </references>
      </pivotArea>
    </format>
    <format dxfId="4406">
      <pivotArea dataOnly="0" labelOnly="1" fieldPosition="0">
        <references count="4">
          <reference field="4" count="1" selected="0">
            <x v="8"/>
          </reference>
          <reference field="6" count="1" selected="0">
            <x v="0"/>
          </reference>
          <reference field="7" count="1" selected="0">
            <x v="18"/>
          </reference>
          <reference field="8" count="1">
            <x v="77"/>
          </reference>
        </references>
      </pivotArea>
    </format>
    <format dxfId="4405">
      <pivotArea dataOnly="0" labelOnly="1" fieldPosition="0">
        <references count="4">
          <reference field="4" count="1" selected="0">
            <x v="8"/>
          </reference>
          <reference field="6" count="1" selected="0">
            <x v="0"/>
          </reference>
          <reference field="7" count="1" selected="0">
            <x v="22"/>
          </reference>
          <reference field="8" count="3">
            <x v="92"/>
            <x v="93"/>
            <x v="94"/>
          </reference>
        </references>
      </pivotArea>
    </format>
    <format dxfId="4404">
      <pivotArea dataOnly="0" labelOnly="1" fieldPosition="0">
        <references count="4">
          <reference field="4" count="1" selected="0">
            <x v="8"/>
          </reference>
          <reference field="6" count="1" selected="0">
            <x v="1"/>
          </reference>
          <reference field="7" count="1" selected="0">
            <x v="28"/>
          </reference>
          <reference field="8" count="2">
            <x v="138"/>
            <x v="139"/>
          </reference>
        </references>
      </pivotArea>
    </format>
    <format dxfId="4403">
      <pivotArea dataOnly="0" labelOnly="1" fieldPosition="0">
        <references count="4">
          <reference field="4" count="1" selected="0">
            <x v="8"/>
          </reference>
          <reference field="6" count="1" selected="0">
            <x v="2"/>
          </reference>
          <reference field="7" count="1" selected="0">
            <x v="32"/>
          </reference>
          <reference field="8" count="2">
            <x v="158"/>
            <x v="159"/>
          </reference>
        </references>
      </pivotArea>
    </format>
    <format dxfId="4402">
      <pivotArea dataOnly="0" labelOnly="1" fieldPosition="0">
        <references count="4">
          <reference field="4" count="1" selected="0">
            <x v="8"/>
          </reference>
          <reference field="6" count="1" selected="0">
            <x v="3"/>
          </reference>
          <reference field="7" count="1" selected="0">
            <x v="6"/>
          </reference>
          <reference field="8" count="2">
            <x v="29"/>
            <x v="30"/>
          </reference>
        </references>
      </pivotArea>
    </format>
    <format dxfId="4401">
      <pivotArea dataOnly="0" labelOnly="1" fieldPosition="0">
        <references count="4">
          <reference field="4" count="1" selected="0">
            <x v="9"/>
          </reference>
          <reference field="6" count="1" selected="0">
            <x v="1"/>
          </reference>
          <reference field="7" count="1" selected="0">
            <x v="25"/>
          </reference>
          <reference field="8" count="10">
            <x v="115"/>
            <x v="116"/>
            <x v="117"/>
            <x v="118"/>
            <x v="119"/>
            <x v="120"/>
            <x v="121"/>
            <x v="122"/>
            <x v="123"/>
            <x v="124"/>
          </reference>
        </references>
      </pivotArea>
    </format>
    <format dxfId="4400">
      <pivotArea dataOnly="0" labelOnly="1" fieldPosition="0">
        <references count="4">
          <reference field="4" count="1" selected="0">
            <x v="10"/>
          </reference>
          <reference field="6" count="1" selected="0">
            <x v="3"/>
          </reference>
          <reference field="7" count="1" selected="0">
            <x v="6"/>
          </reference>
          <reference field="8" count="1">
            <x v="29"/>
          </reference>
        </references>
      </pivotArea>
    </format>
    <format dxfId="4399">
      <pivotArea dataOnly="0" labelOnly="1" fieldPosition="0">
        <references count="4">
          <reference field="4" count="1" selected="0">
            <x v="11"/>
          </reference>
          <reference field="6" count="1" selected="0">
            <x v="0"/>
          </reference>
          <reference field="7" count="1" selected="0">
            <x v="17"/>
          </reference>
          <reference field="8" count="3">
            <x v="70"/>
            <x v="71"/>
            <x v="72"/>
          </reference>
        </references>
      </pivotArea>
    </format>
    <format dxfId="4398">
      <pivotArea dataOnly="0" labelOnly="1" fieldPosition="0">
        <references count="4">
          <reference field="4" count="1" selected="0">
            <x v="12"/>
          </reference>
          <reference field="6" count="1" selected="0">
            <x v="0"/>
          </reference>
          <reference field="7" count="1" selected="0">
            <x v="18"/>
          </reference>
          <reference field="8" count="3">
            <x v="74"/>
            <x v="75"/>
            <x v="76"/>
          </reference>
        </references>
      </pivotArea>
    </format>
    <format dxfId="4397">
      <pivotArea dataOnly="0" labelOnly="1" fieldPosition="0">
        <references count="4">
          <reference field="4" count="1" selected="0">
            <x v="13"/>
          </reference>
          <reference field="6" count="1" selected="0">
            <x v="3"/>
          </reference>
          <reference field="7" count="1" selected="0">
            <x v="1"/>
          </reference>
          <reference field="8" count="1">
            <x v="6"/>
          </reference>
        </references>
      </pivotArea>
    </format>
    <format dxfId="4396">
      <pivotArea dataOnly="0" labelOnly="1" fieldPosition="0">
        <references count="4">
          <reference field="4" count="1" selected="0">
            <x v="13"/>
          </reference>
          <reference field="6" count="1" selected="0">
            <x v="3"/>
          </reference>
          <reference field="7" count="1" selected="0">
            <x v="5"/>
          </reference>
          <reference field="8" count="6">
            <x v="22"/>
            <x v="23"/>
            <x v="24"/>
            <x v="25"/>
            <x v="26"/>
            <x v="27"/>
          </reference>
        </references>
      </pivotArea>
    </format>
    <format dxfId="4395">
      <pivotArea dataOnly="0" labelOnly="1" fieldPosition="0">
        <references count="4">
          <reference field="4" count="1" selected="0">
            <x v="14"/>
          </reference>
          <reference field="6" count="1" selected="0">
            <x v="1"/>
          </reference>
          <reference field="7" count="1" selected="0">
            <x v="26"/>
          </reference>
          <reference field="8" count="7">
            <x v="125"/>
            <x v="126"/>
            <x v="127"/>
            <x v="128"/>
            <x v="129"/>
            <x v="130"/>
            <x v="131"/>
          </reference>
        </references>
      </pivotArea>
    </format>
    <format dxfId="4394">
      <pivotArea dataOnly="0" labelOnly="1" fieldPosition="0">
        <references count="4">
          <reference field="4" count="1" selected="0">
            <x v="15"/>
          </reference>
          <reference field="6" count="1" selected="0">
            <x v="0"/>
          </reference>
          <reference field="7" count="1" selected="0">
            <x v="20"/>
          </reference>
          <reference field="8" count="5">
            <x v="82"/>
            <x v="83"/>
            <x v="84"/>
            <x v="85"/>
            <x v="86"/>
          </reference>
        </references>
      </pivotArea>
    </format>
    <format dxfId="4393">
      <pivotArea dataOnly="0" labelOnly="1" fieldPosition="0">
        <references count="4">
          <reference field="4" count="1" selected="0">
            <x v="16"/>
          </reference>
          <reference field="6" count="1" selected="0">
            <x v="1"/>
          </reference>
          <reference field="7" count="1" selected="0">
            <x v="27"/>
          </reference>
          <reference field="8" count="6">
            <x v="132"/>
            <x v="133"/>
            <x v="134"/>
            <x v="135"/>
            <x v="136"/>
            <x v="137"/>
          </reference>
        </references>
      </pivotArea>
    </format>
    <format dxfId="4392">
      <pivotArea dataOnly="0" labelOnly="1" fieldPosition="0">
        <references count="4">
          <reference field="4" count="1" selected="0">
            <x v="16"/>
          </reference>
          <reference field="6" count="1" selected="0">
            <x v="3"/>
          </reference>
          <reference field="7" count="1" selected="0">
            <x v="1"/>
          </reference>
          <reference field="8" count="1">
            <x v="6"/>
          </reference>
        </references>
      </pivotArea>
    </format>
    <format dxfId="4391">
      <pivotArea dataOnly="0" labelOnly="1" fieldPosition="0">
        <references count="4">
          <reference field="4" count="1" selected="0">
            <x v="16"/>
          </reference>
          <reference field="6" count="1" selected="0">
            <x v="4"/>
          </reference>
          <reference field="7" count="1" selected="0">
            <x v="8"/>
          </reference>
          <reference field="8" count="1">
            <x v="38"/>
          </reference>
        </references>
      </pivotArea>
    </format>
    <format dxfId="4390">
      <pivotArea dataOnly="0" labelOnly="1" fieldPosition="0">
        <references count="4">
          <reference field="4" count="1" selected="0">
            <x v="16"/>
          </reference>
          <reference field="6" count="1" selected="0">
            <x v="4"/>
          </reference>
          <reference field="7" count="1" selected="0">
            <x v="11"/>
          </reference>
          <reference field="8" count="1">
            <x v="48"/>
          </reference>
        </references>
      </pivotArea>
    </format>
    <format dxfId="4389">
      <pivotArea dataOnly="0" labelOnly="1" fieldPosition="0">
        <references count="4">
          <reference field="4" count="1" selected="0">
            <x v="17"/>
          </reference>
          <reference field="6" count="1" selected="0">
            <x v="0"/>
          </reference>
          <reference field="7" count="1" selected="0">
            <x v="16"/>
          </reference>
          <reference field="8" count="7">
            <x v="57"/>
            <x v="58"/>
            <x v="59"/>
            <x v="60"/>
            <x v="61"/>
            <x v="62"/>
            <x v="63"/>
          </reference>
        </references>
      </pivotArea>
    </format>
    <format dxfId="4388">
      <pivotArea dataOnly="0" labelOnly="1" fieldPosition="0">
        <references count="4">
          <reference field="4" count="1" selected="0">
            <x v="17"/>
          </reference>
          <reference field="6" count="1" selected="0">
            <x v="0"/>
          </reference>
          <reference field="7" count="1" selected="0">
            <x v="22"/>
          </reference>
          <reference field="8" count="1">
            <x v="94"/>
          </reference>
        </references>
      </pivotArea>
    </format>
    <format dxfId="4387">
      <pivotArea dataOnly="0" labelOnly="1" fieldPosition="0">
        <references count="4">
          <reference field="4" count="1" selected="0">
            <x v="18"/>
          </reference>
          <reference field="6" count="1" selected="0">
            <x v="3"/>
          </reference>
          <reference field="7" count="1" selected="0">
            <x v="2"/>
          </reference>
          <reference field="8" count="4">
            <x v="8"/>
            <x v="9"/>
            <x v="16"/>
            <x v="17"/>
          </reference>
        </references>
      </pivotArea>
    </format>
    <format dxfId="4386">
      <pivotArea dataOnly="0" labelOnly="1" fieldPosition="0">
        <references count="4">
          <reference field="4" count="1" selected="0">
            <x v="19"/>
          </reference>
          <reference field="6" count="1" selected="0">
            <x v="3"/>
          </reference>
          <reference field="7" count="1" selected="0">
            <x v="6"/>
          </reference>
          <reference field="8" count="1">
            <x v="29"/>
          </reference>
        </references>
      </pivotArea>
    </format>
    <format dxfId="4385">
      <pivotArea dataOnly="0" labelOnly="1" fieldPosition="0">
        <references count="4">
          <reference field="4" count="1" selected="0">
            <x v="20"/>
          </reference>
          <reference field="6" count="1" selected="0">
            <x v="1"/>
          </reference>
          <reference field="7" count="1" selected="0">
            <x v="24"/>
          </reference>
          <reference field="8" count="1">
            <x v="106"/>
          </reference>
        </references>
      </pivotArea>
    </format>
    <format dxfId="4384">
      <pivotArea dataOnly="0" labelOnly="1" fieldPosition="0">
        <references count="5">
          <reference field="4" count="1" selected="0">
            <x v="0"/>
          </reference>
          <reference field="6" count="1" selected="0">
            <x v="0"/>
          </reference>
          <reference field="7" count="1" selected="0">
            <x v="17"/>
          </reference>
          <reference field="8" count="1" selected="0">
            <x v="65"/>
          </reference>
          <reference field="15" count="1">
            <x v="108"/>
          </reference>
        </references>
      </pivotArea>
    </format>
    <format dxfId="4383">
      <pivotArea dataOnly="0" labelOnly="1" fieldPosition="0">
        <references count="5">
          <reference field="4" count="1" selected="0">
            <x v="0"/>
          </reference>
          <reference field="6" count="1" selected="0">
            <x v="0"/>
          </reference>
          <reference field="7" count="1" selected="0">
            <x v="17"/>
          </reference>
          <reference field="8" count="1" selected="0">
            <x v="66"/>
          </reference>
          <reference field="15" count="2">
            <x v="365"/>
            <x v="366"/>
          </reference>
        </references>
      </pivotArea>
    </format>
    <format dxfId="4382">
      <pivotArea dataOnly="0" labelOnly="1" fieldPosition="0">
        <references count="5">
          <reference field="4" count="1" selected="0">
            <x v="0"/>
          </reference>
          <reference field="6" count="1" selected="0">
            <x v="0"/>
          </reference>
          <reference field="7" count="1" selected="0">
            <x v="17"/>
          </reference>
          <reference field="8" count="1" selected="0">
            <x v="67"/>
          </reference>
          <reference field="15" count="2">
            <x v="364"/>
            <x v="370"/>
          </reference>
        </references>
      </pivotArea>
    </format>
    <format dxfId="4381">
      <pivotArea dataOnly="0" labelOnly="1" fieldPosition="0">
        <references count="5">
          <reference field="4" count="1" selected="0">
            <x v="0"/>
          </reference>
          <reference field="6" count="1" selected="0">
            <x v="0"/>
          </reference>
          <reference field="7" count="1" selected="0">
            <x v="17"/>
          </reference>
          <reference field="8" count="1" selected="0">
            <x v="68"/>
          </reference>
          <reference field="15" count="1">
            <x v="79"/>
          </reference>
        </references>
      </pivotArea>
    </format>
    <format dxfId="4380">
      <pivotArea dataOnly="0" labelOnly="1" fieldPosition="0">
        <references count="5">
          <reference field="4" count="1" selected="0">
            <x v="0"/>
          </reference>
          <reference field="6" count="1" selected="0">
            <x v="0"/>
          </reference>
          <reference field="7" count="1" selected="0">
            <x v="17"/>
          </reference>
          <reference field="8" count="1" selected="0">
            <x v="69"/>
          </reference>
          <reference field="15" count="1">
            <x v="42"/>
          </reference>
        </references>
      </pivotArea>
    </format>
    <format dxfId="4379">
      <pivotArea dataOnly="0" labelOnly="1" fieldPosition="0">
        <references count="5">
          <reference field="4" count="1" selected="0">
            <x v="0"/>
          </reference>
          <reference field="6" count="1" selected="0">
            <x v="0"/>
          </reference>
          <reference field="7" count="1" selected="0">
            <x v="19"/>
          </reference>
          <reference field="8" count="1" selected="0">
            <x v="78"/>
          </reference>
          <reference field="15" count="1">
            <x v="236"/>
          </reference>
        </references>
      </pivotArea>
    </format>
    <format dxfId="4378">
      <pivotArea dataOnly="0" labelOnly="1" fieldPosition="0">
        <references count="5">
          <reference field="4" count="1" selected="0">
            <x v="0"/>
          </reference>
          <reference field="6" count="1" selected="0">
            <x v="0"/>
          </reference>
          <reference field="7" count="1" selected="0">
            <x v="19"/>
          </reference>
          <reference field="8" count="1" selected="0">
            <x v="79"/>
          </reference>
          <reference field="15" count="1">
            <x v="12"/>
          </reference>
        </references>
      </pivotArea>
    </format>
    <format dxfId="4377">
      <pivotArea dataOnly="0" labelOnly="1" fieldPosition="0">
        <references count="5">
          <reference field="4" count="1" selected="0">
            <x v="0"/>
          </reference>
          <reference field="6" count="1" selected="0">
            <x v="0"/>
          </reference>
          <reference field="7" count="1" selected="0">
            <x v="19"/>
          </reference>
          <reference field="8" count="1" selected="0">
            <x v="80"/>
          </reference>
          <reference field="15" count="2">
            <x v="10"/>
            <x v="11"/>
          </reference>
        </references>
      </pivotArea>
    </format>
    <format dxfId="4376">
      <pivotArea dataOnly="0" labelOnly="1" fieldPosition="0">
        <references count="5">
          <reference field="4" count="1" selected="0">
            <x v="0"/>
          </reference>
          <reference field="6" count="1" selected="0">
            <x v="1"/>
          </reference>
          <reference field="7" count="1" selected="0">
            <x v="23"/>
          </reference>
          <reference field="8" count="1" selected="0">
            <x v="95"/>
          </reference>
          <reference field="15" count="1">
            <x v="250"/>
          </reference>
        </references>
      </pivotArea>
    </format>
    <format dxfId="4375">
      <pivotArea dataOnly="0" labelOnly="1" fieldPosition="0">
        <references count="5">
          <reference field="4" count="1" selected="0">
            <x v="0"/>
          </reference>
          <reference field="6" count="1" selected="0">
            <x v="1"/>
          </reference>
          <reference field="7" count="1" selected="0">
            <x v="23"/>
          </reference>
          <reference field="8" count="1" selected="0">
            <x v="96"/>
          </reference>
          <reference field="15" count="2">
            <x v="251"/>
            <x v="358"/>
          </reference>
        </references>
      </pivotArea>
    </format>
    <format dxfId="4374">
      <pivotArea dataOnly="0" labelOnly="1" fieldPosition="0">
        <references count="5">
          <reference field="4" count="1" selected="0">
            <x v="0"/>
          </reference>
          <reference field="6" count="1" selected="0">
            <x v="1"/>
          </reference>
          <reference field="7" count="1" selected="0">
            <x v="23"/>
          </reference>
          <reference field="8" count="1" selected="0">
            <x v="97"/>
          </reference>
          <reference field="15" count="1">
            <x v="257"/>
          </reference>
        </references>
      </pivotArea>
    </format>
    <format dxfId="4373">
      <pivotArea dataOnly="0" labelOnly="1" fieldPosition="0">
        <references count="5">
          <reference field="4" count="1" selected="0">
            <x v="0"/>
          </reference>
          <reference field="6" count="1" selected="0">
            <x v="1"/>
          </reference>
          <reference field="7" count="1" selected="0">
            <x v="23"/>
          </reference>
          <reference field="8" count="1" selected="0">
            <x v="98"/>
          </reference>
          <reference field="15" count="1">
            <x v="43"/>
          </reference>
        </references>
      </pivotArea>
    </format>
    <format dxfId="4372">
      <pivotArea dataOnly="0" labelOnly="1" fieldPosition="0">
        <references count="5">
          <reference field="4" count="1" selected="0">
            <x v="0"/>
          </reference>
          <reference field="6" count="1" selected="0">
            <x v="1"/>
          </reference>
          <reference field="7" count="1" selected="0">
            <x v="23"/>
          </reference>
          <reference field="8" count="1" selected="0">
            <x v="99"/>
          </reference>
          <reference field="15" count="1">
            <x v="254"/>
          </reference>
        </references>
      </pivotArea>
    </format>
    <format dxfId="4371">
      <pivotArea dataOnly="0" labelOnly="1" fieldPosition="0">
        <references count="5">
          <reference field="4" count="1" selected="0">
            <x v="0"/>
          </reference>
          <reference field="6" count="1" selected="0">
            <x v="1"/>
          </reference>
          <reference field="7" count="1" selected="0">
            <x v="23"/>
          </reference>
          <reference field="8" count="1" selected="0">
            <x v="100"/>
          </reference>
          <reference field="15" count="1">
            <x v="253"/>
          </reference>
        </references>
      </pivotArea>
    </format>
    <format dxfId="4370">
      <pivotArea dataOnly="0" labelOnly="1" fieldPosition="0">
        <references count="5">
          <reference field="4" count="1" selected="0">
            <x v="0"/>
          </reference>
          <reference field="6" count="1" selected="0">
            <x v="1"/>
          </reference>
          <reference field="7" count="1" selected="0">
            <x v="23"/>
          </reference>
          <reference field="8" count="1" selected="0">
            <x v="101"/>
          </reference>
          <reference field="15" count="1">
            <x v="255"/>
          </reference>
        </references>
      </pivotArea>
    </format>
    <format dxfId="4369">
      <pivotArea dataOnly="0" labelOnly="1" fieldPosition="0">
        <references count="5">
          <reference field="4" count="1" selected="0">
            <x v="0"/>
          </reference>
          <reference field="6" count="1" selected="0">
            <x v="1"/>
          </reference>
          <reference field="7" count="1" selected="0">
            <x v="23"/>
          </reference>
          <reference field="8" count="1" selected="0">
            <x v="102"/>
          </reference>
          <reference field="15" count="1">
            <x v="40"/>
          </reference>
        </references>
      </pivotArea>
    </format>
    <format dxfId="4368">
      <pivotArea dataOnly="0" labelOnly="1" fieldPosition="0">
        <references count="5">
          <reference field="4" count="1" selected="0">
            <x v="0"/>
          </reference>
          <reference field="6" count="1" selected="0">
            <x v="1"/>
          </reference>
          <reference field="7" count="1" selected="0">
            <x v="23"/>
          </reference>
          <reference field="8" count="1" selected="0">
            <x v="103"/>
          </reference>
          <reference field="15" count="1">
            <x v="252"/>
          </reference>
        </references>
      </pivotArea>
    </format>
    <format dxfId="4367">
      <pivotArea dataOnly="0" labelOnly="1" fieldPosition="0">
        <references count="5">
          <reference field="4" count="1" selected="0">
            <x v="0"/>
          </reference>
          <reference field="6" count="1" selected="0">
            <x v="1"/>
          </reference>
          <reference field="7" count="1" selected="0">
            <x v="23"/>
          </reference>
          <reference field="8" count="1" selected="0">
            <x v="104"/>
          </reference>
          <reference field="15" count="1">
            <x v="256"/>
          </reference>
        </references>
      </pivotArea>
    </format>
    <format dxfId="4366">
      <pivotArea dataOnly="0" labelOnly="1" fieldPosition="0">
        <references count="5">
          <reference field="4" count="1" selected="0">
            <x v="0"/>
          </reference>
          <reference field="6" count="1" selected="0">
            <x v="1"/>
          </reference>
          <reference field="7" count="1" selected="0">
            <x v="26"/>
          </reference>
          <reference field="8" count="1" selected="0">
            <x v="131"/>
          </reference>
          <reference field="15" count="1">
            <x v="13"/>
          </reference>
        </references>
      </pivotArea>
    </format>
    <format dxfId="4365">
      <pivotArea dataOnly="0" labelOnly="1" fieldPosition="0">
        <references count="5">
          <reference field="4" count="1" selected="0">
            <x v="1"/>
          </reference>
          <reference field="6" count="1" selected="0">
            <x v="0"/>
          </reference>
          <reference field="7" count="1" selected="0">
            <x v="19"/>
          </reference>
          <reference field="8" count="1" selected="0">
            <x v="81"/>
          </reference>
          <reference field="15" count="1">
            <x v="231"/>
          </reference>
        </references>
      </pivotArea>
    </format>
    <format dxfId="4364">
      <pivotArea dataOnly="0" labelOnly="1" fieldPosition="0">
        <references count="5">
          <reference field="4" count="1" selected="0">
            <x v="1"/>
          </reference>
          <reference field="6" count="1" selected="0">
            <x v="3"/>
          </reference>
          <reference field="7" count="1" selected="0">
            <x v="2"/>
          </reference>
          <reference field="8" count="1" selected="0">
            <x v="7"/>
          </reference>
          <reference field="15" count="5">
            <x v="117"/>
            <x v="124"/>
            <x v="131"/>
            <x v="380"/>
            <x v="400"/>
          </reference>
        </references>
      </pivotArea>
    </format>
    <format dxfId="4363">
      <pivotArea dataOnly="0" labelOnly="1" fieldPosition="0">
        <references count="5">
          <reference field="4" count="1" selected="0">
            <x v="1"/>
          </reference>
          <reference field="6" count="1" selected="0">
            <x v="3"/>
          </reference>
          <reference field="7" count="1" selected="0">
            <x v="2"/>
          </reference>
          <reference field="8" count="1" selected="0">
            <x v="10"/>
          </reference>
          <reference field="15" count="2">
            <x v="17"/>
            <x v="18"/>
          </reference>
        </references>
      </pivotArea>
    </format>
    <format dxfId="4362">
      <pivotArea dataOnly="0" labelOnly="1" fieldPosition="0">
        <references count="5">
          <reference field="4" count="1" selected="0">
            <x v="1"/>
          </reference>
          <reference field="6" count="1" selected="0">
            <x v="3"/>
          </reference>
          <reference field="7" count="1" selected="0">
            <x v="2"/>
          </reference>
          <reference field="8" count="1" selected="0">
            <x v="11"/>
          </reference>
          <reference field="15" count="2">
            <x v="7"/>
            <x v="8"/>
          </reference>
        </references>
      </pivotArea>
    </format>
    <format dxfId="4361">
      <pivotArea dataOnly="0" labelOnly="1" fieldPosition="0">
        <references count="5">
          <reference field="4" count="1" selected="0">
            <x v="1"/>
          </reference>
          <reference field="6" count="1" selected="0">
            <x v="3"/>
          </reference>
          <reference field="7" count="1" selected="0">
            <x v="2"/>
          </reference>
          <reference field="8" count="1" selected="0">
            <x v="12"/>
          </reference>
          <reference field="15" count="1">
            <x v="107"/>
          </reference>
        </references>
      </pivotArea>
    </format>
    <format dxfId="4360">
      <pivotArea dataOnly="0" labelOnly="1" fieldPosition="0">
        <references count="5">
          <reference field="4" count="1" selected="0">
            <x v="1"/>
          </reference>
          <reference field="6" count="1" selected="0">
            <x v="3"/>
          </reference>
          <reference field="7" count="1" selected="0">
            <x v="2"/>
          </reference>
          <reference field="8" count="1" selected="0">
            <x v="13"/>
          </reference>
          <reference field="15" count="1">
            <x v="6"/>
          </reference>
        </references>
      </pivotArea>
    </format>
    <format dxfId="4359">
      <pivotArea dataOnly="0" labelOnly="1" fieldPosition="0">
        <references count="5">
          <reference field="4" count="1" selected="0">
            <x v="1"/>
          </reference>
          <reference field="6" count="1" selected="0">
            <x v="3"/>
          </reference>
          <reference field="7" count="1" selected="0">
            <x v="2"/>
          </reference>
          <reference field="8" count="1" selected="0">
            <x v="14"/>
          </reference>
          <reference field="15" count="2">
            <x v="46"/>
            <x v="47"/>
          </reference>
        </references>
      </pivotArea>
    </format>
    <format dxfId="4358">
      <pivotArea dataOnly="0" labelOnly="1" fieldPosition="0">
        <references count="5">
          <reference field="4" count="1" selected="0">
            <x v="1"/>
          </reference>
          <reference field="6" count="1" selected="0">
            <x v="3"/>
          </reference>
          <reference field="7" count="1" selected="0">
            <x v="2"/>
          </reference>
          <reference field="8" count="1" selected="0">
            <x v="15"/>
          </reference>
          <reference field="15" count="1">
            <x v="372"/>
          </reference>
        </references>
      </pivotArea>
    </format>
    <format dxfId="4357">
      <pivotArea dataOnly="0" labelOnly="1" fieldPosition="0">
        <references count="5">
          <reference field="4" count="1" selected="0">
            <x v="1"/>
          </reference>
          <reference field="6" count="1" selected="0">
            <x v="3"/>
          </reference>
          <reference field="7" count="1" selected="0">
            <x v="3"/>
          </reference>
          <reference field="8" count="1" selected="0">
            <x v="18"/>
          </reference>
          <reference field="15" count="1">
            <x v="232"/>
          </reference>
        </references>
      </pivotArea>
    </format>
    <format dxfId="4356">
      <pivotArea dataOnly="0" labelOnly="1" fieldPosition="0">
        <references count="5">
          <reference field="4" count="1" selected="0">
            <x v="1"/>
          </reference>
          <reference field="6" count="1" selected="0">
            <x v="3"/>
          </reference>
          <reference field="7" count="1" selected="0">
            <x v="3"/>
          </reference>
          <reference field="8" count="1" selected="0">
            <x v="19"/>
          </reference>
          <reference field="15" count="1">
            <x v="9"/>
          </reference>
        </references>
      </pivotArea>
    </format>
    <format dxfId="4355">
      <pivotArea dataOnly="0" labelOnly="1" fieldPosition="0">
        <references count="5">
          <reference field="4" count="1" selected="0">
            <x v="1"/>
          </reference>
          <reference field="6" count="1" selected="0">
            <x v="3"/>
          </reference>
          <reference field="7" count="1" selected="0">
            <x v="4"/>
          </reference>
          <reference field="8" count="1" selected="0">
            <x v="20"/>
          </reference>
          <reference field="15" count="1">
            <x v="34"/>
          </reference>
        </references>
      </pivotArea>
    </format>
    <format dxfId="4354">
      <pivotArea dataOnly="0" labelOnly="1" fieldPosition="0">
        <references count="5">
          <reference field="4" count="1" selected="0">
            <x v="1"/>
          </reference>
          <reference field="6" count="1" selected="0">
            <x v="3"/>
          </reference>
          <reference field="7" count="1" selected="0">
            <x v="4"/>
          </reference>
          <reference field="8" count="1" selected="0">
            <x v="21"/>
          </reference>
          <reference field="15" count="1">
            <x v="98"/>
          </reference>
        </references>
      </pivotArea>
    </format>
    <format dxfId="4353">
      <pivotArea dataOnly="0" labelOnly="1" fieldPosition="0">
        <references count="5">
          <reference field="4" count="1" selected="0">
            <x v="1"/>
          </reference>
          <reference field="6" count="1" selected="0">
            <x v="4"/>
          </reference>
          <reference field="7" count="1" selected="0">
            <x v="8"/>
          </reference>
          <reference field="8" count="1" selected="0">
            <x v="33"/>
          </reference>
          <reference field="15" count="1">
            <x v="237"/>
          </reference>
        </references>
      </pivotArea>
    </format>
    <format dxfId="4352">
      <pivotArea dataOnly="0" labelOnly="1" fieldPosition="0">
        <references count="5">
          <reference field="4" count="1" selected="0">
            <x v="1"/>
          </reference>
          <reference field="6" count="1" selected="0">
            <x v="4"/>
          </reference>
          <reference field="7" count="1" selected="0">
            <x v="8"/>
          </reference>
          <reference field="8" count="1" selected="0">
            <x v="34"/>
          </reference>
          <reference field="15" count="1">
            <x v="373"/>
          </reference>
        </references>
      </pivotArea>
    </format>
    <format dxfId="4351">
      <pivotArea dataOnly="0" labelOnly="1" fieldPosition="0">
        <references count="5">
          <reference field="4" count="1" selected="0">
            <x v="1"/>
          </reference>
          <reference field="6" count="1" selected="0">
            <x v="4"/>
          </reference>
          <reference field="7" count="1" selected="0">
            <x v="8"/>
          </reference>
          <reference field="8" count="1" selected="0">
            <x v="39"/>
          </reference>
          <reference field="15" count="2">
            <x v="233"/>
            <x v="234"/>
          </reference>
        </references>
      </pivotArea>
    </format>
    <format dxfId="4350">
      <pivotArea dataOnly="0" labelOnly="1" fieldPosition="0">
        <references count="5">
          <reference field="4" count="1" selected="0">
            <x v="2"/>
          </reference>
          <reference field="6" count="1" selected="0">
            <x v="2"/>
          </reference>
          <reference field="7" count="1" selected="0">
            <x v="29"/>
          </reference>
          <reference field="8" count="1" selected="0">
            <x v="145"/>
          </reference>
          <reference field="15" count="1">
            <x v="377"/>
          </reference>
        </references>
      </pivotArea>
    </format>
    <format dxfId="4349">
      <pivotArea dataOnly="0" labelOnly="1" fieldPosition="0">
        <references count="5">
          <reference field="4" count="1" selected="0">
            <x v="2"/>
          </reference>
          <reference field="6" count="1" selected="0">
            <x v="2"/>
          </reference>
          <reference field="7" count="1" selected="0">
            <x v="29"/>
          </reference>
          <reference field="8" count="1" selected="0">
            <x v="146"/>
          </reference>
          <reference field="15" count="1">
            <x v="139"/>
          </reference>
        </references>
      </pivotArea>
    </format>
    <format dxfId="4348">
      <pivotArea dataOnly="0" labelOnly="1" fieldPosition="0">
        <references count="5">
          <reference field="4" count="1" selected="0">
            <x v="2"/>
          </reference>
          <reference field="6" count="1" selected="0">
            <x v="2"/>
          </reference>
          <reference field="7" count="1" selected="0">
            <x v="29"/>
          </reference>
          <reference field="8" count="1" selected="0">
            <x v="147"/>
          </reference>
          <reference field="15" count="1">
            <x v="127"/>
          </reference>
        </references>
      </pivotArea>
    </format>
    <format dxfId="4347">
      <pivotArea dataOnly="0" labelOnly="1" fieldPosition="0">
        <references count="5">
          <reference field="4" count="1" selected="0">
            <x v="2"/>
          </reference>
          <reference field="6" count="1" selected="0">
            <x v="2"/>
          </reference>
          <reference field="7" count="1" selected="0">
            <x v="29"/>
          </reference>
          <reference field="8" count="1" selected="0">
            <x v="148"/>
          </reference>
          <reference field="15" count="1">
            <x v="142"/>
          </reference>
        </references>
      </pivotArea>
    </format>
    <format dxfId="4346">
      <pivotArea dataOnly="0" labelOnly="1" fieldPosition="0">
        <references count="5">
          <reference field="4" count="1" selected="0">
            <x v="2"/>
          </reference>
          <reference field="6" count="1" selected="0">
            <x v="2"/>
          </reference>
          <reference field="7" count="1" selected="0">
            <x v="29"/>
          </reference>
          <reference field="8" count="1" selected="0">
            <x v="149"/>
          </reference>
          <reference field="15" count="1">
            <x v="140"/>
          </reference>
        </references>
      </pivotArea>
    </format>
    <format dxfId="4345">
      <pivotArea dataOnly="0" labelOnly="1" fieldPosition="0">
        <references count="5">
          <reference field="4" count="1" selected="0">
            <x v="2"/>
          </reference>
          <reference field="6" count="1" selected="0">
            <x v="2"/>
          </reference>
          <reference field="7" count="1" selected="0">
            <x v="29"/>
          </reference>
          <reference field="8" count="1" selected="0">
            <x v="150"/>
          </reference>
          <reference field="15" count="1">
            <x v="144"/>
          </reference>
        </references>
      </pivotArea>
    </format>
    <format dxfId="4344">
      <pivotArea dataOnly="0" labelOnly="1" fieldPosition="0">
        <references count="5">
          <reference field="4" count="1" selected="0">
            <x v="2"/>
          </reference>
          <reference field="6" count="1" selected="0">
            <x v="2"/>
          </reference>
          <reference field="7" count="1" selected="0">
            <x v="30"/>
          </reference>
          <reference field="8" count="1" selected="0">
            <x v="152"/>
          </reference>
          <reference field="15" count="2">
            <x v="128"/>
            <x v="129"/>
          </reference>
        </references>
      </pivotArea>
    </format>
    <format dxfId="4343">
      <pivotArea dataOnly="0" labelOnly="1" fieldPosition="0">
        <references count="5">
          <reference field="4" count="1" selected="0">
            <x v="2"/>
          </reference>
          <reference field="6" count="1" selected="0">
            <x v="2"/>
          </reference>
          <reference field="7" count="1" selected="0">
            <x v="30"/>
          </reference>
          <reference field="8" count="1" selected="0">
            <x v="153"/>
          </reference>
          <reference field="15" count="1">
            <x v="141"/>
          </reference>
        </references>
      </pivotArea>
    </format>
    <format dxfId="4342">
      <pivotArea dataOnly="0" labelOnly="1" fieldPosition="0">
        <references count="5">
          <reference field="4" count="1" selected="0">
            <x v="2"/>
          </reference>
          <reference field="6" count="1" selected="0">
            <x v="3"/>
          </reference>
          <reference field="7" count="1" selected="0">
            <x v="5"/>
          </reference>
          <reference field="8" count="1" selected="0">
            <x v="24"/>
          </reference>
          <reference field="15" count="1">
            <x v="339"/>
          </reference>
        </references>
      </pivotArea>
    </format>
    <format dxfId="4341">
      <pivotArea dataOnly="0" labelOnly="1" fieldPosition="0">
        <references count="5">
          <reference field="4" count="1" selected="0">
            <x v="2"/>
          </reference>
          <reference field="6" count="1" selected="0">
            <x v="3"/>
          </reference>
          <reference field="7" count="1" selected="0">
            <x v="7"/>
          </reference>
          <reference field="8" count="1" selected="0">
            <x v="31"/>
          </reference>
          <reference field="15" count="2">
            <x v="391"/>
            <x v="392"/>
          </reference>
        </references>
      </pivotArea>
    </format>
    <format dxfId="4340">
      <pivotArea dataOnly="0" labelOnly="1" fieldPosition="0">
        <references count="5">
          <reference field="4" count="1" selected="0">
            <x v="2"/>
          </reference>
          <reference field="6" count="1" selected="0">
            <x v="3"/>
          </reference>
          <reference field="7" count="1" selected="0">
            <x v="7"/>
          </reference>
          <reference field="8" count="1" selected="0">
            <x v="32"/>
          </reference>
          <reference field="15" count="1">
            <x v="371"/>
          </reference>
        </references>
      </pivotArea>
    </format>
    <format dxfId="4339">
      <pivotArea dataOnly="0" labelOnly="1" fieldPosition="0">
        <references count="5">
          <reference field="4" count="1" selected="0">
            <x v="2"/>
          </reference>
          <reference field="6" count="1" selected="0">
            <x v="4"/>
          </reference>
          <reference field="7" count="1" selected="0">
            <x v="8"/>
          </reference>
          <reference field="8" count="1" selected="0">
            <x v="36"/>
          </reference>
          <reference field="15" count="1">
            <x v="379"/>
          </reference>
        </references>
      </pivotArea>
    </format>
    <format dxfId="4338">
      <pivotArea dataOnly="0" labelOnly="1" fieldPosition="0">
        <references count="5">
          <reference field="4" count="1" selected="0">
            <x v="2"/>
          </reference>
          <reference field="6" count="1" selected="0">
            <x v="4"/>
          </reference>
          <reference field="7" count="1" selected="0">
            <x v="8"/>
          </reference>
          <reference field="8" count="1" selected="0">
            <x v="39"/>
          </reference>
          <reference field="15" count="1">
            <x v="378"/>
          </reference>
        </references>
      </pivotArea>
    </format>
    <format dxfId="4337">
      <pivotArea dataOnly="0" labelOnly="1" fieldPosition="0">
        <references count="5">
          <reference field="4" count="1" selected="0">
            <x v="3"/>
          </reference>
          <reference field="6" count="1" selected="0">
            <x v="3"/>
          </reference>
          <reference field="7" count="1" selected="0">
            <x v="6"/>
          </reference>
          <reference field="8" count="1" selected="0">
            <x v="29"/>
          </reference>
          <reference field="15" count="41">
            <x v="0"/>
            <x v="1"/>
            <x v="167"/>
            <x v="175"/>
            <x v="176"/>
            <x v="177"/>
            <x v="178"/>
            <x v="179"/>
            <x v="180"/>
            <x v="181"/>
            <x v="182"/>
            <x v="201"/>
            <x v="202"/>
            <x v="205"/>
            <x v="206"/>
            <x v="207"/>
            <x v="208"/>
            <x v="209"/>
            <x v="210"/>
            <x v="211"/>
            <x v="212"/>
            <x v="213"/>
            <x v="214"/>
            <x v="215"/>
            <x v="216"/>
            <x v="217"/>
            <x v="218"/>
            <x v="219"/>
            <x v="220"/>
            <x v="221"/>
            <x v="224"/>
            <x v="225"/>
            <x v="226"/>
            <x v="227"/>
            <x v="228"/>
            <x v="393"/>
            <x v="394"/>
            <x v="396"/>
            <x v="397"/>
            <x v="398"/>
            <x v="399"/>
          </reference>
        </references>
      </pivotArea>
    </format>
    <format dxfId="4336">
      <pivotArea dataOnly="0" labelOnly="1" fieldPosition="0">
        <references count="5">
          <reference field="4" count="1" selected="0">
            <x v="4"/>
          </reference>
          <reference field="6" count="1" selected="0">
            <x v="0"/>
          </reference>
          <reference field="7" count="1" selected="0">
            <x v="21"/>
          </reference>
          <reference field="8" count="1" selected="0">
            <x v="87"/>
          </reference>
          <reference field="15" count="8">
            <x v="126"/>
            <x v="293"/>
            <x v="305"/>
            <x v="306"/>
            <x v="317"/>
            <x v="388"/>
            <x v="389"/>
            <x v="390"/>
          </reference>
        </references>
      </pivotArea>
    </format>
    <format dxfId="4335">
      <pivotArea dataOnly="0" labelOnly="1" fieldPosition="0">
        <references count="5">
          <reference field="4" count="1" selected="0">
            <x v="4"/>
          </reference>
          <reference field="6" count="1" selected="0">
            <x v="0"/>
          </reference>
          <reference field="7" count="1" selected="0">
            <x v="21"/>
          </reference>
          <reference field="8" count="1" selected="0">
            <x v="88"/>
          </reference>
          <reference field="15" count="3">
            <x v="291"/>
            <x v="292"/>
            <x v="301"/>
          </reference>
        </references>
      </pivotArea>
    </format>
    <format dxfId="4334">
      <pivotArea dataOnly="0" labelOnly="1" fieldPosition="0">
        <references count="5">
          <reference field="4" count="1" selected="0">
            <x v="4"/>
          </reference>
          <reference field="6" count="1" selected="0">
            <x v="0"/>
          </reference>
          <reference field="7" count="1" selected="0">
            <x v="21"/>
          </reference>
          <reference field="8" count="1" selected="0">
            <x v="89"/>
          </reference>
          <reference field="15" count="1">
            <x v="310"/>
          </reference>
        </references>
      </pivotArea>
    </format>
    <format dxfId="4333">
      <pivotArea dataOnly="0" labelOnly="1" fieldPosition="0">
        <references count="5">
          <reference field="4" count="1" selected="0">
            <x v="4"/>
          </reference>
          <reference field="6" count="1" selected="0">
            <x v="0"/>
          </reference>
          <reference field="7" count="1" selected="0">
            <x v="21"/>
          </reference>
          <reference field="8" count="1" selected="0">
            <x v="90"/>
          </reference>
          <reference field="15" count="1">
            <x v="385"/>
          </reference>
        </references>
      </pivotArea>
    </format>
    <format dxfId="4332">
      <pivotArea dataOnly="0" labelOnly="1" fieldPosition="0">
        <references count="5">
          <reference field="4" count="1" selected="0">
            <x v="4"/>
          </reference>
          <reference field="6" count="1" selected="0">
            <x v="0"/>
          </reference>
          <reference field="7" count="1" selected="0">
            <x v="21"/>
          </reference>
          <reference field="8" count="1" selected="0">
            <x v="91"/>
          </reference>
          <reference field="15" count="2">
            <x v="264"/>
            <x v="265"/>
          </reference>
        </references>
      </pivotArea>
    </format>
    <format dxfId="4331">
      <pivotArea dataOnly="0" labelOnly="1" fieldPosition="0">
        <references count="5">
          <reference field="4" count="1" selected="0">
            <x v="4"/>
          </reference>
          <reference field="6" count="1" selected="0">
            <x v="1"/>
          </reference>
          <reference field="7" count="1" selected="0">
            <x v="24"/>
          </reference>
          <reference field="8" count="1" selected="0">
            <x v="114"/>
          </reference>
          <reference field="15" count="1">
            <x v="263"/>
          </reference>
        </references>
      </pivotArea>
    </format>
    <format dxfId="4330">
      <pivotArea dataOnly="0" labelOnly="1" fieldPosition="0">
        <references count="5">
          <reference field="4" count="1" selected="0">
            <x v="4"/>
          </reference>
          <reference field="6" count="1" selected="0">
            <x v="2"/>
          </reference>
          <reference field="7" count="1" selected="0">
            <x v="29"/>
          </reference>
          <reference field="8" count="1" selected="0">
            <x v="142"/>
          </reference>
          <reference field="15" count="1">
            <x v="283"/>
          </reference>
        </references>
      </pivotArea>
    </format>
    <format dxfId="4329">
      <pivotArea dataOnly="0" labelOnly="1" fieldPosition="0">
        <references count="5">
          <reference field="4" count="1" selected="0">
            <x v="4"/>
          </reference>
          <reference field="6" count="1" selected="0">
            <x v="2"/>
          </reference>
          <reference field="7" count="1" selected="0">
            <x v="29"/>
          </reference>
          <reference field="8" count="1" selected="0">
            <x v="143"/>
          </reference>
          <reference field="15" count="2">
            <x v="289"/>
            <x v="314"/>
          </reference>
        </references>
      </pivotArea>
    </format>
    <format dxfId="4328">
      <pivotArea dataOnly="0" labelOnly="1" fieldPosition="0">
        <references count="5">
          <reference field="4" count="1" selected="0">
            <x v="4"/>
          </reference>
          <reference field="6" count="1" selected="0">
            <x v="2"/>
          </reference>
          <reference field="7" count="1" selected="0">
            <x v="29"/>
          </reference>
          <reference field="8" count="1" selected="0">
            <x v="151"/>
          </reference>
          <reference field="15" count="1">
            <x v="387"/>
          </reference>
        </references>
      </pivotArea>
    </format>
    <format dxfId="4327">
      <pivotArea dataOnly="0" labelOnly="1" fieldPosition="0">
        <references count="5">
          <reference field="4" count="1" selected="0">
            <x v="4"/>
          </reference>
          <reference field="6" count="1" selected="0">
            <x v="2"/>
          </reference>
          <reference field="7" count="1" selected="0">
            <x v="31"/>
          </reference>
          <reference field="8" count="1" selected="0">
            <x v="155"/>
          </reference>
          <reference field="15" count="4">
            <x v="235"/>
            <x v="303"/>
            <x v="374"/>
            <x v="386"/>
          </reference>
        </references>
      </pivotArea>
    </format>
    <format dxfId="4326">
      <pivotArea dataOnly="0" labelOnly="1" fieldPosition="0">
        <references count="5">
          <reference field="4" count="1" selected="0">
            <x v="4"/>
          </reference>
          <reference field="6" count="1" selected="0">
            <x v="2"/>
          </reference>
          <reference field="7" count="1" selected="0">
            <x v="31"/>
          </reference>
          <reference field="8" count="1" selected="0">
            <x v="156"/>
          </reference>
          <reference field="15" count="1">
            <x v="304"/>
          </reference>
        </references>
      </pivotArea>
    </format>
    <format dxfId="4325">
      <pivotArea dataOnly="0" labelOnly="1" fieldPosition="0">
        <references count="5">
          <reference field="4" count="1" selected="0">
            <x v="4"/>
          </reference>
          <reference field="6" count="1" selected="0">
            <x v="2"/>
          </reference>
          <reference field="7" count="1" selected="0">
            <x v="31"/>
          </reference>
          <reference field="8" count="1" selected="0">
            <x v="157"/>
          </reference>
          <reference field="15" count="1">
            <x v="302"/>
          </reference>
        </references>
      </pivotArea>
    </format>
    <format dxfId="4324">
      <pivotArea dataOnly="0" labelOnly="1" fieldPosition="0">
        <references count="5">
          <reference field="4" count="1" selected="0">
            <x v="4"/>
          </reference>
          <reference field="6" count="1" selected="0">
            <x v="3"/>
          </reference>
          <reference field="7" count="1" selected="0">
            <x v="0"/>
          </reference>
          <reference field="8" count="1" selected="0">
            <x v="0"/>
          </reference>
          <reference field="15" count="2">
            <x v="125"/>
            <x v="269"/>
          </reference>
        </references>
      </pivotArea>
    </format>
    <format dxfId="4323">
      <pivotArea dataOnly="0" labelOnly="1" fieldPosition="0">
        <references count="5">
          <reference field="4" count="1" selected="0">
            <x v="4"/>
          </reference>
          <reference field="6" count="1" selected="0">
            <x v="3"/>
          </reference>
          <reference field="7" count="1" selected="0">
            <x v="0"/>
          </reference>
          <reference field="8" count="1" selected="0">
            <x v="1"/>
          </reference>
          <reference field="15" count="1">
            <x v="382"/>
          </reference>
        </references>
      </pivotArea>
    </format>
    <format dxfId="4322">
      <pivotArea dataOnly="0" labelOnly="1" fieldPosition="0">
        <references count="5">
          <reference field="4" count="1" selected="0">
            <x v="4"/>
          </reference>
          <reference field="6" count="1" selected="0">
            <x v="3"/>
          </reference>
          <reference field="7" count="1" selected="0">
            <x v="1"/>
          </reference>
          <reference field="8" count="1" selected="0">
            <x v="2"/>
          </reference>
          <reference field="15" count="1">
            <x v="282"/>
          </reference>
        </references>
      </pivotArea>
    </format>
    <format dxfId="4321">
      <pivotArea dataOnly="0" labelOnly="1" fieldPosition="0">
        <references count="5">
          <reference field="4" count="1" selected="0">
            <x v="4"/>
          </reference>
          <reference field="6" count="1" selected="0">
            <x v="3"/>
          </reference>
          <reference field="7" count="1" selected="0">
            <x v="1"/>
          </reference>
          <reference field="8" count="1" selected="0">
            <x v="3"/>
          </reference>
          <reference field="15" count="1">
            <x v="384"/>
          </reference>
        </references>
      </pivotArea>
    </format>
    <format dxfId="4320">
      <pivotArea dataOnly="0" labelOnly="1" fieldPosition="0">
        <references count="5">
          <reference field="4" count="1" selected="0">
            <x v="4"/>
          </reference>
          <reference field="6" count="1" selected="0">
            <x v="3"/>
          </reference>
          <reference field="7" count="1" selected="0">
            <x v="1"/>
          </reference>
          <reference field="8" count="1" selected="0">
            <x v="4"/>
          </reference>
          <reference field="15" count="1">
            <x v="298"/>
          </reference>
        </references>
      </pivotArea>
    </format>
    <format dxfId="4319">
      <pivotArea dataOnly="0" labelOnly="1" fieldPosition="0">
        <references count="5">
          <reference field="4" count="1" selected="0">
            <x v="4"/>
          </reference>
          <reference field="6" count="1" selected="0">
            <x v="3"/>
          </reference>
          <reference field="7" count="1" selected="0">
            <x v="1"/>
          </reference>
          <reference field="8" count="1" selected="0">
            <x v="5"/>
          </reference>
          <reference field="15" count="2">
            <x v="381"/>
            <x v="383"/>
          </reference>
        </references>
      </pivotArea>
    </format>
    <format dxfId="4318">
      <pivotArea dataOnly="0" labelOnly="1" fieldPosition="0">
        <references count="5">
          <reference field="4" count="1" selected="0">
            <x v="5"/>
          </reference>
          <reference field="6" count="1" selected="0">
            <x v="0"/>
          </reference>
          <reference field="7" count="1" selected="0">
            <x v="18"/>
          </reference>
          <reference field="8" count="1" selected="0">
            <x v="73"/>
          </reference>
          <reference field="15" count="3">
            <x v="245"/>
            <x v="246"/>
            <x v="313"/>
          </reference>
        </references>
      </pivotArea>
    </format>
    <format dxfId="4317">
      <pivotArea dataOnly="0" labelOnly="1" fieldPosition="0">
        <references count="5">
          <reference field="4" count="1" selected="0">
            <x v="5"/>
          </reference>
          <reference field="6" count="1" selected="0">
            <x v="0"/>
          </reference>
          <reference field="7" count="1" selected="0">
            <x v="18"/>
          </reference>
          <reference field="8" count="1" selected="0">
            <x v="74"/>
          </reference>
          <reference field="15" count="1">
            <x v="230"/>
          </reference>
        </references>
      </pivotArea>
    </format>
    <format dxfId="4316">
      <pivotArea dataOnly="0" labelOnly="1" fieldPosition="0">
        <references count="5">
          <reference field="4" count="1" selected="0">
            <x v="5"/>
          </reference>
          <reference field="6" count="1" selected="0">
            <x v="0"/>
          </reference>
          <reference field="7" count="1" selected="0">
            <x v="18"/>
          </reference>
          <reference field="8" count="1" selected="0">
            <x v="77"/>
          </reference>
          <reference field="15" count="2">
            <x v="276"/>
            <x v="277"/>
          </reference>
        </references>
      </pivotArea>
    </format>
    <format dxfId="4315">
      <pivotArea dataOnly="0" labelOnly="1" fieldPosition="0">
        <references count="5">
          <reference field="4" count="1" selected="0">
            <x v="5"/>
          </reference>
          <reference field="6" count="1" selected="0">
            <x v="0"/>
          </reference>
          <reference field="7" count="1" selected="0">
            <x v="22"/>
          </reference>
          <reference field="8" count="1" selected="0">
            <x v="94"/>
          </reference>
          <reference field="15" count="1">
            <x v="164"/>
          </reference>
        </references>
      </pivotArea>
    </format>
    <format dxfId="4314">
      <pivotArea dataOnly="0" labelOnly="1" fieldPosition="0">
        <references count="5">
          <reference field="4" count="1" selected="0">
            <x v="5"/>
          </reference>
          <reference field="6" count="1" selected="0">
            <x v="4"/>
          </reference>
          <reference field="7" count="1" selected="0">
            <x v="8"/>
          </reference>
          <reference field="8" count="1" selected="0">
            <x v="37"/>
          </reference>
          <reference field="15" count="1">
            <x v="222"/>
          </reference>
        </references>
      </pivotArea>
    </format>
    <format dxfId="4313">
      <pivotArea dataOnly="0" labelOnly="1" fieldPosition="0">
        <references count="5">
          <reference field="4" count="1" selected="0">
            <x v="6"/>
          </reference>
          <reference field="6" count="1" selected="0">
            <x v="1"/>
          </reference>
          <reference field="7" count="1" selected="0">
            <x v="24"/>
          </reference>
          <reference field="8" count="1" selected="0">
            <x v="105"/>
          </reference>
          <reference field="15" count="13">
            <x v="24"/>
            <x v="25"/>
            <x v="31"/>
            <x v="37"/>
            <x v="44"/>
            <x v="45"/>
            <x v="48"/>
            <x v="49"/>
            <x v="50"/>
            <x v="56"/>
            <x v="66"/>
            <x v="100"/>
            <x v="101"/>
          </reference>
        </references>
      </pivotArea>
    </format>
    <format dxfId="4312">
      <pivotArea dataOnly="0" labelOnly="1" fieldPosition="0">
        <references count="5">
          <reference field="4" count="1" selected="0">
            <x v="6"/>
          </reference>
          <reference field="6" count="1" selected="0">
            <x v="1"/>
          </reference>
          <reference field="7" count="1" selected="0">
            <x v="24"/>
          </reference>
          <reference field="8" count="1" selected="0">
            <x v="107"/>
          </reference>
          <reference field="15" count="3">
            <x v="118"/>
            <x v="123"/>
            <x v="165"/>
          </reference>
        </references>
      </pivotArea>
    </format>
    <format dxfId="4311">
      <pivotArea dataOnly="0" labelOnly="1" fieldPosition="0">
        <references count="5">
          <reference field="4" count="1" selected="0">
            <x v="6"/>
          </reference>
          <reference field="6" count="1" selected="0">
            <x v="1"/>
          </reference>
          <reference field="7" count="1" selected="0">
            <x v="24"/>
          </reference>
          <reference field="8" count="1" selected="0">
            <x v="108"/>
          </reference>
          <reference field="15" count="2">
            <x v="97"/>
            <x v="119"/>
          </reference>
        </references>
      </pivotArea>
    </format>
    <format dxfId="4310">
      <pivotArea dataOnly="0" labelOnly="1" fieldPosition="0">
        <references count="5">
          <reference field="4" count="1" selected="0">
            <x v="6"/>
          </reference>
          <reference field="6" count="1" selected="0">
            <x v="1"/>
          </reference>
          <reference field="7" count="1" selected="0">
            <x v="24"/>
          </reference>
          <reference field="8" count="1" selected="0">
            <x v="109"/>
          </reference>
          <reference field="15" count="2">
            <x v="96"/>
            <x v="327"/>
          </reference>
        </references>
      </pivotArea>
    </format>
    <format dxfId="4309">
      <pivotArea dataOnly="0" labelOnly="1" fieldPosition="0">
        <references count="5">
          <reference field="4" count="1" selected="0">
            <x v="6"/>
          </reference>
          <reference field="6" count="1" selected="0">
            <x v="1"/>
          </reference>
          <reference field="7" count="1" selected="0">
            <x v="24"/>
          </reference>
          <reference field="8" count="1" selected="0">
            <x v="110"/>
          </reference>
          <reference field="15" count="2">
            <x v="115"/>
            <x v="324"/>
          </reference>
        </references>
      </pivotArea>
    </format>
    <format dxfId="4308">
      <pivotArea dataOnly="0" labelOnly="1" fieldPosition="0">
        <references count="5">
          <reference field="4" count="1" selected="0">
            <x v="6"/>
          </reference>
          <reference field="6" count="1" selected="0">
            <x v="1"/>
          </reference>
          <reference field="7" count="1" selected="0">
            <x v="24"/>
          </reference>
          <reference field="8" count="1" selected="0">
            <x v="111"/>
          </reference>
          <reference field="15" count="1">
            <x v="326"/>
          </reference>
        </references>
      </pivotArea>
    </format>
    <format dxfId="4307">
      <pivotArea dataOnly="0" labelOnly="1" fieldPosition="0">
        <references count="5">
          <reference field="4" count="1" selected="0">
            <x v="6"/>
          </reference>
          <reference field="6" count="1" selected="0">
            <x v="1"/>
          </reference>
          <reference field="7" count="1" selected="0">
            <x v="24"/>
          </reference>
          <reference field="8" count="1" selected="0">
            <x v="112"/>
          </reference>
          <reference field="15" count="5">
            <x v="80"/>
            <x v="120"/>
            <x v="121"/>
            <x v="122"/>
            <x v="135"/>
          </reference>
        </references>
      </pivotArea>
    </format>
    <format dxfId="4306">
      <pivotArea dataOnly="0" labelOnly="1" fieldPosition="0">
        <references count="5">
          <reference field="4" count="1" selected="0">
            <x v="6"/>
          </reference>
          <reference field="6" count="1" selected="0">
            <x v="1"/>
          </reference>
          <reference field="7" count="1" selected="0">
            <x v="24"/>
          </reference>
          <reference field="8" count="1" selected="0">
            <x v="113"/>
          </reference>
          <reference field="15" count="3">
            <x v="67"/>
            <x v="84"/>
            <x v="166"/>
          </reference>
        </references>
      </pivotArea>
    </format>
    <format dxfId="4305">
      <pivotArea dataOnly="0" labelOnly="1" fieldPosition="0">
        <references count="5">
          <reference field="4" count="1" selected="0">
            <x v="7"/>
          </reference>
          <reference field="6" count="1" selected="0">
            <x v="0"/>
          </reference>
          <reference field="7" count="1" selected="0">
            <x v="16"/>
          </reference>
          <reference field="8" count="1" selected="0">
            <x v="64"/>
          </reference>
          <reference field="15" count="3">
            <x v="274"/>
            <x v="278"/>
            <x v="325"/>
          </reference>
        </references>
      </pivotArea>
    </format>
    <format dxfId="4304">
      <pivotArea dataOnly="0" labelOnly="1" fieldPosition="0">
        <references count="5">
          <reference field="4" count="1" selected="0">
            <x v="7"/>
          </reference>
          <reference field="6" count="1" selected="0">
            <x v="2"/>
          </reference>
          <reference field="7" count="1" selected="0">
            <x v="29"/>
          </reference>
          <reference field="8" count="1" selected="0">
            <x v="140"/>
          </reference>
          <reference field="15" count="1">
            <x v="53"/>
          </reference>
        </references>
      </pivotArea>
    </format>
    <format dxfId="4303">
      <pivotArea dataOnly="0" labelOnly="1" fieldPosition="0">
        <references count="5">
          <reference field="4" count="1" selected="0">
            <x v="7"/>
          </reference>
          <reference field="6" count="1" selected="0">
            <x v="2"/>
          </reference>
          <reference field="7" count="1" selected="0">
            <x v="29"/>
          </reference>
          <reference field="8" count="1" selected="0">
            <x v="141"/>
          </reference>
          <reference field="15" count="1">
            <x v="279"/>
          </reference>
        </references>
      </pivotArea>
    </format>
    <format dxfId="4302">
      <pivotArea dataOnly="0" labelOnly="1" fieldPosition="0">
        <references count="5">
          <reference field="4" count="1" selected="0">
            <x v="7"/>
          </reference>
          <reference field="6" count="1" selected="0">
            <x v="2"/>
          </reference>
          <reference field="7" count="1" selected="0">
            <x v="29"/>
          </reference>
          <reference field="8" count="1" selected="0">
            <x v="144"/>
          </reference>
          <reference field="15" count="1">
            <x v="52"/>
          </reference>
        </references>
      </pivotArea>
    </format>
    <format dxfId="4301">
      <pivotArea dataOnly="0" labelOnly="1" fieldPosition="0">
        <references count="5">
          <reference field="4" count="1" selected="0">
            <x v="7"/>
          </reference>
          <reference field="6" count="1" selected="0">
            <x v="2"/>
          </reference>
          <reference field="7" count="1" selected="0">
            <x v="29"/>
          </reference>
          <reference field="8" count="1" selected="0">
            <x v="145"/>
          </reference>
          <reference field="15" count="1">
            <x v="51"/>
          </reference>
        </references>
      </pivotArea>
    </format>
    <format dxfId="4300">
      <pivotArea dataOnly="0" labelOnly="1" fieldPosition="0">
        <references count="5">
          <reference field="4" count="1" selected="0">
            <x v="7"/>
          </reference>
          <reference field="6" count="1" selected="0">
            <x v="2"/>
          </reference>
          <reference field="7" count="1" selected="0">
            <x v="30"/>
          </reference>
          <reference field="8" count="1" selected="0">
            <x v="154"/>
          </reference>
          <reference field="15" count="1">
            <x v="275"/>
          </reference>
        </references>
      </pivotArea>
    </format>
    <format dxfId="4299">
      <pivotArea dataOnly="0" labelOnly="1" fieldPosition="0">
        <references count="5">
          <reference field="4" count="1" selected="0">
            <x v="7"/>
          </reference>
          <reference field="6" count="1" selected="0">
            <x v="3"/>
          </reference>
          <reference field="7" count="1" selected="0">
            <x v="6"/>
          </reference>
          <reference field="8" count="1" selected="0">
            <x v="28"/>
          </reference>
          <reference field="15" count="3">
            <x v="318"/>
            <x v="319"/>
            <x v="320"/>
          </reference>
        </references>
      </pivotArea>
    </format>
    <format dxfId="4298">
      <pivotArea dataOnly="0" labelOnly="1" fieldPosition="0">
        <references count="5">
          <reference field="4" count="1" selected="0">
            <x v="7"/>
          </reference>
          <reference field="6" count="1" selected="0">
            <x v="4"/>
          </reference>
          <reference field="7" count="1" selected="0">
            <x v="8"/>
          </reference>
          <reference field="8" count="1" selected="0">
            <x v="35"/>
          </reference>
          <reference field="15" count="1">
            <x v="337"/>
          </reference>
        </references>
      </pivotArea>
    </format>
    <format dxfId="4297">
      <pivotArea dataOnly="0" labelOnly="1" fieldPosition="0">
        <references count="5">
          <reference field="4" count="1" selected="0">
            <x v="7"/>
          </reference>
          <reference field="6" count="1" selected="0">
            <x v="4"/>
          </reference>
          <reference field="7" count="1" selected="0">
            <x v="8"/>
          </reference>
          <reference field="8" count="1" selected="0">
            <x v="36"/>
          </reference>
          <reference field="15" count="1">
            <x v="280"/>
          </reference>
        </references>
      </pivotArea>
    </format>
    <format dxfId="4296">
      <pivotArea dataOnly="0" labelOnly="1" fieldPosition="0">
        <references count="5">
          <reference field="4" count="1" selected="0">
            <x v="7"/>
          </reference>
          <reference field="6" count="1" selected="0">
            <x v="4"/>
          </reference>
          <reference field="7" count="1" selected="0">
            <x v="9"/>
          </reference>
          <reference field="8" count="1" selected="0">
            <x v="40"/>
          </reference>
          <reference field="15" count="3">
            <x v="311"/>
            <x v="312"/>
            <x v="334"/>
          </reference>
        </references>
      </pivotArea>
    </format>
    <format dxfId="4295">
      <pivotArea dataOnly="0" labelOnly="1" fieldPosition="0">
        <references count="5">
          <reference field="4" count="1" selected="0">
            <x v="7"/>
          </reference>
          <reference field="6" count="1" selected="0">
            <x v="4"/>
          </reference>
          <reference field="7" count="1" selected="0">
            <x v="9"/>
          </reference>
          <reference field="8" count="1" selected="0">
            <x v="41"/>
          </reference>
          <reference field="15" count="1">
            <x v="328"/>
          </reference>
        </references>
      </pivotArea>
    </format>
    <format dxfId="4294">
      <pivotArea dataOnly="0" labelOnly="1" fieldPosition="0">
        <references count="5">
          <reference field="4" count="1" selected="0">
            <x v="7"/>
          </reference>
          <reference field="6" count="1" selected="0">
            <x v="4"/>
          </reference>
          <reference field="7" count="1" selected="0">
            <x v="9"/>
          </reference>
          <reference field="8" count="1" selected="0">
            <x v="42"/>
          </reference>
          <reference field="15" count="1">
            <x v="329"/>
          </reference>
        </references>
      </pivotArea>
    </format>
    <format dxfId="4293">
      <pivotArea dataOnly="0" labelOnly="1" fieldPosition="0">
        <references count="5">
          <reference field="4" count="1" selected="0">
            <x v="7"/>
          </reference>
          <reference field="6" count="1" selected="0">
            <x v="4"/>
          </reference>
          <reference field="7" count="1" selected="0">
            <x v="9"/>
          </reference>
          <reference field="8" count="1" selected="0">
            <x v="43"/>
          </reference>
          <reference field="15" count="1">
            <x v="321"/>
          </reference>
        </references>
      </pivotArea>
    </format>
    <format dxfId="4292">
      <pivotArea dataOnly="0" labelOnly="1" fieldPosition="0">
        <references count="5">
          <reference field="4" count="1" selected="0">
            <x v="7"/>
          </reference>
          <reference field="6" count="1" selected="0">
            <x v="4"/>
          </reference>
          <reference field="7" count="1" selected="0">
            <x v="10"/>
          </reference>
          <reference field="8" count="1" selected="0">
            <x v="44"/>
          </reference>
          <reference field="15" count="2">
            <x v="57"/>
            <x v="58"/>
          </reference>
        </references>
      </pivotArea>
    </format>
    <format dxfId="4291">
      <pivotArea dataOnly="0" labelOnly="1" fieldPosition="0">
        <references count="5">
          <reference field="4" count="1" selected="0">
            <x v="7"/>
          </reference>
          <reference field="6" count="1" selected="0">
            <x v="4"/>
          </reference>
          <reference field="7" count="1" selected="0">
            <x v="10"/>
          </reference>
          <reference field="8" count="1" selected="0">
            <x v="45"/>
          </reference>
          <reference field="15" count="1">
            <x v="55"/>
          </reference>
        </references>
      </pivotArea>
    </format>
    <format dxfId="4290">
      <pivotArea dataOnly="0" labelOnly="1" fieldPosition="0">
        <references count="5">
          <reference field="4" count="1" selected="0">
            <x v="7"/>
          </reference>
          <reference field="6" count="1" selected="0">
            <x v="4"/>
          </reference>
          <reference field="7" count="1" selected="0">
            <x v="10"/>
          </reference>
          <reference field="8" count="1" selected="0">
            <x v="46"/>
          </reference>
          <reference field="15" count="1">
            <x v="59"/>
          </reference>
        </references>
      </pivotArea>
    </format>
    <format dxfId="4289">
      <pivotArea dataOnly="0" labelOnly="1" fieldPosition="0">
        <references count="5">
          <reference field="4" count="1" selected="0">
            <x v="7"/>
          </reference>
          <reference field="6" count="1" selected="0">
            <x v="4"/>
          </reference>
          <reference field="7" count="1" selected="0">
            <x v="10"/>
          </reference>
          <reference field="8" count="1" selected="0">
            <x v="47"/>
          </reference>
          <reference field="15" count="1">
            <x v="54"/>
          </reference>
        </references>
      </pivotArea>
    </format>
    <format dxfId="4288">
      <pivotArea dataOnly="0" labelOnly="1" fieldPosition="0">
        <references count="5">
          <reference field="4" count="1" selected="0">
            <x v="7"/>
          </reference>
          <reference field="6" count="1" selected="0">
            <x v="4"/>
          </reference>
          <reference field="7" count="1" selected="0">
            <x v="11"/>
          </reference>
          <reference field="8" count="1" selected="0">
            <x v="48"/>
          </reference>
          <reference field="15" count="1">
            <x v="88"/>
          </reference>
        </references>
      </pivotArea>
    </format>
    <format dxfId="4287">
      <pivotArea dataOnly="0" labelOnly="1" fieldPosition="0">
        <references count="5">
          <reference field="4" count="1" selected="0">
            <x v="7"/>
          </reference>
          <reference field="6" count="1" selected="0">
            <x v="4"/>
          </reference>
          <reference field="7" count="1" selected="0">
            <x v="11"/>
          </reference>
          <reference field="8" count="1" selected="0">
            <x v="49"/>
          </reference>
          <reference field="15" count="1">
            <x v="86"/>
          </reference>
        </references>
      </pivotArea>
    </format>
    <format dxfId="4286">
      <pivotArea dataOnly="0" labelOnly="1" fieldPosition="0">
        <references count="5">
          <reference field="4" count="1" selected="0">
            <x v="7"/>
          </reference>
          <reference field="6" count="1" selected="0">
            <x v="4"/>
          </reference>
          <reference field="7" count="1" selected="0">
            <x v="12"/>
          </reference>
          <reference field="8" count="1" selected="0">
            <x v="50"/>
          </reference>
          <reference field="15" count="3">
            <x v="64"/>
            <x v="65"/>
            <x v="136"/>
          </reference>
        </references>
      </pivotArea>
    </format>
    <format dxfId="4285">
      <pivotArea dataOnly="0" labelOnly="1" fieldPosition="0">
        <references count="5">
          <reference field="4" count="1" selected="0">
            <x v="7"/>
          </reference>
          <reference field="6" count="1" selected="0">
            <x v="4"/>
          </reference>
          <reference field="7" count="1" selected="0">
            <x v="13"/>
          </reference>
          <reference field="8" count="1" selected="0">
            <x v="51"/>
          </reference>
          <reference field="15" count="1">
            <x v="307"/>
          </reference>
        </references>
      </pivotArea>
    </format>
    <format dxfId="4284">
      <pivotArea dataOnly="0" labelOnly="1" fieldPosition="0">
        <references count="5">
          <reference field="4" count="1" selected="0">
            <x v="7"/>
          </reference>
          <reference field="6" count="1" selected="0">
            <x v="4"/>
          </reference>
          <reference field="7" count="1" selected="0">
            <x v="13"/>
          </reference>
          <reference field="8" count="1" selected="0">
            <x v="52"/>
          </reference>
          <reference field="15" count="1">
            <x v="309"/>
          </reference>
        </references>
      </pivotArea>
    </format>
    <format dxfId="4283">
      <pivotArea dataOnly="0" labelOnly="1" fieldPosition="0">
        <references count="5">
          <reference field="4" count="1" selected="0">
            <x v="7"/>
          </reference>
          <reference field="6" count="1" selected="0">
            <x v="4"/>
          </reference>
          <reference field="7" count="1" selected="0">
            <x v="13"/>
          </reference>
          <reference field="8" count="1" selected="0">
            <x v="53"/>
          </reference>
          <reference field="15" count="1">
            <x v="308"/>
          </reference>
        </references>
      </pivotArea>
    </format>
    <format dxfId="4282">
      <pivotArea dataOnly="0" labelOnly="1" fieldPosition="0">
        <references count="5">
          <reference field="4" count="1" selected="0">
            <x v="7"/>
          </reference>
          <reference field="6" count="1" selected="0">
            <x v="4"/>
          </reference>
          <reference field="7" count="1" selected="0">
            <x v="14"/>
          </reference>
          <reference field="8" count="1" selected="0">
            <x v="54"/>
          </reference>
          <reference field="15" count="1">
            <x v="281"/>
          </reference>
        </references>
      </pivotArea>
    </format>
    <format dxfId="4281">
      <pivotArea dataOnly="0" labelOnly="1" fieldPosition="0">
        <references count="5">
          <reference field="4" count="1" selected="0">
            <x v="7"/>
          </reference>
          <reference field="6" count="1" selected="0">
            <x v="4"/>
          </reference>
          <reference field="7" count="1" selected="0">
            <x v="14"/>
          </reference>
          <reference field="8" count="1" selected="0">
            <x v="55"/>
          </reference>
          <reference field="15" count="1">
            <x v="138"/>
          </reference>
        </references>
      </pivotArea>
    </format>
    <format dxfId="4280">
      <pivotArea dataOnly="0" labelOnly="1" fieldPosition="0">
        <references count="5">
          <reference field="4" count="1" selected="0">
            <x v="7"/>
          </reference>
          <reference field="6" count="1" selected="0">
            <x v="4"/>
          </reference>
          <reference field="7" count="1" selected="0">
            <x v="15"/>
          </reference>
          <reference field="8" count="1" selected="0">
            <x v="56"/>
          </reference>
          <reference field="15" count="2">
            <x v="335"/>
            <x v="336"/>
          </reference>
        </references>
      </pivotArea>
    </format>
    <format dxfId="4279">
      <pivotArea dataOnly="0" labelOnly="1" fieldPosition="0">
        <references count="5">
          <reference field="4" count="1" selected="0">
            <x v="8"/>
          </reference>
          <reference field="6" count="1" selected="0">
            <x v="0"/>
          </reference>
          <reference field="7" count="1" selected="0">
            <x v="18"/>
          </reference>
          <reference field="8" count="1" selected="0">
            <x v="77"/>
          </reference>
          <reference field="15" count="1">
            <x v="290"/>
          </reference>
        </references>
      </pivotArea>
    </format>
    <format dxfId="4278">
      <pivotArea dataOnly="0" labelOnly="1" fieldPosition="0">
        <references count="5">
          <reference field="4" count="1" selected="0">
            <x v="8"/>
          </reference>
          <reference field="6" count="1" selected="0">
            <x v="0"/>
          </reference>
          <reference field="7" count="1" selected="0">
            <x v="22"/>
          </reference>
          <reference field="8" count="1" selected="0">
            <x v="92"/>
          </reference>
          <reference field="15" count="4">
            <x v="130"/>
            <x v="359"/>
            <x v="360"/>
            <x v="361"/>
          </reference>
        </references>
      </pivotArea>
    </format>
    <format dxfId="4277">
      <pivotArea dataOnly="0" labelOnly="1" fieldPosition="0">
        <references count="5">
          <reference field="4" count="1" selected="0">
            <x v="8"/>
          </reference>
          <reference field="6" count="1" selected="0">
            <x v="0"/>
          </reference>
          <reference field="7" count="1" selected="0">
            <x v="22"/>
          </reference>
          <reference field="8" count="1" selected="0">
            <x v="93"/>
          </reference>
          <reference field="15" count="1">
            <x v="369"/>
          </reference>
        </references>
      </pivotArea>
    </format>
    <format dxfId="4276">
      <pivotArea dataOnly="0" labelOnly="1" fieldPosition="0">
        <references count="5">
          <reference field="4" count="1" selected="0">
            <x v="8"/>
          </reference>
          <reference field="6" count="1" selected="0">
            <x v="0"/>
          </reference>
          <reference field="7" count="1" selected="0">
            <x v="22"/>
          </reference>
          <reference field="8" count="1" selected="0">
            <x v="94"/>
          </reference>
          <reference field="15" count="1">
            <x v="273"/>
          </reference>
        </references>
      </pivotArea>
    </format>
    <format dxfId="4275">
      <pivotArea dataOnly="0" labelOnly="1" fieldPosition="0">
        <references count="5">
          <reference field="4" count="1" selected="0">
            <x v="8"/>
          </reference>
          <reference field="6" count="1" selected="0">
            <x v="1"/>
          </reference>
          <reference field="7" count="1" selected="0">
            <x v="28"/>
          </reference>
          <reference field="8" count="1" selected="0">
            <x v="138"/>
          </reference>
          <reference field="15" count="3">
            <x v="270"/>
            <x v="343"/>
            <x v="355"/>
          </reference>
        </references>
      </pivotArea>
    </format>
    <format dxfId="4274">
      <pivotArea dataOnly="0" labelOnly="1" fieldPosition="0">
        <references count="5">
          <reference field="4" count="1" selected="0">
            <x v="8"/>
          </reference>
          <reference field="6" count="1" selected="0">
            <x v="1"/>
          </reference>
          <reference field="7" count="1" selected="0">
            <x v="28"/>
          </reference>
          <reference field="8" count="1" selected="0">
            <x v="139"/>
          </reference>
          <reference field="15" count="1">
            <x v="147"/>
          </reference>
        </references>
      </pivotArea>
    </format>
    <format dxfId="4273">
      <pivotArea dataOnly="0" labelOnly="1" fieldPosition="0">
        <references count="5">
          <reference field="4" count="1" selected="0">
            <x v="8"/>
          </reference>
          <reference field="6" count="1" selected="0">
            <x v="2"/>
          </reference>
          <reference field="7" count="1" selected="0">
            <x v="32"/>
          </reference>
          <reference field="8" count="1" selected="0">
            <x v="158"/>
          </reference>
          <reference field="15" count="1">
            <x v="344"/>
          </reference>
        </references>
      </pivotArea>
    </format>
    <format dxfId="4272">
      <pivotArea dataOnly="0" labelOnly="1" fieldPosition="0">
        <references count="5">
          <reference field="4" count="1" selected="0">
            <x v="8"/>
          </reference>
          <reference field="6" count="1" selected="0">
            <x v="2"/>
          </reference>
          <reference field="7" count="1" selected="0">
            <x v="32"/>
          </reference>
          <reference field="8" count="1" selected="0">
            <x v="159"/>
          </reference>
          <reference field="15" count="1">
            <x v="137"/>
          </reference>
        </references>
      </pivotArea>
    </format>
    <format dxfId="4271">
      <pivotArea dataOnly="0" labelOnly="1" fieldPosition="0">
        <references count="5">
          <reference field="4" count="1" selected="0">
            <x v="8"/>
          </reference>
          <reference field="6" count="1" selected="0">
            <x v="3"/>
          </reference>
          <reference field="7" count="1" selected="0">
            <x v="6"/>
          </reference>
          <reference field="8" count="1" selected="0">
            <x v="29"/>
          </reference>
          <reference field="15" count="4">
            <x v="145"/>
            <x v="146"/>
            <x v="356"/>
            <x v="357"/>
          </reference>
        </references>
      </pivotArea>
    </format>
    <format dxfId="4270">
      <pivotArea dataOnly="0" labelOnly="1" fieldPosition="0">
        <references count="5">
          <reference field="4" count="1" selected="0">
            <x v="8"/>
          </reference>
          <reference field="6" count="1" selected="0">
            <x v="3"/>
          </reference>
          <reference field="7" count="1" selected="0">
            <x v="6"/>
          </reference>
          <reference field="8" count="1" selected="0">
            <x v="30"/>
          </reference>
          <reference field="15" count="2">
            <x v="267"/>
            <x v="268"/>
          </reference>
        </references>
      </pivotArea>
    </format>
    <format dxfId="4269">
      <pivotArea dataOnly="0" labelOnly="1" fieldPosition="0">
        <references count="5">
          <reference field="4" count="1" selected="0">
            <x v="9"/>
          </reference>
          <reference field="6" count="1" selected="0">
            <x v="1"/>
          </reference>
          <reference field="7" count="1" selected="0">
            <x v="25"/>
          </reference>
          <reference field="8" count="1" selected="0">
            <x v="115"/>
          </reference>
          <reference field="15" count="13">
            <x v="35"/>
            <x v="36"/>
            <x v="63"/>
            <x v="72"/>
            <x v="77"/>
            <x v="238"/>
            <x v="241"/>
            <x v="242"/>
            <x v="243"/>
            <x v="247"/>
            <x v="248"/>
            <x v="260"/>
            <x v="262"/>
          </reference>
        </references>
      </pivotArea>
    </format>
    <format dxfId="4268">
      <pivotArea dataOnly="0" labelOnly="1" fieldPosition="0">
        <references count="5">
          <reference field="4" count="1" selected="0">
            <x v="9"/>
          </reference>
          <reference field="6" count="1" selected="0">
            <x v="1"/>
          </reference>
          <reference field="7" count="1" selected="0">
            <x v="25"/>
          </reference>
          <reference field="8" count="1" selected="0">
            <x v="116"/>
          </reference>
          <reference field="15" count="1">
            <x v="61"/>
          </reference>
        </references>
      </pivotArea>
    </format>
    <format dxfId="4267">
      <pivotArea dataOnly="0" labelOnly="1" fieldPosition="0">
        <references count="5">
          <reference field="4" count="1" selected="0">
            <x v="9"/>
          </reference>
          <reference field="6" count="1" selected="0">
            <x v="1"/>
          </reference>
          <reference field="7" count="1" selected="0">
            <x v="25"/>
          </reference>
          <reference field="8" count="1" selected="0">
            <x v="117"/>
          </reference>
          <reference field="15" count="2">
            <x v="92"/>
            <x v="249"/>
          </reference>
        </references>
      </pivotArea>
    </format>
    <format dxfId="4266">
      <pivotArea dataOnly="0" labelOnly="1" fieldPosition="0">
        <references count="5">
          <reference field="4" count="1" selected="0">
            <x v="9"/>
          </reference>
          <reference field="6" count="1" selected="0">
            <x v="1"/>
          </reference>
          <reference field="7" count="1" selected="0">
            <x v="25"/>
          </reference>
          <reference field="8" count="1" selected="0">
            <x v="118"/>
          </reference>
          <reference field="15" count="3">
            <x v="71"/>
            <x v="87"/>
            <x v="91"/>
          </reference>
        </references>
      </pivotArea>
    </format>
    <format dxfId="4265">
      <pivotArea dataOnly="0" labelOnly="1" fieldPosition="0">
        <references count="5">
          <reference field="4" count="1" selected="0">
            <x v="9"/>
          </reference>
          <reference field="6" count="1" selected="0">
            <x v="1"/>
          </reference>
          <reference field="7" count="1" selected="0">
            <x v="25"/>
          </reference>
          <reference field="8" count="1" selected="0">
            <x v="119"/>
          </reference>
          <reference field="15" count="4">
            <x v="62"/>
            <x v="68"/>
            <x v="69"/>
            <x v="70"/>
          </reference>
        </references>
      </pivotArea>
    </format>
    <format dxfId="4264">
      <pivotArea dataOnly="0" labelOnly="1" fieldPosition="0">
        <references count="5">
          <reference field="4" count="1" selected="0">
            <x v="9"/>
          </reference>
          <reference field="6" count="1" selected="0">
            <x v="1"/>
          </reference>
          <reference field="7" count="1" selected="0">
            <x v="25"/>
          </reference>
          <reference field="8" count="1" selected="0">
            <x v="120"/>
          </reference>
          <reference field="15" count="1">
            <x v="85"/>
          </reference>
        </references>
      </pivotArea>
    </format>
    <format dxfId="4263">
      <pivotArea dataOnly="0" labelOnly="1" fieldPosition="0">
        <references count="5">
          <reference field="4" count="1" selected="0">
            <x v="9"/>
          </reference>
          <reference field="6" count="1" selected="0">
            <x v="1"/>
          </reference>
          <reference field="7" count="1" selected="0">
            <x v="25"/>
          </reference>
          <reference field="8" count="1" selected="0">
            <x v="121"/>
          </reference>
          <reference field="15" count="2">
            <x v="41"/>
            <x v="78"/>
          </reference>
        </references>
      </pivotArea>
    </format>
    <format dxfId="4262">
      <pivotArea dataOnly="0" labelOnly="1" fieldPosition="0">
        <references count="5">
          <reference field="4" count="1" selected="0">
            <x v="9"/>
          </reference>
          <reference field="6" count="1" selected="0">
            <x v="1"/>
          </reference>
          <reference field="7" count="1" selected="0">
            <x v="25"/>
          </reference>
          <reference field="8" count="1" selected="0">
            <x v="122"/>
          </reference>
          <reference field="15" count="2">
            <x v="38"/>
            <x v="39"/>
          </reference>
        </references>
      </pivotArea>
    </format>
    <format dxfId="4261">
      <pivotArea dataOnly="0" labelOnly="1" fieldPosition="0">
        <references count="5">
          <reference field="4" count="1" selected="0">
            <x v="9"/>
          </reference>
          <reference field="6" count="1" selected="0">
            <x v="1"/>
          </reference>
          <reference field="7" count="1" selected="0">
            <x v="25"/>
          </reference>
          <reference field="8" count="1" selected="0">
            <x v="123"/>
          </reference>
          <reference field="15" count="7">
            <x v="32"/>
            <x v="33"/>
            <x v="60"/>
            <x v="82"/>
            <x v="83"/>
            <x v="89"/>
            <x v="90"/>
          </reference>
        </references>
      </pivotArea>
    </format>
    <format dxfId="4260">
      <pivotArea dataOnly="0" labelOnly="1" fieldPosition="0">
        <references count="5">
          <reference field="4" count="1" selected="0">
            <x v="9"/>
          </reference>
          <reference field="6" count="1" selected="0">
            <x v="1"/>
          </reference>
          <reference field="7" count="1" selected="0">
            <x v="25"/>
          </reference>
          <reference field="8" count="1" selected="0">
            <x v="124"/>
          </reference>
          <reference field="15" count="1">
            <x v="261"/>
          </reference>
        </references>
      </pivotArea>
    </format>
    <format dxfId="4259">
      <pivotArea dataOnly="0" labelOnly="1" fieldPosition="0">
        <references count="5">
          <reference field="4" count="1" selected="0">
            <x v="10"/>
          </reference>
          <reference field="6" count="1" selected="0">
            <x v="3"/>
          </reference>
          <reference field="7" count="1" selected="0">
            <x v="6"/>
          </reference>
          <reference field="8" count="1" selected="0">
            <x v="29"/>
          </reference>
          <reference field="15" count="21">
            <x v="2"/>
            <x v="3"/>
            <x v="5"/>
            <x v="152"/>
            <x v="153"/>
            <x v="154"/>
            <x v="155"/>
            <x v="156"/>
            <x v="157"/>
            <x v="158"/>
            <x v="159"/>
            <x v="160"/>
            <x v="161"/>
            <x v="162"/>
            <x v="163"/>
            <x v="189"/>
            <x v="190"/>
            <x v="191"/>
            <x v="192"/>
            <x v="193"/>
            <x v="395"/>
          </reference>
        </references>
      </pivotArea>
    </format>
    <format dxfId="4258">
      <pivotArea dataOnly="0" labelOnly="1" fieldPosition="0">
        <references count="5">
          <reference field="4" count="1" selected="0">
            <x v="11"/>
          </reference>
          <reference field="6" count="1" selected="0">
            <x v="0"/>
          </reference>
          <reference field="7" count="1" selected="0">
            <x v="17"/>
          </reference>
          <reference field="8" count="1" selected="0">
            <x v="70"/>
          </reference>
          <reference field="15" count="4">
            <x v="345"/>
            <x v="346"/>
            <x v="347"/>
            <x v="351"/>
          </reference>
        </references>
      </pivotArea>
    </format>
    <format dxfId="4257">
      <pivotArea dataOnly="0" labelOnly="1" fieldPosition="0">
        <references count="5">
          <reference field="4" count="1" selected="0">
            <x v="11"/>
          </reference>
          <reference field="6" count="1" selected="0">
            <x v="0"/>
          </reference>
          <reference field="7" count="1" selected="0">
            <x v="17"/>
          </reference>
          <reference field="8" count="1" selected="0">
            <x v="71"/>
          </reference>
          <reference field="15" count="3">
            <x v="348"/>
            <x v="352"/>
            <x v="353"/>
          </reference>
        </references>
      </pivotArea>
    </format>
    <format dxfId="4256">
      <pivotArea dataOnly="0" labelOnly="1" fieldPosition="0">
        <references count="5">
          <reference field="4" count="1" selected="0">
            <x v="11"/>
          </reference>
          <reference field="6" count="1" selected="0">
            <x v="0"/>
          </reference>
          <reference field="7" count="1" selected="0">
            <x v="17"/>
          </reference>
          <reference field="8" count="1" selected="0">
            <x v="72"/>
          </reference>
          <reference field="15" count="3">
            <x v="143"/>
            <x v="349"/>
            <x v="350"/>
          </reference>
        </references>
      </pivotArea>
    </format>
    <format dxfId="4255">
      <pivotArea dataOnly="0" labelOnly="1" fieldPosition="0">
        <references count="5">
          <reference field="4" count="1" selected="0">
            <x v="12"/>
          </reference>
          <reference field="6" count="1" selected="0">
            <x v="0"/>
          </reference>
          <reference field="7" count="1" selected="0">
            <x v="18"/>
          </reference>
          <reference field="8" count="1" selected="0">
            <x v="74"/>
          </reference>
          <reference field="15" count="2">
            <x v="113"/>
            <x v="114"/>
          </reference>
        </references>
      </pivotArea>
    </format>
    <format dxfId="4254">
      <pivotArea dataOnly="0" labelOnly="1" fieldPosition="0">
        <references count="5">
          <reference field="4" count="1" selected="0">
            <x v="12"/>
          </reference>
          <reference field="6" count="1" selected="0">
            <x v="0"/>
          </reference>
          <reference field="7" count="1" selected="0">
            <x v="18"/>
          </reference>
          <reference field="8" count="1" selected="0">
            <x v="75"/>
          </reference>
          <reference field="15" count="1">
            <x v="116"/>
          </reference>
        </references>
      </pivotArea>
    </format>
    <format dxfId="4253">
      <pivotArea dataOnly="0" labelOnly="1" fieldPosition="0">
        <references count="5">
          <reference field="4" count="1" selected="0">
            <x v="12"/>
          </reference>
          <reference field="6" count="1" selected="0">
            <x v="0"/>
          </reference>
          <reference field="7" count="1" selected="0">
            <x v="18"/>
          </reference>
          <reference field="8" count="1" selected="0">
            <x v="76"/>
          </reference>
          <reference field="15" count="1">
            <x v="244"/>
          </reference>
        </references>
      </pivotArea>
    </format>
    <format dxfId="4252">
      <pivotArea dataOnly="0" labelOnly="1" fieldPosition="0">
        <references count="5">
          <reference field="4" count="1" selected="0">
            <x v="13"/>
          </reference>
          <reference field="6" count="1" selected="0">
            <x v="3"/>
          </reference>
          <reference field="7" count="1" selected="0">
            <x v="1"/>
          </reference>
          <reference field="8" count="1" selected="0">
            <x v="6"/>
          </reference>
          <reference field="15" count="1">
            <x v="340"/>
          </reference>
        </references>
      </pivotArea>
    </format>
    <format dxfId="4251">
      <pivotArea dataOnly="0" labelOnly="1" fieldPosition="0">
        <references count="5">
          <reference field="4" count="1" selected="0">
            <x v="13"/>
          </reference>
          <reference field="6" count="1" selected="0">
            <x v="3"/>
          </reference>
          <reference field="7" count="1" selected="0">
            <x v="5"/>
          </reference>
          <reference field="8" count="1" selected="0">
            <x v="22"/>
          </reference>
          <reference field="15" count="1">
            <x v="333"/>
          </reference>
        </references>
      </pivotArea>
    </format>
    <format dxfId="4250">
      <pivotArea dataOnly="0" labelOnly="1" fieldPosition="0">
        <references count="5">
          <reference field="4" count="1" selected="0">
            <x v="13"/>
          </reference>
          <reference field="6" count="1" selected="0">
            <x v="3"/>
          </reference>
          <reference field="7" count="1" selected="0">
            <x v="5"/>
          </reference>
          <reference field="8" count="1" selected="0">
            <x v="23"/>
          </reference>
          <reference field="15" count="1">
            <x v="332"/>
          </reference>
        </references>
      </pivotArea>
    </format>
    <format dxfId="4249">
      <pivotArea dataOnly="0" labelOnly="1" fieldPosition="0">
        <references count="5">
          <reference field="4" count="1" selected="0">
            <x v="13"/>
          </reference>
          <reference field="6" count="1" selected="0">
            <x v="3"/>
          </reference>
          <reference field="7" count="1" selected="0">
            <x v="5"/>
          </reference>
          <reference field="8" count="1" selected="0">
            <x v="24"/>
          </reference>
          <reference field="15" count="1">
            <x v="339"/>
          </reference>
        </references>
      </pivotArea>
    </format>
    <format dxfId="4248">
      <pivotArea dataOnly="0" labelOnly="1" fieldPosition="0">
        <references count="5">
          <reference field="4" count="1" selected="0">
            <x v="13"/>
          </reference>
          <reference field="6" count="1" selected="0">
            <x v="3"/>
          </reference>
          <reference field="7" count="1" selected="0">
            <x v="5"/>
          </reference>
          <reference field="8" count="1" selected="0">
            <x v="25"/>
          </reference>
          <reference field="15" count="1">
            <x v="342"/>
          </reference>
        </references>
      </pivotArea>
    </format>
    <format dxfId="4247">
      <pivotArea dataOnly="0" labelOnly="1" fieldPosition="0">
        <references count="5">
          <reference field="4" count="1" selected="0">
            <x v="13"/>
          </reference>
          <reference field="6" count="1" selected="0">
            <x v="3"/>
          </reference>
          <reference field="7" count="1" selected="0">
            <x v="5"/>
          </reference>
          <reference field="8" count="1" selected="0">
            <x v="26"/>
          </reference>
          <reference field="15" count="1">
            <x v="338"/>
          </reference>
        </references>
      </pivotArea>
    </format>
    <format dxfId="4246">
      <pivotArea dataOnly="0" labelOnly="1" fieldPosition="0">
        <references count="5">
          <reference field="4" count="1" selected="0">
            <x v="13"/>
          </reference>
          <reference field="6" count="1" selected="0">
            <x v="3"/>
          </reference>
          <reference field="7" count="1" selected="0">
            <x v="5"/>
          </reference>
          <reference field="8" count="1" selected="0">
            <x v="27"/>
          </reference>
          <reference field="15" count="1">
            <x v="341"/>
          </reference>
        </references>
      </pivotArea>
    </format>
    <format dxfId="4245">
      <pivotArea dataOnly="0" labelOnly="1" fieldPosition="0">
        <references count="5">
          <reference field="4" count="1" selected="0">
            <x v="14"/>
          </reference>
          <reference field="6" count="1" selected="0">
            <x v="1"/>
          </reference>
          <reference field="7" count="1" selected="0">
            <x v="26"/>
          </reference>
          <reference field="8" count="1" selected="0">
            <x v="125"/>
          </reference>
          <reference field="15" count="4">
            <x v="26"/>
            <x v="27"/>
            <x v="28"/>
            <x v="99"/>
          </reference>
        </references>
      </pivotArea>
    </format>
    <format dxfId="4244">
      <pivotArea dataOnly="0" labelOnly="1" fieldPosition="0">
        <references count="5">
          <reference field="4" count="1" selected="0">
            <x v="14"/>
          </reference>
          <reference field="6" count="1" selected="0">
            <x v="1"/>
          </reference>
          <reference field="7" count="1" selected="0">
            <x v="26"/>
          </reference>
          <reference field="8" count="1" selected="0">
            <x v="126"/>
          </reference>
          <reference field="15" count="1">
            <x v="19"/>
          </reference>
        </references>
      </pivotArea>
    </format>
    <format dxfId="4243">
      <pivotArea dataOnly="0" labelOnly="1" fieldPosition="0">
        <references count="5">
          <reference field="4" count="1" selected="0">
            <x v="14"/>
          </reference>
          <reference field="6" count="1" selected="0">
            <x v="1"/>
          </reference>
          <reference field="7" count="1" selected="0">
            <x v="26"/>
          </reference>
          <reference field="8" count="1" selected="0">
            <x v="127"/>
          </reference>
          <reference field="15" count="2">
            <x v="150"/>
            <x v="151"/>
          </reference>
        </references>
      </pivotArea>
    </format>
    <format dxfId="4242">
      <pivotArea dataOnly="0" labelOnly="1" fieldPosition="0">
        <references count="5">
          <reference field="4" count="1" selected="0">
            <x v="14"/>
          </reference>
          <reference field="6" count="1" selected="0">
            <x v="1"/>
          </reference>
          <reference field="7" count="1" selected="0">
            <x v="26"/>
          </reference>
          <reference field="8" count="1" selected="0">
            <x v="128"/>
          </reference>
          <reference field="15" count="2">
            <x v="29"/>
            <x v="30"/>
          </reference>
        </references>
      </pivotArea>
    </format>
    <format dxfId="4241">
      <pivotArea dataOnly="0" labelOnly="1" fieldPosition="0">
        <references count="5">
          <reference field="4" count="1" selected="0">
            <x v="14"/>
          </reference>
          <reference field="6" count="1" selected="0">
            <x v="1"/>
          </reference>
          <reference field="7" count="1" selected="0">
            <x v="26"/>
          </reference>
          <reference field="8" count="1" selected="0">
            <x v="129"/>
          </reference>
          <reference field="15" count="2">
            <x v="330"/>
            <x v="331"/>
          </reference>
        </references>
      </pivotArea>
    </format>
    <format dxfId="4240">
      <pivotArea dataOnly="0" labelOnly="1" fieldPosition="0">
        <references count="5">
          <reference field="4" count="1" selected="0">
            <x v="14"/>
          </reference>
          <reference field="6" count="1" selected="0">
            <x v="1"/>
          </reference>
          <reference field="7" count="1" selected="0">
            <x v="26"/>
          </reference>
          <reference field="8" count="1" selected="0">
            <x v="130"/>
          </reference>
          <reference field="15" count="2">
            <x v="367"/>
            <x v="368"/>
          </reference>
        </references>
      </pivotArea>
    </format>
    <format dxfId="4239">
      <pivotArea dataOnly="0" labelOnly="1" fieldPosition="0">
        <references count="5">
          <reference field="4" count="1" selected="0">
            <x v="14"/>
          </reference>
          <reference field="6" count="1" selected="0">
            <x v="1"/>
          </reference>
          <reference field="7" count="1" selected="0">
            <x v="26"/>
          </reference>
          <reference field="8" count="1" selected="0">
            <x v="131"/>
          </reference>
          <reference field="15" count="3">
            <x v="14"/>
            <x v="15"/>
            <x v="16"/>
          </reference>
        </references>
      </pivotArea>
    </format>
    <format dxfId="4238">
      <pivotArea dataOnly="0" labelOnly="1" fieldPosition="0">
        <references count="5">
          <reference field="4" count="1" selected="0">
            <x v="15"/>
          </reference>
          <reference field="6" count="1" selected="0">
            <x v="0"/>
          </reference>
          <reference field="7" count="1" selected="0">
            <x v="20"/>
          </reference>
          <reference field="8" count="1" selected="0">
            <x v="82"/>
          </reference>
          <reference field="15" count="2">
            <x v="73"/>
            <x v="74"/>
          </reference>
        </references>
      </pivotArea>
    </format>
    <format dxfId="4237">
      <pivotArea dataOnly="0" labelOnly="1" fieldPosition="0">
        <references count="5">
          <reference field="4" count="1" selected="0">
            <x v="15"/>
          </reference>
          <reference field="6" count="1" selected="0">
            <x v="0"/>
          </reference>
          <reference field="7" count="1" selected="0">
            <x v="20"/>
          </reference>
          <reference field="8" count="1" selected="0">
            <x v="83"/>
          </reference>
          <reference field="15" count="1">
            <x v="75"/>
          </reference>
        </references>
      </pivotArea>
    </format>
    <format dxfId="4236">
      <pivotArea dataOnly="0" labelOnly="1" fieldPosition="0">
        <references count="5">
          <reference field="4" count="1" selected="0">
            <x v="15"/>
          </reference>
          <reference field="6" count="1" selected="0">
            <x v="0"/>
          </reference>
          <reference field="7" count="1" selected="0">
            <x v="20"/>
          </reference>
          <reference field="8" count="1" selected="0">
            <x v="84"/>
          </reference>
          <reference field="15" count="1">
            <x v="76"/>
          </reference>
        </references>
      </pivotArea>
    </format>
    <format dxfId="4235">
      <pivotArea dataOnly="0" labelOnly="1" fieldPosition="0">
        <references count="5">
          <reference field="4" count="1" selected="0">
            <x v="15"/>
          </reference>
          <reference field="6" count="1" selected="0">
            <x v="0"/>
          </reference>
          <reference field="7" count="1" selected="0">
            <x v="20"/>
          </reference>
          <reference field="8" count="1" selected="0">
            <x v="85"/>
          </reference>
          <reference field="15" count="1">
            <x v="259"/>
          </reference>
        </references>
      </pivotArea>
    </format>
    <format dxfId="4234">
      <pivotArea dataOnly="0" labelOnly="1" fieldPosition="0">
        <references count="5">
          <reference field="4" count="1" selected="0">
            <x v="15"/>
          </reference>
          <reference field="6" count="1" selected="0">
            <x v="0"/>
          </reference>
          <reference field="7" count="1" selected="0">
            <x v="20"/>
          </reference>
          <reference field="8" count="1" selected="0">
            <x v="86"/>
          </reference>
          <reference field="15" count="3">
            <x v="132"/>
            <x v="133"/>
            <x v="134"/>
          </reference>
        </references>
      </pivotArea>
    </format>
    <format dxfId="4233">
      <pivotArea dataOnly="0" labelOnly="1" fieldPosition="0">
        <references count="5">
          <reference field="4" count="1" selected="0">
            <x v="16"/>
          </reference>
          <reference field="6" count="1" selected="0">
            <x v="1"/>
          </reference>
          <reference field="7" count="1" selected="0">
            <x v="27"/>
          </reference>
          <reference field="8" count="1" selected="0">
            <x v="132"/>
          </reference>
          <reference field="15" count="1">
            <x v="20"/>
          </reference>
        </references>
      </pivotArea>
    </format>
    <format dxfId="4232">
      <pivotArea dataOnly="0" labelOnly="1" fieldPosition="0">
        <references count="5">
          <reference field="4" count="1" selected="0">
            <x v="16"/>
          </reference>
          <reference field="6" count="1" selected="0">
            <x v="1"/>
          </reference>
          <reference field="7" count="1" selected="0">
            <x v="27"/>
          </reference>
          <reference field="8" count="1" selected="0">
            <x v="133"/>
          </reference>
          <reference field="15" count="3">
            <x v="21"/>
            <x v="22"/>
            <x v="23"/>
          </reference>
        </references>
      </pivotArea>
    </format>
    <format dxfId="4231">
      <pivotArea dataOnly="0" labelOnly="1" fieldPosition="0">
        <references count="5">
          <reference field="4" count="1" selected="0">
            <x v="16"/>
          </reference>
          <reference field="6" count="1" selected="0">
            <x v="1"/>
          </reference>
          <reference field="7" count="1" selected="0">
            <x v="27"/>
          </reference>
          <reference field="8" count="1" selected="0">
            <x v="134"/>
          </reference>
          <reference field="15" count="2">
            <x v="149"/>
            <x v="354"/>
          </reference>
        </references>
      </pivotArea>
    </format>
    <format dxfId="4230">
      <pivotArea dataOnly="0" labelOnly="1" fieldPosition="0">
        <references count="5">
          <reference field="4" count="1" selected="0">
            <x v="16"/>
          </reference>
          <reference field="6" count="1" selected="0">
            <x v="1"/>
          </reference>
          <reference field="7" count="1" selected="0">
            <x v="27"/>
          </reference>
          <reference field="8" count="1" selected="0">
            <x v="135"/>
          </reference>
          <reference field="15" count="2">
            <x v="109"/>
            <x v="363"/>
          </reference>
        </references>
      </pivotArea>
    </format>
    <format dxfId="4229">
      <pivotArea dataOnly="0" labelOnly="1" fieldPosition="0">
        <references count="5">
          <reference field="4" count="1" selected="0">
            <x v="16"/>
          </reference>
          <reference field="6" count="1" selected="0">
            <x v="1"/>
          </reference>
          <reference field="7" count="1" selected="0">
            <x v="27"/>
          </reference>
          <reference field="8" count="1" selected="0">
            <x v="136"/>
          </reference>
          <reference field="15" count="2">
            <x v="81"/>
            <x v="148"/>
          </reference>
        </references>
      </pivotArea>
    </format>
    <format dxfId="4228">
      <pivotArea dataOnly="0" labelOnly="1" fieldPosition="0">
        <references count="5">
          <reference field="4" count="1" selected="0">
            <x v="16"/>
          </reference>
          <reference field="6" count="1" selected="0">
            <x v="1"/>
          </reference>
          <reference field="7" count="1" selected="0">
            <x v="27"/>
          </reference>
          <reference field="8" count="1" selected="0">
            <x v="137"/>
          </reference>
          <reference field="15" count="2">
            <x v="111"/>
            <x v="112"/>
          </reference>
        </references>
      </pivotArea>
    </format>
    <format dxfId="4227">
      <pivotArea dataOnly="0" labelOnly="1" fieldPosition="0">
        <references count="5">
          <reference field="4" count="1" selected="0">
            <x v="16"/>
          </reference>
          <reference field="6" count="1" selected="0">
            <x v="3"/>
          </reference>
          <reference field="7" count="1" selected="0">
            <x v="1"/>
          </reference>
          <reference field="8" count="1" selected="0">
            <x v="6"/>
          </reference>
          <reference field="15" count="1">
            <x v="362"/>
          </reference>
        </references>
      </pivotArea>
    </format>
    <format dxfId="4226">
      <pivotArea dataOnly="0" labelOnly="1" fieldPosition="0">
        <references count="5">
          <reference field="4" count="1" selected="0">
            <x v="16"/>
          </reference>
          <reference field="6" count="1" selected="0">
            <x v="4"/>
          </reference>
          <reference field="7" count="1" selected="0">
            <x v="8"/>
          </reference>
          <reference field="8" count="1" selected="0">
            <x v="38"/>
          </reference>
          <reference field="15" count="1">
            <x v="229"/>
          </reference>
        </references>
      </pivotArea>
    </format>
    <format dxfId="4225">
      <pivotArea dataOnly="0" labelOnly="1" fieldPosition="0">
        <references count="5">
          <reference field="4" count="1" selected="0">
            <x v="16"/>
          </reference>
          <reference field="6" count="1" selected="0">
            <x v="4"/>
          </reference>
          <reference field="7" count="1" selected="0">
            <x v="11"/>
          </reference>
          <reference field="8" count="1" selected="0">
            <x v="48"/>
          </reference>
          <reference field="15" count="1">
            <x v="200"/>
          </reference>
        </references>
      </pivotArea>
    </format>
    <format dxfId="4224">
      <pivotArea dataOnly="0" labelOnly="1" fieldPosition="0">
        <references count="5">
          <reference field="4" count="1" selected="0">
            <x v="17"/>
          </reference>
          <reference field="6" count="1" selected="0">
            <x v="0"/>
          </reference>
          <reference field="7" count="1" selected="0">
            <x v="16"/>
          </reference>
          <reference field="8" count="1" selected="0">
            <x v="57"/>
          </reference>
          <reference field="15" count="5">
            <x v="110"/>
            <x v="284"/>
            <x v="285"/>
            <x v="294"/>
            <x v="295"/>
          </reference>
        </references>
      </pivotArea>
    </format>
    <format dxfId="4223">
      <pivotArea dataOnly="0" labelOnly="1" fieldPosition="0">
        <references count="5">
          <reference field="4" count="1" selected="0">
            <x v="17"/>
          </reference>
          <reference field="6" count="1" selected="0">
            <x v="0"/>
          </reference>
          <reference field="7" count="1" selected="0">
            <x v="16"/>
          </reference>
          <reference field="8" count="1" selected="0">
            <x v="58"/>
          </reference>
          <reference field="15" count="2">
            <x v="299"/>
            <x v="300"/>
          </reference>
        </references>
      </pivotArea>
    </format>
    <format dxfId="4222">
      <pivotArea dataOnly="0" labelOnly="1" fieldPosition="0">
        <references count="5">
          <reference field="4" count="1" selected="0">
            <x v="17"/>
          </reference>
          <reference field="6" count="1" selected="0">
            <x v="0"/>
          </reference>
          <reference field="7" count="1" selected="0">
            <x v="16"/>
          </reference>
          <reference field="8" count="1" selected="0">
            <x v="59"/>
          </reference>
          <reference field="15" count="2">
            <x v="94"/>
            <x v="95"/>
          </reference>
        </references>
      </pivotArea>
    </format>
    <format dxfId="4221">
      <pivotArea dataOnly="0" labelOnly="1" fieldPosition="0">
        <references count="5">
          <reference field="4" count="1" selected="0">
            <x v="17"/>
          </reference>
          <reference field="6" count="1" selected="0">
            <x v="0"/>
          </reference>
          <reference field="7" count="1" selected="0">
            <x v="16"/>
          </reference>
          <reference field="8" count="1" selected="0">
            <x v="60"/>
          </reference>
          <reference field="15" count="5">
            <x v="102"/>
            <x v="103"/>
            <x v="104"/>
            <x v="322"/>
            <x v="323"/>
          </reference>
        </references>
      </pivotArea>
    </format>
    <format dxfId="4220">
      <pivotArea dataOnly="0" labelOnly="1" fieldPosition="0">
        <references count="5">
          <reference field="4" count="1" selected="0">
            <x v="17"/>
          </reference>
          <reference field="6" count="1" selected="0">
            <x v="0"/>
          </reference>
          <reference field="7" count="1" selected="0">
            <x v="16"/>
          </reference>
          <reference field="8" count="1" selected="0">
            <x v="61"/>
          </reference>
          <reference field="15" count="2">
            <x v="296"/>
            <x v="297"/>
          </reference>
        </references>
      </pivotArea>
    </format>
    <format dxfId="4219">
      <pivotArea dataOnly="0" labelOnly="1" fieldPosition="0">
        <references count="5">
          <reference field="4" count="1" selected="0">
            <x v="17"/>
          </reference>
          <reference field="6" count="1" selected="0">
            <x v="0"/>
          </reference>
          <reference field="7" count="1" selected="0">
            <x v="16"/>
          </reference>
          <reference field="8" count="1" selected="0">
            <x v="62"/>
          </reference>
          <reference field="15" count="1">
            <x v="93"/>
          </reference>
        </references>
      </pivotArea>
    </format>
    <format dxfId="4218">
      <pivotArea dataOnly="0" labelOnly="1" fieldPosition="0">
        <references count="5">
          <reference field="4" count="1" selected="0">
            <x v="17"/>
          </reference>
          <reference field="6" count="1" selected="0">
            <x v="0"/>
          </reference>
          <reference field="7" count="1" selected="0">
            <x v="16"/>
          </reference>
          <reference field="8" count="1" selected="0">
            <x v="63"/>
          </reference>
          <reference field="15" count="2">
            <x v="315"/>
            <x v="316"/>
          </reference>
        </references>
      </pivotArea>
    </format>
    <format dxfId="4217">
      <pivotArea dataOnly="0" labelOnly="1" fieldPosition="0">
        <references count="5">
          <reference field="4" count="1" selected="0">
            <x v="17"/>
          </reference>
          <reference field="6" count="1" selected="0">
            <x v="0"/>
          </reference>
          <reference field="7" count="1" selected="0">
            <x v="22"/>
          </reference>
          <reference field="8" count="1" selected="0">
            <x v="94"/>
          </reference>
          <reference field="15" count="2">
            <x v="105"/>
            <x v="106"/>
          </reference>
        </references>
      </pivotArea>
    </format>
    <format dxfId="4216">
      <pivotArea dataOnly="0" labelOnly="1" fieldPosition="0">
        <references count="5">
          <reference field="4" count="1" selected="0">
            <x v="18"/>
          </reference>
          <reference field="6" count="1" selected="0">
            <x v="3"/>
          </reference>
          <reference field="7" count="1" selected="0">
            <x v="2"/>
          </reference>
          <reference field="8" count="1" selected="0">
            <x v="8"/>
          </reference>
          <reference field="15" count="2">
            <x v="375"/>
            <x v="376"/>
          </reference>
        </references>
      </pivotArea>
    </format>
    <format dxfId="4215">
      <pivotArea dataOnly="0" labelOnly="1" fieldPosition="0">
        <references count="5">
          <reference field="4" count="1" selected="0">
            <x v="18"/>
          </reference>
          <reference field="6" count="1" selected="0">
            <x v="3"/>
          </reference>
          <reference field="7" count="1" selected="0">
            <x v="2"/>
          </reference>
          <reference field="8" count="1" selected="0">
            <x v="9"/>
          </reference>
          <reference field="15" count="1">
            <x v="266"/>
          </reference>
        </references>
      </pivotArea>
    </format>
    <format dxfId="4214">
      <pivotArea dataOnly="0" labelOnly="1" fieldPosition="0">
        <references count="5">
          <reference field="4" count="1" selected="0">
            <x v="18"/>
          </reference>
          <reference field="6" count="1" selected="0">
            <x v="3"/>
          </reference>
          <reference field="7" count="1" selected="0">
            <x v="2"/>
          </reference>
          <reference field="8" count="1" selected="0">
            <x v="16"/>
          </reference>
          <reference field="15" count="2">
            <x v="271"/>
            <x v="272"/>
          </reference>
        </references>
      </pivotArea>
    </format>
    <format dxfId="4213">
      <pivotArea dataOnly="0" labelOnly="1" fieldPosition="0">
        <references count="5">
          <reference field="4" count="1" selected="0">
            <x v="18"/>
          </reference>
          <reference field="6" count="1" selected="0">
            <x v="3"/>
          </reference>
          <reference field="7" count="1" selected="0">
            <x v="2"/>
          </reference>
          <reference field="8" count="1" selected="0">
            <x v="17"/>
          </reference>
          <reference field="15" count="3">
            <x v="286"/>
            <x v="287"/>
            <x v="288"/>
          </reference>
        </references>
      </pivotArea>
    </format>
    <format dxfId="4212">
      <pivotArea dataOnly="0" labelOnly="1" fieldPosition="0">
        <references count="5">
          <reference field="4" count="1" selected="0">
            <x v="19"/>
          </reference>
          <reference field="6" count="1" selected="0">
            <x v="3"/>
          </reference>
          <reference field="7" count="1" selected="0">
            <x v="6"/>
          </reference>
          <reference field="8" count="1" selected="0">
            <x v="29"/>
          </reference>
          <reference field="15" count="24">
            <x v="4"/>
            <x v="168"/>
            <x v="169"/>
            <x v="170"/>
            <x v="171"/>
            <x v="172"/>
            <x v="173"/>
            <x v="174"/>
            <x v="183"/>
            <x v="184"/>
            <x v="185"/>
            <x v="186"/>
            <x v="187"/>
            <x v="188"/>
            <x v="194"/>
            <x v="195"/>
            <x v="196"/>
            <x v="197"/>
            <x v="198"/>
            <x v="199"/>
            <x v="203"/>
            <x v="204"/>
            <x v="223"/>
            <x v="258"/>
          </reference>
        </references>
      </pivotArea>
    </format>
    <format dxfId="4211">
      <pivotArea dataOnly="0" labelOnly="1" fieldPosition="0">
        <references count="5">
          <reference field="4" count="1" selected="0">
            <x v="20"/>
          </reference>
          <reference field="6" count="1" selected="0">
            <x v="1"/>
          </reference>
          <reference field="7" count="1" selected="0">
            <x v="24"/>
          </reference>
          <reference field="8" count="1" selected="0">
            <x v="106"/>
          </reference>
          <reference field="15" count="2">
            <x v="239"/>
            <x v="240"/>
          </reference>
        </references>
      </pivotArea>
    </format>
    <format dxfId="4210">
      <pivotArea dataOnly="0" labelOnly="1" outline="0" fieldPosition="0">
        <references count="1">
          <reference field="4294967294" count="2">
            <x v="7"/>
            <x v="8"/>
          </reference>
        </references>
      </pivotArea>
    </format>
    <format dxfId="4209">
      <pivotArea outline="0" collapsedLevelsAreSubtotals="1" fieldPosition="0"/>
    </format>
    <format dxfId="4208">
      <pivotArea dataOnly="0" labelOnly="1" outline="0" fieldPosition="0">
        <references count="1">
          <reference field="2" count="0"/>
        </references>
      </pivotArea>
    </format>
    <format dxfId="4207">
      <pivotArea dataOnly="0" labelOnly="1" outline="0" fieldPosition="0">
        <references count="1">
          <reference field="4294967294" count="9">
            <x v="0"/>
            <x v="1"/>
            <x v="2"/>
            <x v="3"/>
            <x v="4"/>
            <x v="5"/>
            <x v="6"/>
            <x v="7"/>
            <x v="8"/>
          </reference>
        </references>
      </pivotArea>
    </format>
    <format dxfId="4206">
      <pivotArea outline="0" collapsedLevelsAreSubtotals="1" fieldPosition="0">
        <references count="1">
          <reference field="4294967294" count="2" selected="0">
            <x v="7"/>
            <x v="8"/>
          </reference>
        </references>
      </pivotArea>
    </format>
    <format dxfId="4205">
      <pivotArea dataOnly="0" labelOnly="1" outline="0" fieldPosition="0">
        <references count="1">
          <reference field="4294967294" count="2">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2" cacheId="2" applyNumberFormats="0" applyBorderFormats="0" applyFontFormats="0" applyPatternFormats="0" applyAlignmentFormats="0" applyWidthHeightFormats="1" dataCaption="Valores" grandTotalCaption="TOTAL " updatedVersion="8" minRefreshableVersion="3" useAutoFormatting="1" itemPrintTitles="1" createdVersion="8" indent="0" outline="1" outlineData="1" multipleFieldFilters="0" rowHeaderCaption="UNIDAD EJECUTORA">
  <location ref="A3:J53" firstHeaderRow="0" firstDataRow="1" firstDataCol="1" rowPageCount="1" colPageCount="1"/>
  <pivotFields count="33">
    <pivotField showAll="0"/>
    <pivotField showAll="0"/>
    <pivotField axis="axisPage" showAll="0">
      <items count="22">
        <item x="4"/>
        <item x="3"/>
        <item x="14"/>
        <item x="0"/>
        <item x="13"/>
        <item x="17"/>
        <item x="7"/>
        <item x="9"/>
        <item x="15"/>
        <item x="8"/>
        <item x="1"/>
        <item x="16"/>
        <item x="12"/>
        <item x="20"/>
        <item x="5"/>
        <item x="10"/>
        <item x="6"/>
        <item x="11"/>
        <item x="19"/>
        <item x="2"/>
        <item x="18"/>
        <item t="default"/>
      </items>
    </pivotField>
    <pivotField showAll="0"/>
    <pivotField axis="axisRow" showAll="0">
      <items count="22">
        <item x="4"/>
        <item x="3"/>
        <item x="14"/>
        <item x="0"/>
        <item x="13"/>
        <item x="17"/>
        <item x="7"/>
        <item x="9"/>
        <item x="15"/>
        <item x="8"/>
        <item x="1"/>
        <item x="16"/>
        <item x="12"/>
        <item x="20"/>
        <item x="5"/>
        <item x="10"/>
        <item x="6"/>
        <item x="11"/>
        <item x="19"/>
        <item x="2"/>
        <item x="18"/>
        <item t="default"/>
      </items>
    </pivotField>
    <pivotField numFmtId="1" showAll="0"/>
    <pivotField axis="axisRow" showAll="0">
      <items count="6">
        <item x="1"/>
        <item x="2"/>
        <item x="3"/>
        <item x="0"/>
        <item x="4"/>
        <item t="default"/>
      </items>
    </pivotField>
    <pivotField axis="axisRow" showAll="0">
      <items count="34">
        <item x="19"/>
        <item x="27"/>
        <item x="1"/>
        <item x="2"/>
        <item x="8"/>
        <item x="30"/>
        <item x="0"/>
        <item x="32"/>
        <item x="25"/>
        <item x="29"/>
        <item x="12"/>
        <item x="15"/>
        <item x="13"/>
        <item x="28"/>
        <item x="23"/>
        <item x="31"/>
        <item x="16"/>
        <item x="10"/>
        <item x="18"/>
        <item x="3"/>
        <item x="14"/>
        <item x="20"/>
        <item x="17"/>
        <item x="9"/>
        <item x="6"/>
        <item x="7"/>
        <item x="4"/>
        <item x="5"/>
        <item x="24"/>
        <item x="11"/>
        <item x="21"/>
        <item x="26"/>
        <item x="22"/>
        <item t="default"/>
      </items>
    </pivotField>
    <pivotField axis="axisRow" showAll="0">
      <items count="161">
        <item x="62"/>
        <item x="155"/>
        <item x="112"/>
        <item x="156"/>
        <item x="118"/>
        <item x="154"/>
        <item x="140"/>
        <item x="60"/>
        <item x="153"/>
        <item x="102"/>
        <item x="7"/>
        <item x="2"/>
        <item x="52"/>
        <item x="1"/>
        <item x="22"/>
        <item x="151"/>
        <item x="105"/>
        <item x="114"/>
        <item x="82"/>
        <item x="3"/>
        <item x="15"/>
        <item x="49"/>
        <item x="135"/>
        <item x="134"/>
        <item x="139"/>
        <item x="142"/>
        <item x="138"/>
        <item x="141"/>
        <item x="128"/>
        <item x="0"/>
        <item x="103"/>
        <item x="159"/>
        <item x="150"/>
        <item x="86"/>
        <item x="152"/>
        <item x="137"/>
        <item x="110"/>
        <item x="79"/>
        <item x="80"/>
        <item x="83"/>
        <item x="126"/>
        <item x="131"/>
        <item x="132"/>
        <item x="129"/>
        <item x="28"/>
        <item x="27"/>
        <item x="29"/>
        <item x="26"/>
        <item x="43"/>
        <item x="42"/>
        <item x="32"/>
        <item x="122"/>
        <item x="124"/>
        <item x="123"/>
        <item x="111"/>
        <item x="69"/>
        <item x="136"/>
        <item x="55"/>
        <item x="119"/>
        <item x="46"/>
        <item x="50"/>
        <item x="117"/>
        <item x="45"/>
        <item x="127"/>
        <item x="106"/>
        <item x="53"/>
        <item x="147"/>
        <item x="146"/>
        <item x="38"/>
        <item x="20"/>
        <item x="144"/>
        <item x="145"/>
        <item x="74"/>
        <item x="89"/>
        <item x="57"/>
        <item x="59"/>
        <item x="88"/>
        <item x="108"/>
        <item x="85"/>
        <item x="5"/>
        <item x="4"/>
        <item x="81"/>
        <item x="35"/>
        <item x="36"/>
        <item x="37"/>
        <item x="98"/>
        <item x="67"/>
        <item x="63"/>
        <item x="116"/>
        <item x="125"/>
        <item x="157"/>
        <item x="101"/>
        <item x="66"/>
        <item x="149"/>
        <item x="51"/>
        <item x="90"/>
        <item x="91"/>
        <item x="97"/>
        <item x="21"/>
        <item x="94"/>
        <item x="93"/>
        <item x="95"/>
        <item x="18"/>
        <item x="92"/>
        <item x="96"/>
        <item x="11"/>
        <item x="87"/>
        <item x="61"/>
        <item x="48"/>
        <item x="47"/>
        <item x="58"/>
        <item x="130"/>
        <item x="39"/>
        <item x="33"/>
        <item x="100"/>
        <item x="16"/>
        <item x="30"/>
        <item x="44"/>
        <item x="34"/>
        <item x="31"/>
        <item x="41"/>
        <item x="19"/>
        <item x="17"/>
        <item x="14"/>
        <item x="99"/>
        <item x="12"/>
        <item x="8"/>
        <item x="78"/>
        <item x="13"/>
        <item x="133"/>
        <item x="148"/>
        <item x="6"/>
        <item x="9"/>
        <item x="10"/>
        <item x="77"/>
        <item x="54"/>
        <item x="40"/>
        <item x="56"/>
        <item x="104"/>
        <item x="76"/>
        <item x="25"/>
        <item x="109"/>
        <item x="113"/>
        <item x="115"/>
        <item x="24"/>
        <item x="23"/>
        <item x="70"/>
        <item x="64"/>
        <item x="73"/>
        <item x="71"/>
        <item x="75"/>
        <item x="158"/>
        <item x="65"/>
        <item x="72"/>
        <item x="107"/>
        <item x="84"/>
        <item x="121"/>
        <item x="120"/>
        <item x="143"/>
        <item x="68"/>
        <item t="default"/>
      </items>
    </pivotField>
    <pivotField showAll="0"/>
    <pivotField showAll="0"/>
    <pivotField showAll="0"/>
    <pivotField showAll="0"/>
    <pivotField showAll="0"/>
    <pivotField showAll="0"/>
    <pivotField axis="axisRow" showAll="0">
      <items count="402">
        <item x="1"/>
        <item x="0"/>
        <item x="3"/>
        <item x="2"/>
        <item x="4"/>
        <item x="5"/>
        <item x="6"/>
        <item x="8"/>
        <item x="7"/>
        <item x="9"/>
        <item x="11"/>
        <item x="10"/>
        <item x="12"/>
        <item x="13"/>
        <item x="16"/>
        <item x="15"/>
        <item x="14"/>
        <item x="18"/>
        <item x="17"/>
        <item x="19"/>
        <item x="20"/>
        <item x="21"/>
        <item x="22"/>
        <item x="23"/>
        <item x="25"/>
        <item x="24"/>
        <item x="27"/>
        <item x="26"/>
        <item x="28"/>
        <item x="29"/>
        <item x="30"/>
        <item x="31"/>
        <item x="32"/>
        <item x="33"/>
        <item x="34"/>
        <item x="35"/>
        <item x="36"/>
        <item x="37"/>
        <item x="38"/>
        <item x="39"/>
        <item x="40"/>
        <item x="41"/>
        <item x="42"/>
        <item x="43"/>
        <item x="44"/>
        <item x="45"/>
        <item x="46"/>
        <item x="47"/>
        <item x="48"/>
        <item x="49"/>
        <item x="50"/>
        <item x="51"/>
        <item x="52"/>
        <item x="53"/>
        <item x="54"/>
        <item x="55"/>
        <item x="56"/>
        <item x="58"/>
        <item x="57"/>
        <item x="59"/>
        <item x="60"/>
        <item x="61"/>
        <item x="62"/>
        <item x="63"/>
        <item x="65"/>
        <item x="64"/>
        <item x="66"/>
        <item x="67"/>
        <item x="68"/>
        <item x="69"/>
        <item x="70"/>
        <item x="71"/>
        <item x="72"/>
        <item x="74"/>
        <item x="73"/>
        <item x="75"/>
        <item x="76"/>
        <item x="77"/>
        <item x="78"/>
        <item x="79"/>
        <item x="80"/>
        <item x="81"/>
        <item x="82"/>
        <item x="83"/>
        <item x="84"/>
        <item x="85"/>
        <item x="86"/>
        <item x="87"/>
        <item x="88"/>
        <item x="89"/>
        <item x="90"/>
        <item x="91"/>
        <item x="92"/>
        <item x="93"/>
        <item x="95"/>
        <item x="94"/>
        <item x="96"/>
        <item x="97"/>
        <item x="98"/>
        <item x="99"/>
        <item x="101"/>
        <item x="100"/>
        <item x="103"/>
        <item x="102"/>
        <item x="104"/>
        <item x="105"/>
        <item x="106"/>
        <item x="107"/>
        <item x="108"/>
        <item x="109"/>
        <item x="110"/>
        <item x="111"/>
        <item x="112"/>
        <item x="114"/>
        <item x="113"/>
        <item x="115"/>
        <item x="116"/>
        <item x="117"/>
        <item x="118"/>
        <item x="119"/>
        <item x="122"/>
        <item x="120"/>
        <item x="121"/>
        <item x="123"/>
        <item x="124"/>
        <item x="125"/>
        <item x="126"/>
        <item x="127"/>
        <item x="129"/>
        <item x="128"/>
        <item x="130"/>
        <item x="131"/>
        <item x="132"/>
        <item x="133"/>
        <item x="134"/>
        <item x="135"/>
        <item x="136"/>
        <item x="137"/>
        <item x="138"/>
        <item x="139"/>
        <item x="140"/>
        <item x="141"/>
        <item x="142"/>
        <item x="143"/>
        <item x="144"/>
        <item x="145"/>
        <item x="146"/>
        <item x="147"/>
        <item x="148"/>
        <item x="149"/>
        <item x="151"/>
        <item x="150"/>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3"/>
        <item x="192"/>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4"/>
        <item x="233"/>
        <item x="235"/>
        <item x="236"/>
        <item x="237"/>
        <item x="238"/>
        <item x="239"/>
        <item x="240"/>
        <item x="241"/>
        <item x="242"/>
        <item x="243"/>
        <item x="244"/>
        <item x="246"/>
        <item x="245"/>
        <item x="247"/>
        <item x="248"/>
        <item x="249"/>
        <item x="250"/>
        <item x="251"/>
        <item x="252"/>
        <item x="253"/>
        <item x="254"/>
        <item x="255"/>
        <item x="256"/>
        <item x="257"/>
        <item x="258"/>
        <item x="259"/>
        <item x="260"/>
        <item x="261"/>
        <item x="262"/>
        <item x="263"/>
        <item x="264"/>
        <item x="265"/>
        <item x="266"/>
        <item x="268"/>
        <item x="267"/>
        <item x="269"/>
        <item x="270"/>
        <item x="271"/>
        <item x="272"/>
        <item x="273"/>
        <item x="274"/>
        <item x="275"/>
        <item x="277"/>
        <item x="276"/>
        <item x="278"/>
        <item x="279"/>
        <item x="280"/>
        <item x="281"/>
        <item x="282"/>
        <item x="283"/>
        <item x="285"/>
        <item x="284"/>
        <item x="288"/>
        <item x="286"/>
        <item x="287"/>
        <item x="289"/>
        <item x="290"/>
        <item x="291"/>
        <item x="292"/>
        <item x="293"/>
        <item x="294"/>
        <item x="295"/>
        <item x="297"/>
        <item x="296"/>
        <item x="298"/>
        <item x="299"/>
        <item x="300"/>
        <item x="301"/>
        <item x="302"/>
        <item x="303"/>
        <item x="304"/>
        <item x="305"/>
        <item x="306"/>
        <item x="307"/>
        <item x="308"/>
        <item x="309"/>
        <item x="310"/>
        <item x="311"/>
        <item x="312"/>
        <item x="313"/>
        <item x="314"/>
        <item x="316"/>
        <item x="315"/>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7"/>
        <item x="346"/>
        <item x="348"/>
        <item x="349"/>
        <item x="350"/>
        <item x="351"/>
        <item x="352"/>
        <item x="353"/>
        <item x="354"/>
        <item x="355"/>
        <item x="357"/>
        <item x="356"/>
        <item x="358"/>
        <item x="360"/>
        <item x="359"/>
        <item x="361"/>
        <item x="362"/>
        <item x="363"/>
        <item x="364"/>
        <item x="365"/>
        <item x="366"/>
        <item x="368"/>
        <item x="367"/>
        <item x="369"/>
        <item x="370"/>
        <item x="371"/>
        <item x="372"/>
        <item x="373"/>
        <item x="374"/>
        <item x="376"/>
        <item x="375"/>
        <item x="377"/>
        <item x="378"/>
        <item x="379"/>
        <item x="380"/>
        <item x="381"/>
        <item x="382"/>
        <item x="383"/>
        <item x="384"/>
        <item x="385"/>
        <item x="386"/>
        <item x="387"/>
        <item x="389"/>
        <item x="388"/>
        <item x="390"/>
        <item x="391"/>
        <item x="392"/>
        <item x="393"/>
        <item x="394"/>
        <item x="395"/>
        <item x="396"/>
        <item x="397"/>
        <item x="398"/>
        <item x="399"/>
        <item x="400"/>
        <item t="default"/>
      </items>
    </pivotField>
    <pivotField showAll="0"/>
    <pivotField showAll="0"/>
    <pivotField dataField="1" numFmtId="43" showAll="0"/>
    <pivotField numFmtId="43" showAll="0"/>
    <pivotField dataField="1" numFmtId="43" showAll="0"/>
    <pivotField numFmtId="43" showAll="0"/>
    <pivotField numFmtId="43" showAll="0"/>
    <pivotField dataField="1" numFmtId="43" showAll="0"/>
    <pivotField numFmtId="43" showAll="0"/>
    <pivotField dataField="1" numFmtId="43" showAll="0"/>
    <pivotField numFmtId="43" showAll="0"/>
    <pivotField numFmtId="43" showAll="0"/>
    <pivotField dataField="1" numFmtId="43" showAl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5">
    <field x="4"/>
    <field x="6"/>
    <field x="7"/>
    <field x="8"/>
    <field x="15"/>
  </rowFields>
  <rowItems count="50">
    <i>
      <x v="9"/>
    </i>
    <i r="1">
      <x v="1"/>
    </i>
    <i r="2">
      <x v="25"/>
    </i>
    <i r="3">
      <x v="115"/>
    </i>
    <i r="4">
      <x v="35"/>
    </i>
    <i r="4">
      <x v="36"/>
    </i>
    <i r="4">
      <x v="63"/>
    </i>
    <i r="4">
      <x v="72"/>
    </i>
    <i r="4">
      <x v="77"/>
    </i>
    <i r="4">
      <x v="238"/>
    </i>
    <i r="4">
      <x v="241"/>
    </i>
    <i r="4">
      <x v="242"/>
    </i>
    <i r="4">
      <x v="243"/>
    </i>
    <i r="4">
      <x v="247"/>
    </i>
    <i r="4">
      <x v="248"/>
    </i>
    <i r="4">
      <x v="260"/>
    </i>
    <i r="4">
      <x v="262"/>
    </i>
    <i r="3">
      <x v="116"/>
    </i>
    <i r="4">
      <x v="61"/>
    </i>
    <i r="3">
      <x v="117"/>
    </i>
    <i r="4">
      <x v="92"/>
    </i>
    <i r="4">
      <x v="249"/>
    </i>
    <i r="3">
      <x v="118"/>
    </i>
    <i r="4">
      <x v="71"/>
    </i>
    <i r="4">
      <x v="87"/>
    </i>
    <i r="4">
      <x v="91"/>
    </i>
    <i r="3">
      <x v="119"/>
    </i>
    <i r="4">
      <x v="62"/>
    </i>
    <i r="4">
      <x v="68"/>
    </i>
    <i r="4">
      <x v="69"/>
    </i>
    <i r="4">
      <x v="70"/>
    </i>
    <i r="3">
      <x v="120"/>
    </i>
    <i r="4">
      <x v="85"/>
    </i>
    <i r="3">
      <x v="121"/>
    </i>
    <i r="4">
      <x v="41"/>
    </i>
    <i r="4">
      <x v="78"/>
    </i>
    <i r="3">
      <x v="122"/>
    </i>
    <i r="4">
      <x v="38"/>
    </i>
    <i r="4">
      <x v="39"/>
    </i>
    <i r="3">
      <x v="123"/>
    </i>
    <i r="4">
      <x v="32"/>
    </i>
    <i r="4">
      <x v="33"/>
    </i>
    <i r="4">
      <x v="60"/>
    </i>
    <i r="4">
      <x v="82"/>
    </i>
    <i r="4">
      <x v="83"/>
    </i>
    <i r="4">
      <x v="89"/>
    </i>
    <i r="4">
      <x v="90"/>
    </i>
    <i r="3">
      <x v="124"/>
    </i>
    <i r="4">
      <x v="261"/>
    </i>
    <i t="grand">
      <x/>
    </i>
  </rowItems>
  <colFields count="1">
    <field x="-2"/>
  </colFields>
  <colItems count="9">
    <i>
      <x/>
    </i>
    <i i="1">
      <x v="1"/>
    </i>
    <i i="2">
      <x v="2"/>
    </i>
    <i i="3">
      <x v="3"/>
    </i>
    <i i="4">
      <x v="4"/>
    </i>
    <i i="5">
      <x v="5"/>
    </i>
    <i i="6">
      <x v="6"/>
    </i>
    <i i="7">
      <x v="7"/>
    </i>
    <i i="8">
      <x v="8"/>
    </i>
  </colItems>
  <pageFields count="1">
    <pageField fld="2" item="9" hier="-1"/>
  </pageFields>
  <dataFields count="9">
    <dataField name="PPTO INICIAL" fld="18" baseField="4" baseItem="0"/>
    <dataField name="PPTO VIGENTE" fld="20" baseField="4" baseItem="0"/>
    <dataField name="COMPROMISOS." fld="23" baseField="4" baseItem="0"/>
    <dataField name="GIROS." fld="25" baseField="4" baseItem="0"/>
    <dataField name="PAGOS " fld="28" baseField="4" baseItem="0"/>
    <dataField name=" SALDO APROPIACIÓN CDP" fld="29" baseField="4" baseItem="0" numFmtId="43"/>
    <dataField name="SALDO APROPIACIÓN RP" fld="30" baseField="4" baseItem="0" numFmtId="43"/>
    <dataField name="Suma de % CDP" fld="31" baseField="0" baseItem="0" numFmtId="43"/>
    <dataField name="Suma de % RP" fld="32" baseField="0" baseItem="0" numFmtId="43"/>
  </dataFields>
  <formats count="328">
    <format dxfId="4204">
      <pivotArea dataOnly="0" labelOnly="1" fieldPosition="0">
        <references count="1">
          <reference field="4" count="0"/>
        </references>
      </pivotArea>
    </format>
    <format dxfId="4203">
      <pivotArea dataOnly="0" labelOnly="1" fieldPosition="0">
        <references count="1">
          <reference field="4" count="1">
            <x v="0"/>
          </reference>
        </references>
      </pivotArea>
    </format>
    <format dxfId="4202">
      <pivotArea dataOnly="0" labelOnly="1" fieldPosition="0">
        <references count="1">
          <reference field="6" count="0"/>
        </references>
      </pivotArea>
    </format>
    <format dxfId="4201">
      <pivotArea dataOnly="0" labelOnly="1" fieldPosition="0">
        <references count="1">
          <reference field="7" count="0"/>
        </references>
      </pivotArea>
    </format>
    <format dxfId="4200">
      <pivotArea dataOnly="0" labelOnly="1" fieldPosition="0">
        <references count="1">
          <reference field="7" count="0"/>
        </references>
      </pivotArea>
    </format>
    <format dxfId="4199">
      <pivotArea dataOnly="0" labelOnly="1" fieldPosition="0">
        <references count="1">
          <reference field="8" count="0"/>
        </references>
      </pivotArea>
    </format>
    <format dxfId="4198">
      <pivotArea outline="0" collapsedLevelsAreSubtotals="1" fieldPosition="0"/>
    </format>
    <format dxfId="4197">
      <pivotArea dataOnly="0" labelOnly="1" outline="0" fieldPosition="0">
        <references count="1">
          <reference field="2" count="0"/>
        </references>
      </pivotArea>
    </format>
    <format dxfId="4196">
      <pivotArea dataOnly="0" labelOnly="1" outline="0" fieldPosition="0">
        <references count="1">
          <reference field="4294967294" count="9">
            <x v="0"/>
            <x v="1"/>
            <x v="2"/>
            <x v="3"/>
            <x v="4"/>
            <x v="5"/>
            <x v="6"/>
            <x v="7"/>
            <x v="8"/>
          </reference>
        </references>
      </pivotArea>
    </format>
    <format dxfId="4195">
      <pivotArea field="2" type="button" dataOnly="0" labelOnly="1" outline="0" axis="axisPage" fieldPosition="0"/>
    </format>
    <format dxfId="4194">
      <pivotArea field="4" type="button" dataOnly="0" labelOnly="1" outline="0" axis="axisRow" fieldPosition="0"/>
    </format>
    <format dxfId="4193">
      <pivotArea dataOnly="0" labelOnly="1" fieldPosition="0">
        <references count="1">
          <reference field="4" count="0"/>
        </references>
      </pivotArea>
    </format>
    <format dxfId="4192">
      <pivotArea dataOnly="0" labelOnly="1" grandRow="1" outline="0" fieldPosition="0"/>
    </format>
    <format dxfId="4191">
      <pivotArea dataOnly="0" labelOnly="1" fieldPosition="0">
        <references count="2">
          <reference field="4" count="1" selected="0">
            <x v="0"/>
          </reference>
          <reference field="6" count="2">
            <x v="0"/>
            <x v="1"/>
          </reference>
        </references>
      </pivotArea>
    </format>
    <format dxfId="4190">
      <pivotArea dataOnly="0" labelOnly="1" fieldPosition="0">
        <references count="2">
          <reference field="4" count="1" selected="0">
            <x v="1"/>
          </reference>
          <reference field="6" count="3">
            <x v="0"/>
            <x v="3"/>
            <x v="4"/>
          </reference>
        </references>
      </pivotArea>
    </format>
    <format dxfId="4189">
      <pivotArea dataOnly="0" labelOnly="1" fieldPosition="0">
        <references count="2">
          <reference field="4" count="1" selected="0">
            <x v="2"/>
          </reference>
          <reference field="6" count="3">
            <x v="2"/>
            <x v="3"/>
            <x v="4"/>
          </reference>
        </references>
      </pivotArea>
    </format>
    <format dxfId="4188">
      <pivotArea dataOnly="0" labelOnly="1" fieldPosition="0">
        <references count="2">
          <reference field="4" count="1" selected="0">
            <x v="3"/>
          </reference>
          <reference field="6" count="1">
            <x v="3"/>
          </reference>
        </references>
      </pivotArea>
    </format>
    <format dxfId="4187">
      <pivotArea dataOnly="0" labelOnly="1" fieldPosition="0">
        <references count="2">
          <reference field="4" count="1" selected="0">
            <x v="4"/>
          </reference>
          <reference field="6" count="4">
            <x v="0"/>
            <x v="1"/>
            <x v="2"/>
            <x v="3"/>
          </reference>
        </references>
      </pivotArea>
    </format>
    <format dxfId="4186">
      <pivotArea dataOnly="0" labelOnly="1" fieldPosition="0">
        <references count="2">
          <reference field="4" count="1" selected="0">
            <x v="5"/>
          </reference>
          <reference field="6" count="2">
            <x v="0"/>
            <x v="4"/>
          </reference>
        </references>
      </pivotArea>
    </format>
    <format dxfId="4185">
      <pivotArea dataOnly="0" labelOnly="1" fieldPosition="0">
        <references count="2">
          <reference field="4" count="1" selected="0">
            <x v="6"/>
          </reference>
          <reference field="6" count="1">
            <x v="1"/>
          </reference>
        </references>
      </pivotArea>
    </format>
    <format dxfId="4184">
      <pivotArea dataOnly="0" labelOnly="1" fieldPosition="0">
        <references count="2">
          <reference field="4" count="1" selected="0">
            <x v="7"/>
          </reference>
          <reference field="6" count="4">
            <x v="0"/>
            <x v="2"/>
            <x v="3"/>
            <x v="4"/>
          </reference>
        </references>
      </pivotArea>
    </format>
    <format dxfId="4183">
      <pivotArea dataOnly="0" labelOnly="1" fieldPosition="0">
        <references count="2">
          <reference field="4" count="1" selected="0">
            <x v="8"/>
          </reference>
          <reference field="6" count="4">
            <x v="0"/>
            <x v="1"/>
            <x v="2"/>
            <x v="3"/>
          </reference>
        </references>
      </pivotArea>
    </format>
    <format dxfId="4182">
      <pivotArea dataOnly="0" labelOnly="1" fieldPosition="0">
        <references count="2">
          <reference field="4" count="1" selected="0">
            <x v="9"/>
          </reference>
          <reference field="6" count="1">
            <x v="1"/>
          </reference>
        </references>
      </pivotArea>
    </format>
    <format dxfId="4181">
      <pivotArea dataOnly="0" labelOnly="1" fieldPosition="0">
        <references count="2">
          <reference field="4" count="1" selected="0">
            <x v="10"/>
          </reference>
          <reference field="6" count="1">
            <x v="3"/>
          </reference>
        </references>
      </pivotArea>
    </format>
    <format dxfId="4180">
      <pivotArea dataOnly="0" labelOnly="1" fieldPosition="0">
        <references count="2">
          <reference field="4" count="1" selected="0">
            <x v="11"/>
          </reference>
          <reference field="6" count="1">
            <x v="0"/>
          </reference>
        </references>
      </pivotArea>
    </format>
    <format dxfId="4179">
      <pivotArea dataOnly="0" labelOnly="1" fieldPosition="0">
        <references count="2">
          <reference field="4" count="1" selected="0">
            <x v="12"/>
          </reference>
          <reference field="6" count="1">
            <x v="0"/>
          </reference>
        </references>
      </pivotArea>
    </format>
    <format dxfId="4178">
      <pivotArea dataOnly="0" labelOnly="1" fieldPosition="0">
        <references count="2">
          <reference field="4" count="1" selected="0">
            <x v="13"/>
          </reference>
          <reference field="6" count="1">
            <x v="3"/>
          </reference>
        </references>
      </pivotArea>
    </format>
    <format dxfId="4177">
      <pivotArea dataOnly="0" labelOnly="1" fieldPosition="0">
        <references count="2">
          <reference field="4" count="1" selected="0">
            <x v="14"/>
          </reference>
          <reference field="6" count="1">
            <x v="1"/>
          </reference>
        </references>
      </pivotArea>
    </format>
    <format dxfId="4176">
      <pivotArea dataOnly="0" labelOnly="1" fieldPosition="0">
        <references count="2">
          <reference field="4" count="1" selected="0">
            <x v="15"/>
          </reference>
          <reference field="6" count="1">
            <x v="0"/>
          </reference>
        </references>
      </pivotArea>
    </format>
    <format dxfId="4175">
      <pivotArea dataOnly="0" labelOnly="1" fieldPosition="0">
        <references count="2">
          <reference field="4" count="1" selected="0">
            <x v="16"/>
          </reference>
          <reference field="6" count="3">
            <x v="1"/>
            <x v="3"/>
            <x v="4"/>
          </reference>
        </references>
      </pivotArea>
    </format>
    <format dxfId="4174">
      <pivotArea dataOnly="0" labelOnly="1" fieldPosition="0">
        <references count="2">
          <reference field="4" count="1" selected="0">
            <x v="17"/>
          </reference>
          <reference field="6" count="1">
            <x v="0"/>
          </reference>
        </references>
      </pivotArea>
    </format>
    <format dxfId="4173">
      <pivotArea dataOnly="0" labelOnly="1" fieldPosition="0">
        <references count="2">
          <reference field="4" count="1" selected="0">
            <x v="18"/>
          </reference>
          <reference field="6" count="1">
            <x v="3"/>
          </reference>
        </references>
      </pivotArea>
    </format>
    <format dxfId="4172">
      <pivotArea dataOnly="0" labelOnly="1" fieldPosition="0">
        <references count="2">
          <reference field="4" count="1" selected="0">
            <x v="19"/>
          </reference>
          <reference field="6" count="1">
            <x v="3"/>
          </reference>
        </references>
      </pivotArea>
    </format>
    <format dxfId="4171">
      <pivotArea dataOnly="0" labelOnly="1" fieldPosition="0">
        <references count="2">
          <reference field="4" count="1" selected="0">
            <x v="20"/>
          </reference>
          <reference field="6" count="1">
            <x v="1"/>
          </reference>
        </references>
      </pivotArea>
    </format>
    <format dxfId="4170">
      <pivotArea dataOnly="0" labelOnly="1" fieldPosition="0">
        <references count="3">
          <reference field="4" count="1" selected="0">
            <x v="0"/>
          </reference>
          <reference field="6" count="1" selected="0">
            <x v="0"/>
          </reference>
          <reference field="7" count="2">
            <x v="17"/>
            <x v="19"/>
          </reference>
        </references>
      </pivotArea>
    </format>
    <format dxfId="4169">
      <pivotArea dataOnly="0" labelOnly="1" fieldPosition="0">
        <references count="3">
          <reference field="4" count="1" selected="0">
            <x v="0"/>
          </reference>
          <reference field="6" count="1" selected="0">
            <x v="1"/>
          </reference>
          <reference field="7" count="2">
            <x v="23"/>
            <x v="26"/>
          </reference>
        </references>
      </pivotArea>
    </format>
    <format dxfId="4168">
      <pivotArea dataOnly="0" labelOnly="1" fieldPosition="0">
        <references count="3">
          <reference field="4" count="1" selected="0">
            <x v="1"/>
          </reference>
          <reference field="6" count="1" selected="0">
            <x v="0"/>
          </reference>
          <reference field="7" count="1">
            <x v="19"/>
          </reference>
        </references>
      </pivotArea>
    </format>
    <format dxfId="4167">
      <pivotArea dataOnly="0" labelOnly="1" fieldPosition="0">
        <references count="3">
          <reference field="4" count="1" selected="0">
            <x v="1"/>
          </reference>
          <reference field="6" count="1" selected="0">
            <x v="3"/>
          </reference>
          <reference field="7" count="3">
            <x v="2"/>
            <x v="3"/>
            <x v="4"/>
          </reference>
        </references>
      </pivotArea>
    </format>
    <format dxfId="4166">
      <pivotArea dataOnly="0" labelOnly="1" fieldPosition="0">
        <references count="3">
          <reference field="4" count="1" selected="0">
            <x v="1"/>
          </reference>
          <reference field="6" count="1" selected="0">
            <x v="4"/>
          </reference>
          <reference field="7" count="1">
            <x v="8"/>
          </reference>
        </references>
      </pivotArea>
    </format>
    <format dxfId="4165">
      <pivotArea dataOnly="0" labelOnly="1" fieldPosition="0">
        <references count="3">
          <reference field="4" count="1" selected="0">
            <x v="2"/>
          </reference>
          <reference field="6" count="1" selected="0">
            <x v="2"/>
          </reference>
          <reference field="7" count="2">
            <x v="29"/>
            <x v="30"/>
          </reference>
        </references>
      </pivotArea>
    </format>
    <format dxfId="4164">
      <pivotArea dataOnly="0" labelOnly="1" fieldPosition="0">
        <references count="3">
          <reference field="4" count="1" selected="0">
            <x v="2"/>
          </reference>
          <reference field="6" count="1" selected="0">
            <x v="3"/>
          </reference>
          <reference field="7" count="2">
            <x v="5"/>
            <x v="7"/>
          </reference>
        </references>
      </pivotArea>
    </format>
    <format dxfId="4163">
      <pivotArea dataOnly="0" labelOnly="1" fieldPosition="0">
        <references count="3">
          <reference field="4" count="1" selected="0">
            <x v="2"/>
          </reference>
          <reference field="6" count="1" selected="0">
            <x v="4"/>
          </reference>
          <reference field="7" count="1">
            <x v="8"/>
          </reference>
        </references>
      </pivotArea>
    </format>
    <format dxfId="4162">
      <pivotArea dataOnly="0" labelOnly="1" fieldPosition="0">
        <references count="3">
          <reference field="4" count="1" selected="0">
            <x v="3"/>
          </reference>
          <reference field="6" count="1" selected="0">
            <x v="3"/>
          </reference>
          <reference field="7" count="1">
            <x v="6"/>
          </reference>
        </references>
      </pivotArea>
    </format>
    <format dxfId="4161">
      <pivotArea dataOnly="0" labelOnly="1" fieldPosition="0">
        <references count="3">
          <reference field="4" count="1" selected="0">
            <x v="4"/>
          </reference>
          <reference field="6" count="1" selected="0">
            <x v="0"/>
          </reference>
          <reference field="7" count="1">
            <x v="21"/>
          </reference>
        </references>
      </pivotArea>
    </format>
    <format dxfId="4160">
      <pivotArea dataOnly="0" labelOnly="1" fieldPosition="0">
        <references count="3">
          <reference field="4" count="1" selected="0">
            <x v="4"/>
          </reference>
          <reference field="6" count="1" selected="0">
            <x v="1"/>
          </reference>
          <reference field="7" count="1">
            <x v="24"/>
          </reference>
        </references>
      </pivotArea>
    </format>
    <format dxfId="4159">
      <pivotArea dataOnly="0" labelOnly="1" fieldPosition="0">
        <references count="3">
          <reference field="4" count="1" selected="0">
            <x v="4"/>
          </reference>
          <reference field="6" count="1" selected="0">
            <x v="2"/>
          </reference>
          <reference field="7" count="2">
            <x v="29"/>
            <x v="31"/>
          </reference>
        </references>
      </pivotArea>
    </format>
    <format dxfId="4158">
      <pivotArea dataOnly="0" labelOnly="1" fieldPosition="0">
        <references count="3">
          <reference field="4" count="1" selected="0">
            <x v="4"/>
          </reference>
          <reference field="6" count="1" selected="0">
            <x v="3"/>
          </reference>
          <reference field="7" count="2">
            <x v="0"/>
            <x v="1"/>
          </reference>
        </references>
      </pivotArea>
    </format>
    <format dxfId="4157">
      <pivotArea dataOnly="0" labelOnly="1" fieldPosition="0">
        <references count="3">
          <reference field="4" count="1" selected="0">
            <x v="5"/>
          </reference>
          <reference field="6" count="1" selected="0">
            <x v="0"/>
          </reference>
          <reference field="7" count="2">
            <x v="18"/>
            <x v="22"/>
          </reference>
        </references>
      </pivotArea>
    </format>
    <format dxfId="4156">
      <pivotArea dataOnly="0" labelOnly="1" fieldPosition="0">
        <references count="3">
          <reference field="4" count="1" selected="0">
            <x v="5"/>
          </reference>
          <reference field="6" count="1" selected="0">
            <x v="4"/>
          </reference>
          <reference field="7" count="1">
            <x v="8"/>
          </reference>
        </references>
      </pivotArea>
    </format>
    <format dxfId="4155">
      <pivotArea dataOnly="0" labelOnly="1" fieldPosition="0">
        <references count="3">
          <reference field="4" count="1" selected="0">
            <x v="6"/>
          </reference>
          <reference field="6" count="1" selected="0">
            <x v="1"/>
          </reference>
          <reference field="7" count="1">
            <x v="24"/>
          </reference>
        </references>
      </pivotArea>
    </format>
    <format dxfId="4154">
      <pivotArea dataOnly="0" labelOnly="1" fieldPosition="0">
        <references count="3">
          <reference field="4" count="1" selected="0">
            <x v="7"/>
          </reference>
          <reference field="6" count="1" selected="0">
            <x v="0"/>
          </reference>
          <reference field="7" count="1">
            <x v="16"/>
          </reference>
        </references>
      </pivotArea>
    </format>
    <format dxfId="4153">
      <pivotArea dataOnly="0" labelOnly="1" fieldPosition="0">
        <references count="3">
          <reference field="4" count="1" selected="0">
            <x v="7"/>
          </reference>
          <reference field="6" count="1" selected="0">
            <x v="2"/>
          </reference>
          <reference field="7" count="2">
            <x v="29"/>
            <x v="30"/>
          </reference>
        </references>
      </pivotArea>
    </format>
    <format dxfId="4152">
      <pivotArea dataOnly="0" labelOnly="1" fieldPosition="0">
        <references count="3">
          <reference field="4" count="1" selected="0">
            <x v="7"/>
          </reference>
          <reference field="6" count="1" selected="0">
            <x v="3"/>
          </reference>
          <reference field="7" count="1">
            <x v="6"/>
          </reference>
        </references>
      </pivotArea>
    </format>
    <format dxfId="4151">
      <pivotArea dataOnly="0" labelOnly="1" fieldPosition="0">
        <references count="3">
          <reference field="4" count="1" selected="0">
            <x v="7"/>
          </reference>
          <reference field="6" count="1" selected="0">
            <x v="4"/>
          </reference>
          <reference field="7" count="8">
            <x v="8"/>
            <x v="9"/>
            <x v="10"/>
            <x v="11"/>
            <x v="12"/>
            <x v="13"/>
            <x v="14"/>
            <x v="15"/>
          </reference>
        </references>
      </pivotArea>
    </format>
    <format dxfId="4150">
      <pivotArea dataOnly="0" labelOnly="1" fieldPosition="0">
        <references count="3">
          <reference field="4" count="1" selected="0">
            <x v="8"/>
          </reference>
          <reference field="6" count="1" selected="0">
            <x v="0"/>
          </reference>
          <reference field="7" count="2">
            <x v="18"/>
            <x v="22"/>
          </reference>
        </references>
      </pivotArea>
    </format>
    <format dxfId="4149">
      <pivotArea dataOnly="0" labelOnly="1" fieldPosition="0">
        <references count="3">
          <reference field="4" count="1" selected="0">
            <x v="8"/>
          </reference>
          <reference field="6" count="1" selected="0">
            <x v="1"/>
          </reference>
          <reference field="7" count="1">
            <x v="28"/>
          </reference>
        </references>
      </pivotArea>
    </format>
    <format dxfId="4148">
      <pivotArea dataOnly="0" labelOnly="1" fieldPosition="0">
        <references count="3">
          <reference field="4" count="1" selected="0">
            <x v="8"/>
          </reference>
          <reference field="6" count="1" selected="0">
            <x v="2"/>
          </reference>
          <reference field="7" count="1">
            <x v="32"/>
          </reference>
        </references>
      </pivotArea>
    </format>
    <format dxfId="4147">
      <pivotArea dataOnly="0" labelOnly="1" fieldPosition="0">
        <references count="3">
          <reference field="4" count="1" selected="0">
            <x v="8"/>
          </reference>
          <reference field="6" count="1" selected="0">
            <x v="3"/>
          </reference>
          <reference field="7" count="1">
            <x v="6"/>
          </reference>
        </references>
      </pivotArea>
    </format>
    <format dxfId="4146">
      <pivotArea dataOnly="0" labelOnly="1" fieldPosition="0">
        <references count="3">
          <reference field="4" count="1" selected="0">
            <x v="9"/>
          </reference>
          <reference field="6" count="1" selected="0">
            <x v="1"/>
          </reference>
          <reference field="7" count="1">
            <x v="25"/>
          </reference>
        </references>
      </pivotArea>
    </format>
    <format dxfId="4145">
      <pivotArea dataOnly="0" labelOnly="1" fieldPosition="0">
        <references count="3">
          <reference field="4" count="1" selected="0">
            <x v="10"/>
          </reference>
          <reference field="6" count="1" selected="0">
            <x v="3"/>
          </reference>
          <reference field="7" count="1">
            <x v="6"/>
          </reference>
        </references>
      </pivotArea>
    </format>
    <format dxfId="4144">
      <pivotArea dataOnly="0" labelOnly="1" fieldPosition="0">
        <references count="3">
          <reference field="4" count="1" selected="0">
            <x v="11"/>
          </reference>
          <reference field="6" count="1" selected="0">
            <x v="0"/>
          </reference>
          <reference field="7" count="1">
            <x v="17"/>
          </reference>
        </references>
      </pivotArea>
    </format>
    <format dxfId="4143">
      <pivotArea dataOnly="0" labelOnly="1" fieldPosition="0">
        <references count="3">
          <reference field="4" count="1" selected="0">
            <x v="12"/>
          </reference>
          <reference field="6" count="1" selected="0">
            <x v="0"/>
          </reference>
          <reference field="7" count="1">
            <x v="18"/>
          </reference>
        </references>
      </pivotArea>
    </format>
    <format dxfId="4142">
      <pivotArea dataOnly="0" labelOnly="1" fieldPosition="0">
        <references count="3">
          <reference field="4" count="1" selected="0">
            <x v="13"/>
          </reference>
          <reference field="6" count="1" selected="0">
            <x v="3"/>
          </reference>
          <reference field="7" count="2">
            <x v="1"/>
            <x v="5"/>
          </reference>
        </references>
      </pivotArea>
    </format>
    <format dxfId="4141">
      <pivotArea dataOnly="0" labelOnly="1" fieldPosition="0">
        <references count="3">
          <reference field="4" count="1" selected="0">
            <x v="14"/>
          </reference>
          <reference field="6" count="1" selected="0">
            <x v="1"/>
          </reference>
          <reference field="7" count="1">
            <x v="26"/>
          </reference>
        </references>
      </pivotArea>
    </format>
    <format dxfId="4140">
      <pivotArea dataOnly="0" labelOnly="1" fieldPosition="0">
        <references count="3">
          <reference field="4" count="1" selected="0">
            <x v="15"/>
          </reference>
          <reference field="6" count="1" selected="0">
            <x v="0"/>
          </reference>
          <reference field="7" count="1">
            <x v="20"/>
          </reference>
        </references>
      </pivotArea>
    </format>
    <format dxfId="4139">
      <pivotArea dataOnly="0" labelOnly="1" fieldPosition="0">
        <references count="3">
          <reference field="4" count="1" selected="0">
            <x v="16"/>
          </reference>
          <reference field="6" count="1" selected="0">
            <x v="1"/>
          </reference>
          <reference field="7" count="1">
            <x v="27"/>
          </reference>
        </references>
      </pivotArea>
    </format>
    <format dxfId="4138">
      <pivotArea dataOnly="0" labelOnly="1" fieldPosition="0">
        <references count="3">
          <reference field="4" count="1" selected="0">
            <x v="16"/>
          </reference>
          <reference field="6" count="1" selected="0">
            <x v="3"/>
          </reference>
          <reference field="7" count="1">
            <x v="1"/>
          </reference>
        </references>
      </pivotArea>
    </format>
    <format dxfId="4137">
      <pivotArea dataOnly="0" labelOnly="1" fieldPosition="0">
        <references count="3">
          <reference field="4" count="1" selected="0">
            <x v="16"/>
          </reference>
          <reference field="6" count="1" selected="0">
            <x v="4"/>
          </reference>
          <reference field="7" count="2">
            <x v="8"/>
            <x v="11"/>
          </reference>
        </references>
      </pivotArea>
    </format>
    <format dxfId="4136">
      <pivotArea dataOnly="0" labelOnly="1" fieldPosition="0">
        <references count="3">
          <reference field="4" count="1" selected="0">
            <x v="17"/>
          </reference>
          <reference field="6" count="1" selected="0">
            <x v="0"/>
          </reference>
          <reference field="7" count="2">
            <x v="16"/>
            <x v="22"/>
          </reference>
        </references>
      </pivotArea>
    </format>
    <format dxfId="4135">
      <pivotArea dataOnly="0" labelOnly="1" fieldPosition="0">
        <references count="3">
          <reference field="4" count="1" selected="0">
            <x v="18"/>
          </reference>
          <reference field="6" count="1" selected="0">
            <x v="3"/>
          </reference>
          <reference field="7" count="1">
            <x v="2"/>
          </reference>
        </references>
      </pivotArea>
    </format>
    <format dxfId="4134">
      <pivotArea dataOnly="0" labelOnly="1" fieldPosition="0">
        <references count="3">
          <reference field="4" count="1" selected="0">
            <x v="19"/>
          </reference>
          <reference field="6" count="1" selected="0">
            <x v="3"/>
          </reference>
          <reference field="7" count="1">
            <x v="6"/>
          </reference>
        </references>
      </pivotArea>
    </format>
    <format dxfId="4133">
      <pivotArea dataOnly="0" labelOnly="1" fieldPosition="0">
        <references count="3">
          <reference field="4" count="1" selected="0">
            <x v="20"/>
          </reference>
          <reference field="6" count="1" selected="0">
            <x v="1"/>
          </reference>
          <reference field="7" count="1">
            <x v="24"/>
          </reference>
        </references>
      </pivotArea>
    </format>
    <format dxfId="4132">
      <pivotArea dataOnly="0" labelOnly="1" fieldPosition="0">
        <references count="4">
          <reference field="4" count="1" selected="0">
            <x v="0"/>
          </reference>
          <reference field="6" count="1" selected="0">
            <x v="0"/>
          </reference>
          <reference field="7" count="1" selected="0">
            <x v="17"/>
          </reference>
          <reference field="8" count="5">
            <x v="65"/>
            <x v="66"/>
            <x v="67"/>
            <x v="68"/>
            <x v="69"/>
          </reference>
        </references>
      </pivotArea>
    </format>
    <format dxfId="4131">
      <pivotArea dataOnly="0" labelOnly="1" fieldPosition="0">
        <references count="4">
          <reference field="4" count="1" selected="0">
            <x v="0"/>
          </reference>
          <reference field="6" count="1" selected="0">
            <x v="0"/>
          </reference>
          <reference field="7" count="1" selected="0">
            <x v="19"/>
          </reference>
          <reference field="8" count="3">
            <x v="78"/>
            <x v="79"/>
            <x v="80"/>
          </reference>
        </references>
      </pivotArea>
    </format>
    <format dxfId="4130">
      <pivotArea dataOnly="0" labelOnly="1" fieldPosition="0">
        <references count="4">
          <reference field="4" count="1" selected="0">
            <x v="0"/>
          </reference>
          <reference field="6" count="1" selected="0">
            <x v="1"/>
          </reference>
          <reference field="7" count="1" selected="0">
            <x v="23"/>
          </reference>
          <reference field="8" count="10">
            <x v="95"/>
            <x v="96"/>
            <x v="97"/>
            <x v="98"/>
            <x v="99"/>
            <x v="100"/>
            <x v="101"/>
            <x v="102"/>
            <x v="103"/>
            <x v="104"/>
          </reference>
        </references>
      </pivotArea>
    </format>
    <format dxfId="4129">
      <pivotArea dataOnly="0" labelOnly="1" fieldPosition="0">
        <references count="4">
          <reference field="4" count="1" selected="0">
            <x v="0"/>
          </reference>
          <reference field="6" count="1" selected="0">
            <x v="1"/>
          </reference>
          <reference field="7" count="1" selected="0">
            <x v="26"/>
          </reference>
          <reference field="8" count="1">
            <x v="131"/>
          </reference>
        </references>
      </pivotArea>
    </format>
    <format dxfId="4128">
      <pivotArea dataOnly="0" labelOnly="1" fieldPosition="0">
        <references count="4">
          <reference field="4" count="1" selected="0">
            <x v="1"/>
          </reference>
          <reference field="6" count="1" selected="0">
            <x v="0"/>
          </reference>
          <reference field="7" count="1" selected="0">
            <x v="19"/>
          </reference>
          <reference field="8" count="1">
            <x v="81"/>
          </reference>
        </references>
      </pivotArea>
    </format>
    <format dxfId="4127">
      <pivotArea dataOnly="0" labelOnly="1" fieldPosition="0">
        <references count="4">
          <reference field="4" count="1" selected="0">
            <x v="1"/>
          </reference>
          <reference field="6" count="1" selected="0">
            <x v="3"/>
          </reference>
          <reference field="7" count="1" selected="0">
            <x v="2"/>
          </reference>
          <reference field="8" count="7">
            <x v="7"/>
            <x v="10"/>
            <x v="11"/>
            <x v="12"/>
            <x v="13"/>
            <x v="14"/>
            <x v="15"/>
          </reference>
        </references>
      </pivotArea>
    </format>
    <format dxfId="4126">
      <pivotArea dataOnly="0" labelOnly="1" fieldPosition="0">
        <references count="4">
          <reference field="4" count="1" selected="0">
            <x v="1"/>
          </reference>
          <reference field="6" count="1" selected="0">
            <x v="3"/>
          </reference>
          <reference field="7" count="1" selected="0">
            <x v="3"/>
          </reference>
          <reference field="8" count="2">
            <x v="18"/>
            <x v="19"/>
          </reference>
        </references>
      </pivotArea>
    </format>
    <format dxfId="4125">
      <pivotArea dataOnly="0" labelOnly="1" fieldPosition="0">
        <references count="4">
          <reference field="4" count="1" selected="0">
            <x v="1"/>
          </reference>
          <reference field="6" count="1" selected="0">
            <x v="3"/>
          </reference>
          <reference field="7" count="1" selected="0">
            <x v="4"/>
          </reference>
          <reference field="8" count="2">
            <x v="20"/>
            <x v="21"/>
          </reference>
        </references>
      </pivotArea>
    </format>
    <format dxfId="4124">
      <pivotArea dataOnly="0" labelOnly="1" fieldPosition="0">
        <references count="4">
          <reference field="4" count="1" selected="0">
            <x v="1"/>
          </reference>
          <reference field="6" count="1" selected="0">
            <x v="4"/>
          </reference>
          <reference field="7" count="1" selected="0">
            <x v="8"/>
          </reference>
          <reference field="8" count="3">
            <x v="33"/>
            <x v="34"/>
            <x v="39"/>
          </reference>
        </references>
      </pivotArea>
    </format>
    <format dxfId="4123">
      <pivotArea dataOnly="0" labelOnly="1" fieldPosition="0">
        <references count="4">
          <reference field="4" count="1" selected="0">
            <x v="2"/>
          </reference>
          <reference field="6" count="1" selected="0">
            <x v="2"/>
          </reference>
          <reference field="7" count="1" selected="0">
            <x v="29"/>
          </reference>
          <reference field="8" count="6">
            <x v="145"/>
            <x v="146"/>
            <x v="147"/>
            <x v="148"/>
            <x v="149"/>
            <x v="150"/>
          </reference>
        </references>
      </pivotArea>
    </format>
    <format dxfId="4122">
      <pivotArea dataOnly="0" labelOnly="1" fieldPosition="0">
        <references count="4">
          <reference field="4" count="1" selected="0">
            <x v="2"/>
          </reference>
          <reference field="6" count="1" selected="0">
            <x v="2"/>
          </reference>
          <reference field="7" count="1" selected="0">
            <x v="30"/>
          </reference>
          <reference field="8" count="2">
            <x v="152"/>
            <x v="153"/>
          </reference>
        </references>
      </pivotArea>
    </format>
    <format dxfId="4121">
      <pivotArea dataOnly="0" labelOnly="1" fieldPosition="0">
        <references count="4">
          <reference field="4" count="1" selected="0">
            <x v="2"/>
          </reference>
          <reference field="6" count="1" selected="0">
            <x v="3"/>
          </reference>
          <reference field="7" count="1" selected="0">
            <x v="5"/>
          </reference>
          <reference field="8" count="1">
            <x v="24"/>
          </reference>
        </references>
      </pivotArea>
    </format>
    <format dxfId="4120">
      <pivotArea dataOnly="0" labelOnly="1" fieldPosition="0">
        <references count="4">
          <reference field="4" count="1" selected="0">
            <x v="2"/>
          </reference>
          <reference field="6" count="1" selected="0">
            <x v="3"/>
          </reference>
          <reference field="7" count="1" selected="0">
            <x v="7"/>
          </reference>
          <reference field="8" count="2">
            <x v="31"/>
            <x v="32"/>
          </reference>
        </references>
      </pivotArea>
    </format>
    <format dxfId="4119">
      <pivotArea dataOnly="0" labelOnly="1" fieldPosition="0">
        <references count="4">
          <reference field="4" count="1" selected="0">
            <x v="2"/>
          </reference>
          <reference field="6" count="1" selected="0">
            <x v="4"/>
          </reference>
          <reference field="7" count="1" selected="0">
            <x v="8"/>
          </reference>
          <reference field="8" count="2">
            <x v="36"/>
            <x v="39"/>
          </reference>
        </references>
      </pivotArea>
    </format>
    <format dxfId="4118">
      <pivotArea dataOnly="0" labelOnly="1" fieldPosition="0">
        <references count="4">
          <reference field="4" count="1" selected="0">
            <x v="3"/>
          </reference>
          <reference field="6" count="1" selected="0">
            <x v="3"/>
          </reference>
          <reference field="7" count="1" selected="0">
            <x v="6"/>
          </reference>
          <reference field="8" count="1">
            <x v="29"/>
          </reference>
        </references>
      </pivotArea>
    </format>
    <format dxfId="4117">
      <pivotArea dataOnly="0" labelOnly="1" fieldPosition="0">
        <references count="4">
          <reference field="4" count="1" selected="0">
            <x v="4"/>
          </reference>
          <reference field="6" count="1" selected="0">
            <x v="0"/>
          </reference>
          <reference field="7" count="1" selected="0">
            <x v="21"/>
          </reference>
          <reference field="8" count="5">
            <x v="87"/>
            <x v="88"/>
            <x v="89"/>
            <x v="90"/>
            <x v="91"/>
          </reference>
        </references>
      </pivotArea>
    </format>
    <format dxfId="4116">
      <pivotArea dataOnly="0" labelOnly="1" fieldPosition="0">
        <references count="4">
          <reference field="4" count="1" selected="0">
            <x v="4"/>
          </reference>
          <reference field="6" count="1" selected="0">
            <x v="1"/>
          </reference>
          <reference field="7" count="1" selected="0">
            <x v="24"/>
          </reference>
          <reference field="8" count="1">
            <x v="114"/>
          </reference>
        </references>
      </pivotArea>
    </format>
    <format dxfId="4115">
      <pivotArea dataOnly="0" labelOnly="1" fieldPosition="0">
        <references count="4">
          <reference field="4" count="1" selected="0">
            <x v="4"/>
          </reference>
          <reference field="6" count="1" selected="0">
            <x v="2"/>
          </reference>
          <reference field="7" count="1" selected="0">
            <x v="29"/>
          </reference>
          <reference field="8" count="3">
            <x v="142"/>
            <x v="143"/>
            <x v="151"/>
          </reference>
        </references>
      </pivotArea>
    </format>
    <format dxfId="4114">
      <pivotArea dataOnly="0" labelOnly="1" fieldPosition="0">
        <references count="4">
          <reference field="4" count="1" selected="0">
            <x v="4"/>
          </reference>
          <reference field="6" count="1" selected="0">
            <x v="2"/>
          </reference>
          <reference field="7" count="1" selected="0">
            <x v="31"/>
          </reference>
          <reference field="8" count="3">
            <x v="155"/>
            <x v="156"/>
            <x v="157"/>
          </reference>
        </references>
      </pivotArea>
    </format>
    <format dxfId="4113">
      <pivotArea dataOnly="0" labelOnly="1" fieldPosition="0">
        <references count="4">
          <reference field="4" count="1" selected="0">
            <x v="4"/>
          </reference>
          <reference field="6" count="1" selected="0">
            <x v="3"/>
          </reference>
          <reference field="7" count="1" selected="0">
            <x v="0"/>
          </reference>
          <reference field="8" count="2">
            <x v="0"/>
            <x v="1"/>
          </reference>
        </references>
      </pivotArea>
    </format>
    <format dxfId="4112">
      <pivotArea dataOnly="0" labelOnly="1" fieldPosition="0">
        <references count="4">
          <reference field="4" count="1" selected="0">
            <x v="4"/>
          </reference>
          <reference field="6" count="1" selected="0">
            <x v="3"/>
          </reference>
          <reference field="7" count="1" selected="0">
            <x v="1"/>
          </reference>
          <reference field="8" count="4">
            <x v="2"/>
            <x v="3"/>
            <x v="4"/>
            <x v="5"/>
          </reference>
        </references>
      </pivotArea>
    </format>
    <format dxfId="4111">
      <pivotArea dataOnly="0" labelOnly="1" fieldPosition="0">
        <references count="4">
          <reference field="4" count="1" selected="0">
            <x v="5"/>
          </reference>
          <reference field="6" count="1" selected="0">
            <x v="0"/>
          </reference>
          <reference field="7" count="1" selected="0">
            <x v="18"/>
          </reference>
          <reference field="8" count="3">
            <x v="73"/>
            <x v="74"/>
            <x v="77"/>
          </reference>
        </references>
      </pivotArea>
    </format>
    <format dxfId="4110">
      <pivotArea dataOnly="0" labelOnly="1" fieldPosition="0">
        <references count="4">
          <reference field="4" count="1" selected="0">
            <x v="5"/>
          </reference>
          <reference field="6" count="1" selected="0">
            <x v="0"/>
          </reference>
          <reference field="7" count="1" selected="0">
            <x v="22"/>
          </reference>
          <reference field="8" count="1">
            <x v="94"/>
          </reference>
        </references>
      </pivotArea>
    </format>
    <format dxfId="4109">
      <pivotArea dataOnly="0" labelOnly="1" fieldPosition="0">
        <references count="4">
          <reference field="4" count="1" selected="0">
            <x v="5"/>
          </reference>
          <reference field="6" count="1" selected="0">
            <x v="4"/>
          </reference>
          <reference field="7" count="1" selected="0">
            <x v="8"/>
          </reference>
          <reference field="8" count="1">
            <x v="37"/>
          </reference>
        </references>
      </pivotArea>
    </format>
    <format dxfId="4108">
      <pivotArea dataOnly="0" labelOnly="1" fieldPosition="0">
        <references count="4">
          <reference field="4" count="1" selected="0">
            <x v="6"/>
          </reference>
          <reference field="6" count="1" selected="0">
            <x v="1"/>
          </reference>
          <reference field="7" count="1" selected="0">
            <x v="24"/>
          </reference>
          <reference field="8" count="8">
            <x v="105"/>
            <x v="107"/>
            <x v="108"/>
            <x v="109"/>
            <x v="110"/>
            <x v="111"/>
            <x v="112"/>
            <x v="113"/>
          </reference>
        </references>
      </pivotArea>
    </format>
    <format dxfId="4107">
      <pivotArea dataOnly="0" labelOnly="1" fieldPosition="0">
        <references count="4">
          <reference field="4" count="1" selected="0">
            <x v="7"/>
          </reference>
          <reference field="6" count="1" selected="0">
            <x v="0"/>
          </reference>
          <reference field="7" count="1" selected="0">
            <x v="16"/>
          </reference>
          <reference field="8" count="1">
            <x v="64"/>
          </reference>
        </references>
      </pivotArea>
    </format>
    <format dxfId="4106">
      <pivotArea dataOnly="0" labelOnly="1" fieldPosition="0">
        <references count="4">
          <reference field="4" count="1" selected="0">
            <x v="7"/>
          </reference>
          <reference field="6" count="1" selected="0">
            <x v="2"/>
          </reference>
          <reference field="7" count="1" selected="0">
            <x v="29"/>
          </reference>
          <reference field="8" count="4">
            <x v="140"/>
            <x v="141"/>
            <x v="144"/>
            <x v="145"/>
          </reference>
        </references>
      </pivotArea>
    </format>
    <format dxfId="4105">
      <pivotArea dataOnly="0" labelOnly="1" fieldPosition="0">
        <references count="4">
          <reference field="4" count="1" selected="0">
            <x v="7"/>
          </reference>
          <reference field="6" count="1" selected="0">
            <x v="2"/>
          </reference>
          <reference field="7" count="1" selected="0">
            <x v="30"/>
          </reference>
          <reference field="8" count="1">
            <x v="154"/>
          </reference>
        </references>
      </pivotArea>
    </format>
    <format dxfId="4104">
      <pivotArea dataOnly="0" labelOnly="1" fieldPosition="0">
        <references count="4">
          <reference field="4" count="1" selected="0">
            <x v="7"/>
          </reference>
          <reference field="6" count="1" selected="0">
            <x v="3"/>
          </reference>
          <reference field="7" count="1" selected="0">
            <x v="6"/>
          </reference>
          <reference field="8" count="1">
            <x v="28"/>
          </reference>
        </references>
      </pivotArea>
    </format>
    <format dxfId="4103">
      <pivotArea dataOnly="0" labelOnly="1" fieldPosition="0">
        <references count="4">
          <reference field="4" count="1" selected="0">
            <x v="7"/>
          </reference>
          <reference field="6" count="1" selected="0">
            <x v="4"/>
          </reference>
          <reference field="7" count="1" selected="0">
            <x v="8"/>
          </reference>
          <reference field="8" count="2">
            <x v="35"/>
            <x v="36"/>
          </reference>
        </references>
      </pivotArea>
    </format>
    <format dxfId="4102">
      <pivotArea dataOnly="0" labelOnly="1" fieldPosition="0">
        <references count="4">
          <reference field="4" count="1" selected="0">
            <x v="7"/>
          </reference>
          <reference field="6" count="1" selected="0">
            <x v="4"/>
          </reference>
          <reference field="7" count="1" selected="0">
            <x v="9"/>
          </reference>
          <reference field="8" count="4">
            <x v="40"/>
            <x v="41"/>
            <x v="42"/>
            <x v="43"/>
          </reference>
        </references>
      </pivotArea>
    </format>
    <format dxfId="4101">
      <pivotArea dataOnly="0" labelOnly="1" fieldPosition="0">
        <references count="4">
          <reference field="4" count="1" selected="0">
            <x v="7"/>
          </reference>
          <reference field="6" count="1" selected="0">
            <x v="4"/>
          </reference>
          <reference field="7" count="1" selected="0">
            <x v="10"/>
          </reference>
          <reference field="8" count="4">
            <x v="44"/>
            <x v="45"/>
            <x v="46"/>
            <x v="47"/>
          </reference>
        </references>
      </pivotArea>
    </format>
    <format dxfId="4100">
      <pivotArea dataOnly="0" labelOnly="1" fieldPosition="0">
        <references count="4">
          <reference field="4" count="1" selected="0">
            <x v="7"/>
          </reference>
          <reference field="6" count="1" selected="0">
            <x v="4"/>
          </reference>
          <reference field="7" count="1" selected="0">
            <x v="11"/>
          </reference>
          <reference field="8" count="2">
            <x v="48"/>
            <x v="49"/>
          </reference>
        </references>
      </pivotArea>
    </format>
    <format dxfId="4099">
      <pivotArea dataOnly="0" labelOnly="1" fieldPosition="0">
        <references count="4">
          <reference field="4" count="1" selected="0">
            <x v="7"/>
          </reference>
          <reference field="6" count="1" selected="0">
            <x v="4"/>
          </reference>
          <reference field="7" count="1" selected="0">
            <x v="12"/>
          </reference>
          <reference field="8" count="1">
            <x v="50"/>
          </reference>
        </references>
      </pivotArea>
    </format>
    <format dxfId="4098">
      <pivotArea dataOnly="0" labelOnly="1" fieldPosition="0">
        <references count="4">
          <reference field="4" count="1" selected="0">
            <x v="7"/>
          </reference>
          <reference field="6" count="1" selected="0">
            <x v="4"/>
          </reference>
          <reference field="7" count="1" selected="0">
            <x v="13"/>
          </reference>
          <reference field="8" count="3">
            <x v="51"/>
            <x v="52"/>
            <x v="53"/>
          </reference>
        </references>
      </pivotArea>
    </format>
    <format dxfId="4097">
      <pivotArea dataOnly="0" labelOnly="1" fieldPosition="0">
        <references count="4">
          <reference field="4" count="1" selected="0">
            <x v="7"/>
          </reference>
          <reference field="6" count="1" selected="0">
            <x v="4"/>
          </reference>
          <reference field="7" count="1" selected="0">
            <x v="14"/>
          </reference>
          <reference field="8" count="2">
            <x v="54"/>
            <x v="55"/>
          </reference>
        </references>
      </pivotArea>
    </format>
    <format dxfId="4096">
      <pivotArea dataOnly="0" labelOnly="1" fieldPosition="0">
        <references count="4">
          <reference field="4" count="1" selected="0">
            <x v="7"/>
          </reference>
          <reference field="6" count="1" selected="0">
            <x v="4"/>
          </reference>
          <reference field="7" count="1" selected="0">
            <x v="15"/>
          </reference>
          <reference field="8" count="1">
            <x v="56"/>
          </reference>
        </references>
      </pivotArea>
    </format>
    <format dxfId="4095">
      <pivotArea dataOnly="0" labelOnly="1" fieldPosition="0">
        <references count="4">
          <reference field="4" count="1" selected="0">
            <x v="8"/>
          </reference>
          <reference field="6" count="1" selected="0">
            <x v="0"/>
          </reference>
          <reference field="7" count="1" selected="0">
            <x v="18"/>
          </reference>
          <reference field="8" count="1">
            <x v="77"/>
          </reference>
        </references>
      </pivotArea>
    </format>
    <format dxfId="4094">
      <pivotArea dataOnly="0" labelOnly="1" fieldPosition="0">
        <references count="4">
          <reference field="4" count="1" selected="0">
            <x v="8"/>
          </reference>
          <reference field="6" count="1" selected="0">
            <x v="0"/>
          </reference>
          <reference field="7" count="1" selected="0">
            <x v="22"/>
          </reference>
          <reference field="8" count="3">
            <x v="92"/>
            <x v="93"/>
            <x v="94"/>
          </reference>
        </references>
      </pivotArea>
    </format>
    <format dxfId="4093">
      <pivotArea dataOnly="0" labelOnly="1" fieldPosition="0">
        <references count="4">
          <reference field="4" count="1" selected="0">
            <x v="8"/>
          </reference>
          <reference field="6" count="1" selected="0">
            <x v="1"/>
          </reference>
          <reference field="7" count="1" selected="0">
            <x v="28"/>
          </reference>
          <reference field="8" count="2">
            <x v="138"/>
            <x v="139"/>
          </reference>
        </references>
      </pivotArea>
    </format>
    <format dxfId="4092">
      <pivotArea dataOnly="0" labelOnly="1" fieldPosition="0">
        <references count="4">
          <reference field="4" count="1" selected="0">
            <x v="8"/>
          </reference>
          <reference field="6" count="1" selected="0">
            <x v="2"/>
          </reference>
          <reference field="7" count="1" selected="0">
            <x v="32"/>
          </reference>
          <reference field="8" count="2">
            <x v="158"/>
            <x v="159"/>
          </reference>
        </references>
      </pivotArea>
    </format>
    <format dxfId="4091">
      <pivotArea dataOnly="0" labelOnly="1" fieldPosition="0">
        <references count="4">
          <reference field="4" count="1" selected="0">
            <x v="8"/>
          </reference>
          <reference field="6" count="1" selected="0">
            <x v="3"/>
          </reference>
          <reference field="7" count="1" selected="0">
            <x v="6"/>
          </reference>
          <reference field="8" count="2">
            <x v="29"/>
            <x v="30"/>
          </reference>
        </references>
      </pivotArea>
    </format>
    <format dxfId="4090">
      <pivotArea dataOnly="0" labelOnly="1" fieldPosition="0">
        <references count="4">
          <reference field="4" count="1" selected="0">
            <x v="9"/>
          </reference>
          <reference field="6" count="1" selected="0">
            <x v="1"/>
          </reference>
          <reference field="7" count="1" selected="0">
            <x v="25"/>
          </reference>
          <reference field="8" count="10">
            <x v="115"/>
            <x v="116"/>
            <x v="117"/>
            <x v="118"/>
            <x v="119"/>
            <x v="120"/>
            <x v="121"/>
            <x v="122"/>
            <x v="123"/>
            <x v="124"/>
          </reference>
        </references>
      </pivotArea>
    </format>
    <format dxfId="4089">
      <pivotArea dataOnly="0" labelOnly="1" fieldPosition="0">
        <references count="4">
          <reference field="4" count="1" selected="0">
            <x v="10"/>
          </reference>
          <reference field="6" count="1" selected="0">
            <x v="3"/>
          </reference>
          <reference field="7" count="1" selected="0">
            <x v="6"/>
          </reference>
          <reference field="8" count="1">
            <x v="29"/>
          </reference>
        </references>
      </pivotArea>
    </format>
    <format dxfId="4088">
      <pivotArea dataOnly="0" labelOnly="1" fieldPosition="0">
        <references count="4">
          <reference field="4" count="1" selected="0">
            <x v="11"/>
          </reference>
          <reference field="6" count="1" selected="0">
            <x v="0"/>
          </reference>
          <reference field="7" count="1" selected="0">
            <x v="17"/>
          </reference>
          <reference field="8" count="3">
            <x v="70"/>
            <x v="71"/>
            <x v="72"/>
          </reference>
        </references>
      </pivotArea>
    </format>
    <format dxfId="4087">
      <pivotArea dataOnly="0" labelOnly="1" fieldPosition="0">
        <references count="4">
          <reference field="4" count="1" selected="0">
            <x v="12"/>
          </reference>
          <reference field="6" count="1" selected="0">
            <x v="0"/>
          </reference>
          <reference field="7" count="1" selected="0">
            <x v="18"/>
          </reference>
          <reference field="8" count="3">
            <x v="74"/>
            <x v="75"/>
            <x v="76"/>
          </reference>
        </references>
      </pivotArea>
    </format>
    <format dxfId="4086">
      <pivotArea dataOnly="0" labelOnly="1" fieldPosition="0">
        <references count="4">
          <reference field="4" count="1" selected="0">
            <x v="13"/>
          </reference>
          <reference field="6" count="1" selected="0">
            <x v="3"/>
          </reference>
          <reference field="7" count="1" selected="0">
            <x v="1"/>
          </reference>
          <reference field="8" count="1">
            <x v="6"/>
          </reference>
        </references>
      </pivotArea>
    </format>
    <format dxfId="4085">
      <pivotArea dataOnly="0" labelOnly="1" fieldPosition="0">
        <references count="4">
          <reference field="4" count="1" selected="0">
            <x v="13"/>
          </reference>
          <reference field="6" count="1" selected="0">
            <x v="3"/>
          </reference>
          <reference field="7" count="1" selected="0">
            <x v="5"/>
          </reference>
          <reference field="8" count="6">
            <x v="22"/>
            <x v="23"/>
            <x v="24"/>
            <x v="25"/>
            <x v="26"/>
            <x v="27"/>
          </reference>
        </references>
      </pivotArea>
    </format>
    <format dxfId="4084">
      <pivotArea dataOnly="0" labelOnly="1" fieldPosition="0">
        <references count="4">
          <reference field="4" count="1" selected="0">
            <x v="14"/>
          </reference>
          <reference field="6" count="1" selected="0">
            <x v="1"/>
          </reference>
          <reference field="7" count="1" selected="0">
            <x v="26"/>
          </reference>
          <reference field="8" count="7">
            <x v="125"/>
            <x v="126"/>
            <x v="127"/>
            <x v="128"/>
            <x v="129"/>
            <x v="130"/>
            <x v="131"/>
          </reference>
        </references>
      </pivotArea>
    </format>
    <format dxfId="4083">
      <pivotArea dataOnly="0" labelOnly="1" fieldPosition="0">
        <references count="4">
          <reference field="4" count="1" selected="0">
            <x v="15"/>
          </reference>
          <reference field="6" count="1" selected="0">
            <x v="0"/>
          </reference>
          <reference field="7" count="1" selected="0">
            <x v="20"/>
          </reference>
          <reference field="8" count="5">
            <x v="82"/>
            <x v="83"/>
            <x v="84"/>
            <x v="85"/>
            <x v="86"/>
          </reference>
        </references>
      </pivotArea>
    </format>
    <format dxfId="4082">
      <pivotArea dataOnly="0" labelOnly="1" fieldPosition="0">
        <references count="4">
          <reference field="4" count="1" selected="0">
            <x v="16"/>
          </reference>
          <reference field="6" count="1" selected="0">
            <x v="1"/>
          </reference>
          <reference field="7" count="1" selected="0">
            <x v="27"/>
          </reference>
          <reference field="8" count="6">
            <x v="132"/>
            <x v="133"/>
            <x v="134"/>
            <x v="135"/>
            <x v="136"/>
            <x v="137"/>
          </reference>
        </references>
      </pivotArea>
    </format>
    <format dxfId="4081">
      <pivotArea dataOnly="0" labelOnly="1" fieldPosition="0">
        <references count="4">
          <reference field="4" count="1" selected="0">
            <x v="16"/>
          </reference>
          <reference field="6" count="1" selected="0">
            <x v="3"/>
          </reference>
          <reference field="7" count="1" selected="0">
            <x v="1"/>
          </reference>
          <reference field="8" count="1">
            <x v="6"/>
          </reference>
        </references>
      </pivotArea>
    </format>
    <format dxfId="4080">
      <pivotArea dataOnly="0" labelOnly="1" fieldPosition="0">
        <references count="4">
          <reference field="4" count="1" selected="0">
            <x v="16"/>
          </reference>
          <reference field="6" count="1" selected="0">
            <x v="4"/>
          </reference>
          <reference field="7" count="1" selected="0">
            <x v="8"/>
          </reference>
          <reference field="8" count="1">
            <x v="38"/>
          </reference>
        </references>
      </pivotArea>
    </format>
    <format dxfId="4079">
      <pivotArea dataOnly="0" labelOnly="1" fieldPosition="0">
        <references count="4">
          <reference field="4" count="1" selected="0">
            <x v="16"/>
          </reference>
          <reference field="6" count="1" selected="0">
            <x v="4"/>
          </reference>
          <reference field="7" count="1" selected="0">
            <x v="11"/>
          </reference>
          <reference field="8" count="1">
            <x v="48"/>
          </reference>
        </references>
      </pivotArea>
    </format>
    <format dxfId="4078">
      <pivotArea dataOnly="0" labelOnly="1" fieldPosition="0">
        <references count="4">
          <reference field="4" count="1" selected="0">
            <x v="17"/>
          </reference>
          <reference field="6" count="1" selected="0">
            <x v="0"/>
          </reference>
          <reference field="7" count="1" selected="0">
            <x v="16"/>
          </reference>
          <reference field="8" count="7">
            <x v="57"/>
            <x v="58"/>
            <x v="59"/>
            <x v="60"/>
            <x v="61"/>
            <x v="62"/>
            <x v="63"/>
          </reference>
        </references>
      </pivotArea>
    </format>
    <format dxfId="4077">
      <pivotArea dataOnly="0" labelOnly="1" fieldPosition="0">
        <references count="4">
          <reference field="4" count="1" selected="0">
            <x v="17"/>
          </reference>
          <reference field="6" count="1" selected="0">
            <x v="0"/>
          </reference>
          <reference field="7" count="1" selected="0">
            <x v="22"/>
          </reference>
          <reference field="8" count="1">
            <x v="94"/>
          </reference>
        </references>
      </pivotArea>
    </format>
    <format dxfId="4076">
      <pivotArea dataOnly="0" labelOnly="1" fieldPosition="0">
        <references count="4">
          <reference field="4" count="1" selected="0">
            <x v="18"/>
          </reference>
          <reference field="6" count="1" selected="0">
            <x v="3"/>
          </reference>
          <reference field="7" count="1" selected="0">
            <x v="2"/>
          </reference>
          <reference field="8" count="4">
            <x v="8"/>
            <x v="9"/>
            <x v="16"/>
            <x v="17"/>
          </reference>
        </references>
      </pivotArea>
    </format>
    <format dxfId="4075">
      <pivotArea dataOnly="0" labelOnly="1" fieldPosition="0">
        <references count="4">
          <reference field="4" count="1" selected="0">
            <x v="19"/>
          </reference>
          <reference field="6" count="1" selected="0">
            <x v="3"/>
          </reference>
          <reference field="7" count="1" selected="0">
            <x v="6"/>
          </reference>
          <reference field="8" count="1">
            <x v="29"/>
          </reference>
        </references>
      </pivotArea>
    </format>
    <format dxfId="4074">
      <pivotArea dataOnly="0" labelOnly="1" fieldPosition="0">
        <references count="4">
          <reference field="4" count="1" selected="0">
            <x v="20"/>
          </reference>
          <reference field="6" count="1" selected="0">
            <x v="1"/>
          </reference>
          <reference field="7" count="1" selected="0">
            <x v="24"/>
          </reference>
          <reference field="8" count="1">
            <x v="106"/>
          </reference>
        </references>
      </pivotArea>
    </format>
    <format dxfId="4073">
      <pivotArea dataOnly="0" labelOnly="1" fieldPosition="0">
        <references count="5">
          <reference field="4" count="1" selected="0">
            <x v="0"/>
          </reference>
          <reference field="6" count="1" selected="0">
            <x v="0"/>
          </reference>
          <reference field="7" count="1" selected="0">
            <x v="17"/>
          </reference>
          <reference field="8" count="1" selected="0">
            <x v="65"/>
          </reference>
          <reference field="15" count="1">
            <x v="108"/>
          </reference>
        </references>
      </pivotArea>
    </format>
    <format dxfId="4072">
      <pivotArea dataOnly="0" labelOnly="1" fieldPosition="0">
        <references count="5">
          <reference field="4" count="1" selected="0">
            <x v="0"/>
          </reference>
          <reference field="6" count="1" selected="0">
            <x v="0"/>
          </reference>
          <reference field="7" count="1" selected="0">
            <x v="17"/>
          </reference>
          <reference field="8" count="1" selected="0">
            <x v="66"/>
          </reference>
          <reference field="15" count="2">
            <x v="365"/>
            <x v="366"/>
          </reference>
        </references>
      </pivotArea>
    </format>
    <format dxfId="4071">
      <pivotArea dataOnly="0" labelOnly="1" fieldPosition="0">
        <references count="5">
          <reference field="4" count="1" selected="0">
            <x v="0"/>
          </reference>
          <reference field="6" count="1" selected="0">
            <x v="0"/>
          </reference>
          <reference field="7" count="1" selected="0">
            <x v="17"/>
          </reference>
          <reference field="8" count="1" selected="0">
            <x v="67"/>
          </reference>
          <reference field="15" count="2">
            <x v="364"/>
            <x v="370"/>
          </reference>
        </references>
      </pivotArea>
    </format>
    <format dxfId="4070">
      <pivotArea dataOnly="0" labelOnly="1" fieldPosition="0">
        <references count="5">
          <reference field="4" count="1" selected="0">
            <x v="0"/>
          </reference>
          <reference field="6" count="1" selected="0">
            <x v="0"/>
          </reference>
          <reference field="7" count="1" selected="0">
            <x v="17"/>
          </reference>
          <reference field="8" count="1" selected="0">
            <x v="68"/>
          </reference>
          <reference field="15" count="1">
            <x v="79"/>
          </reference>
        </references>
      </pivotArea>
    </format>
    <format dxfId="4069">
      <pivotArea dataOnly="0" labelOnly="1" fieldPosition="0">
        <references count="5">
          <reference field="4" count="1" selected="0">
            <x v="0"/>
          </reference>
          <reference field="6" count="1" selected="0">
            <x v="0"/>
          </reference>
          <reference field="7" count="1" selected="0">
            <x v="17"/>
          </reference>
          <reference field="8" count="1" selected="0">
            <x v="69"/>
          </reference>
          <reference field="15" count="1">
            <x v="42"/>
          </reference>
        </references>
      </pivotArea>
    </format>
    <format dxfId="4068">
      <pivotArea dataOnly="0" labelOnly="1" fieldPosition="0">
        <references count="5">
          <reference field="4" count="1" selected="0">
            <x v="0"/>
          </reference>
          <reference field="6" count="1" selected="0">
            <x v="0"/>
          </reference>
          <reference field="7" count="1" selected="0">
            <x v="19"/>
          </reference>
          <reference field="8" count="1" selected="0">
            <x v="78"/>
          </reference>
          <reference field="15" count="1">
            <x v="236"/>
          </reference>
        </references>
      </pivotArea>
    </format>
    <format dxfId="4067">
      <pivotArea dataOnly="0" labelOnly="1" fieldPosition="0">
        <references count="5">
          <reference field="4" count="1" selected="0">
            <x v="0"/>
          </reference>
          <reference field="6" count="1" selected="0">
            <x v="0"/>
          </reference>
          <reference field="7" count="1" selected="0">
            <x v="19"/>
          </reference>
          <reference field="8" count="1" selected="0">
            <x v="79"/>
          </reference>
          <reference field="15" count="1">
            <x v="12"/>
          </reference>
        </references>
      </pivotArea>
    </format>
    <format dxfId="4066">
      <pivotArea dataOnly="0" labelOnly="1" fieldPosition="0">
        <references count="5">
          <reference field="4" count="1" selected="0">
            <x v="0"/>
          </reference>
          <reference field="6" count="1" selected="0">
            <x v="0"/>
          </reference>
          <reference field="7" count="1" selected="0">
            <x v="19"/>
          </reference>
          <reference field="8" count="1" selected="0">
            <x v="80"/>
          </reference>
          <reference field="15" count="2">
            <x v="10"/>
            <x v="11"/>
          </reference>
        </references>
      </pivotArea>
    </format>
    <format dxfId="4065">
      <pivotArea dataOnly="0" labelOnly="1" fieldPosition="0">
        <references count="5">
          <reference field="4" count="1" selected="0">
            <x v="0"/>
          </reference>
          <reference field="6" count="1" selected="0">
            <x v="1"/>
          </reference>
          <reference field="7" count="1" selected="0">
            <x v="23"/>
          </reference>
          <reference field="8" count="1" selected="0">
            <x v="95"/>
          </reference>
          <reference field="15" count="1">
            <x v="250"/>
          </reference>
        </references>
      </pivotArea>
    </format>
    <format dxfId="4064">
      <pivotArea dataOnly="0" labelOnly="1" fieldPosition="0">
        <references count="5">
          <reference field="4" count="1" selected="0">
            <x v="0"/>
          </reference>
          <reference field="6" count="1" selected="0">
            <x v="1"/>
          </reference>
          <reference field="7" count="1" selected="0">
            <x v="23"/>
          </reference>
          <reference field="8" count="1" selected="0">
            <x v="96"/>
          </reference>
          <reference field="15" count="2">
            <x v="251"/>
            <x v="358"/>
          </reference>
        </references>
      </pivotArea>
    </format>
    <format dxfId="4063">
      <pivotArea dataOnly="0" labelOnly="1" fieldPosition="0">
        <references count="5">
          <reference field="4" count="1" selected="0">
            <x v="0"/>
          </reference>
          <reference field="6" count="1" selected="0">
            <x v="1"/>
          </reference>
          <reference field="7" count="1" selected="0">
            <x v="23"/>
          </reference>
          <reference field="8" count="1" selected="0">
            <x v="97"/>
          </reference>
          <reference field="15" count="1">
            <x v="257"/>
          </reference>
        </references>
      </pivotArea>
    </format>
    <format dxfId="4062">
      <pivotArea dataOnly="0" labelOnly="1" fieldPosition="0">
        <references count="5">
          <reference field="4" count="1" selected="0">
            <x v="0"/>
          </reference>
          <reference field="6" count="1" selected="0">
            <x v="1"/>
          </reference>
          <reference field="7" count="1" selected="0">
            <x v="23"/>
          </reference>
          <reference field="8" count="1" selected="0">
            <x v="98"/>
          </reference>
          <reference field="15" count="1">
            <x v="43"/>
          </reference>
        </references>
      </pivotArea>
    </format>
    <format dxfId="4061">
      <pivotArea dataOnly="0" labelOnly="1" fieldPosition="0">
        <references count="5">
          <reference field="4" count="1" selected="0">
            <x v="0"/>
          </reference>
          <reference field="6" count="1" selected="0">
            <x v="1"/>
          </reference>
          <reference field="7" count="1" selected="0">
            <x v="23"/>
          </reference>
          <reference field="8" count="1" selected="0">
            <x v="99"/>
          </reference>
          <reference field="15" count="1">
            <x v="254"/>
          </reference>
        </references>
      </pivotArea>
    </format>
    <format dxfId="4060">
      <pivotArea dataOnly="0" labelOnly="1" fieldPosition="0">
        <references count="5">
          <reference field="4" count="1" selected="0">
            <x v="0"/>
          </reference>
          <reference field="6" count="1" selected="0">
            <x v="1"/>
          </reference>
          <reference field="7" count="1" selected="0">
            <x v="23"/>
          </reference>
          <reference field="8" count="1" selected="0">
            <x v="100"/>
          </reference>
          <reference field="15" count="1">
            <x v="253"/>
          </reference>
        </references>
      </pivotArea>
    </format>
    <format dxfId="4059">
      <pivotArea dataOnly="0" labelOnly="1" fieldPosition="0">
        <references count="5">
          <reference field="4" count="1" selected="0">
            <x v="0"/>
          </reference>
          <reference field="6" count="1" selected="0">
            <x v="1"/>
          </reference>
          <reference field="7" count="1" selected="0">
            <x v="23"/>
          </reference>
          <reference field="8" count="1" selected="0">
            <x v="101"/>
          </reference>
          <reference field="15" count="1">
            <x v="255"/>
          </reference>
        </references>
      </pivotArea>
    </format>
    <format dxfId="4058">
      <pivotArea dataOnly="0" labelOnly="1" fieldPosition="0">
        <references count="5">
          <reference field="4" count="1" selected="0">
            <x v="0"/>
          </reference>
          <reference field="6" count="1" selected="0">
            <x v="1"/>
          </reference>
          <reference field="7" count="1" selected="0">
            <x v="23"/>
          </reference>
          <reference field="8" count="1" selected="0">
            <x v="102"/>
          </reference>
          <reference field="15" count="1">
            <x v="40"/>
          </reference>
        </references>
      </pivotArea>
    </format>
    <format dxfId="4057">
      <pivotArea dataOnly="0" labelOnly="1" fieldPosition="0">
        <references count="5">
          <reference field="4" count="1" selected="0">
            <x v="0"/>
          </reference>
          <reference field="6" count="1" selected="0">
            <x v="1"/>
          </reference>
          <reference field="7" count="1" selected="0">
            <x v="23"/>
          </reference>
          <reference field="8" count="1" selected="0">
            <x v="103"/>
          </reference>
          <reference field="15" count="1">
            <x v="252"/>
          </reference>
        </references>
      </pivotArea>
    </format>
    <format dxfId="4056">
      <pivotArea dataOnly="0" labelOnly="1" fieldPosition="0">
        <references count="5">
          <reference field="4" count="1" selected="0">
            <x v="0"/>
          </reference>
          <reference field="6" count="1" selected="0">
            <x v="1"/>
          </reference>
          <reference field="7" count="1" selected="0">
            <x v="23"/>
          </reference>
          <reference field="8" count="1" selected="0">
            <x v="104"/>
          </reference>
          <reference field="15" count="1">
            <x v="256"/>
          </reference>
        </references>
      </pivotArea>
    </format>
    <format dxfId="4055">
      <pivotArea dataOnly="0" labelOnly="1" fieldPosition="0">
        <references count="5">
          <reference field="4" count="1" selected="0">
            <x v="0"/>
          </reference>
          <reference field="6" count="1" selected="0">
            <x v="1"/>
          </reference>
          <reference field="7" count="1" selected="0">
            <x v="26"/>
          </reference>
          <reference field="8" count="1" selected="0">
            <x v="131"/>
          </reference>
          <reference field="15" count="1">
            <x v="13"/>
          </reference>
        </references>
      </pivotArea>
    </format>
    <format dxfId="4054">
      <pivotArea dataOnly="0" labelOnly="1" fieldPosition="0">
        <references count="5">
          <reference field="4" count="1" selected="0">
            <x v="1"/>
          </reference>
          <reference field="6" count="1" selected="0">
            <x v="0"/>
          </reference>
          <reference field="7" count="1" selected="0">
            <x v="19"/>
          </reference>
          <reference field="8" count="1" selected="0">
            <x v="81"/>
          </reference>
          <reference field="15" count="1">
            <x v="231"/>
          </reference>
        </references>
      </pivotArea>
    </format>
    <format dxfId="4053">
      <pivotArea dataOnly="0" labelOnly="1" fieldPosition="0">
        <references count="5">
          <reference field="4" count="1" selected="0">
            <x v="1"/>
          </reference>
          <reference field="6" count="1" selected="0">
            <x v="3"/>
          </reference>
          <reference field="7" count="1" selected="0">
            <x v="2"/>
          </reference>
          <reference field="8" count="1" selected="0">
            <x v="7"/>
          </reference>
          <reference field="15" count="5">
            <x v="117"/>
            <x v="124"/>
            <x v="131"/>
            <x v="380"/>
            <x v="400"/>
          </reference>
        </references>
      </pivotArea>
    </format>
    <format dxfId="4052">
      <pivotArea dataOnly="0" labelOnly="1" fieldPosition="0">
        <references count="5">
          <reference field="4" count="1" selected="0">
            <x v="1"/>
          </reference>
          <reference field="6" count="1" selected="0">
            <x v="3"/>
          </reference>
          <reference field="7" count="1" selected="0">
            <x v="2"/>
          </reference>
          <reference field="8" count="1" selected="0">
            <x v="10"/>
          </reference>
          <reference field="15" count="2">
            <x v="17"/>
            <x v="18"/>
          </reference>
        </references>
      </pivotArea>
    </format>
    <format dxfId="4051">
      <pivotArea dataOnly="0" labelOnly="1" fieldPosition="0">
        <references count="5">
          <reference field="4" count="1" selected="0">
            <x v="1"/>
          </reference>
          <reference field="6" count="1" selected="0">
            <x v="3"/>
          </reference>
          <reference field="7" count="1" selected="0">
            <x v="2"/>
          </reference>
          <reference field="8" count="1" selected="0">
            <x v="11"/>
          </reference>
          <reference field="15" count="2">
            <x v="7"/>
            <x v="8"/>
          </reference>
        </references>
      </pivotArea>
    </format>
    <format dxfId="4050">
      <pivotArea dataOnly="0" labelOnly="1" fieldPosition="0">
        <references count="5">
          <reference field="4" count="1" selected="0">
            <x v="1"/>
          </reference>
          <reference field="6" count="1" selected="0">
            <x v="3"/>
          </reference>
          <reference field="7" count="1" selected="0">
            <x v="2"/>
          </reference>
          <reference field="8" count="1" selected="0">
            <x v="12"/>
          </reference>
          <reference field="15" count="1">
            <x v="107"/>
          </reference>
        </references>
      </pivotArea>
    </format>
    <format dxfId="4049">
      <pivotArea dataOnly="0" labelOnly="1" fieldPosition="0">
        <references count="5">
          <reference field="4" count="1" selected="0">
            <x v="1"/>
          </reference>
          <reference field="6" count="1" selected="0">
            <x v="3"/>
          </reference>
          <reference field="7" count="1" selected="0">
            <x v="2"/>
          </reference>
          <reference field="8" count="1" selected="0">
            <x v="13"/>
          </reference>
          <reference field="15" count="1">
            <x v="6"/>
          </reference>
        </references>
      </pivotArea>
    </format>
    <format dxfId="4048">
      <pivotArea dataOnly="0" labelOnly="1" fieldPosition="0">
        <references count="5">
          <reference field="4" count="1" selected="0">
            <x v="1"/>
          </reference>
          <reference field="6" count="1" selected="0">
            <x v="3"/>
          </reference>
          <reference field="7" count="1" selected="0">
            <x v="2"/>
          </reference>
          <reference field="8" count="1" selected="0">
            <x v="14"/>
          </reference>
          <reference field="15" count="2">
            <x v="46"/>
            <x v="47"/>
          </reference>
        </references>
      </pivotArea>
    </format>
    <format dxfId="4047">
      <pivotArea dataOnly="0" labelOnly="1" fieldPosition="0">
        <references count="5">
          <reference field="4" count="1" selected="0">
            <x v="1"/>
          </reference>
          <reference field="6" count="1" selected="0">
            <x v="3"/>
          </reference>
          <reference field="7" count="1" selected="0">
            <x v="2"/>
          </reference>
          <reference field="8" count="1" selected="0">
            <x v="15"/>
          </reference>
          <reference field="15" count="1">
            <x v="372"/>
          </reference>
        </references>
      </pivotArea>
    </format>
    <format dxfId="4046">
      <pivotArea dataOnly="0" labelOnly="1" fieldPosition="0">
        <references count="5">
          <reference field="4" count="1" selected="0">
            <x v="1"/>
          </reference>
          <reference field="6" count="1" selected="0">
            <x v="3"/>
          </reference>
          <reference field="7" count="1" selected="0">
            <x v="3"/>
          </reference>
          <reference field="8" count="1" selected="0">
            <x v="18"/>
          </reference>
          <reference field="15" count="1">
            <x v="232"/>
          </reference>
        </references>
      </pivotArea>
    </format>
    <format dxfId="4045">
      <pivotArea dataOnly="0" labelOnly="1" fieldPosition="0">
        <references count="5">
          <reference field="4" count="1" selected="0">
            <x v="1"/>
          </reference>
          <reference field="6" count="1" selected="0">
            <x v="3"/>
          </reference>
          <reference field="7" count="1" selected="0">
            <x v="3"/>
          </reference>
          <reference field="8" count="1" selected="0">
            <x v="19"/>
          </reference>
          <reference field="15" count="1">
            <x v="9"/>
          </reference>
        </references>
      </pivotArea>
    </format>
    <format dxfId="4044">
      <pivotArea dataOnly="0" labelOnly="1" fieldPosition="0">
        <references count="5">
          <reference field="4" count="1" selected="0">
            <x v="1"/>
          </reference>
          <reference field="6" count="1" selected="0">
            <x v="3"/>
          </reference>
          <reference field="7" count="1" selected="0">
            <x v="4"/>
          </reference>
          <reference field="8" count="1" selected="0">
            <x v="20"/>
          </reference>
          <reference field="15" count="1">
            <x v="34"/>
          </reference>
        </references>
      </pivotArea>
    </format>
    <format dxfId="4043">
      <pivotArea dataOnly="0" labelOnly="1" fieldPosition="0">
        <references count="5">
          <reference field="4" count="1" selected="0">
            <x v="1"/>
          </reference>
          <reference field="6" count="1" selected="0">
            <x v="3"/>
          </reference>
          <reference field="7" count="1" selected="0">
            <x v="4"/>
          </reference>
          <reference field="8" count="1" selected="0">
            <x v="21"/>
          </reference>
          <reference field="15" count="1">
            <x v="98"/>
          </reference>
        </references>
      </pivotArea>
    </format>
    <format dxfId="4042">
      <pivotArea dataOnly="0" labelOnly="1" fieldPosition="0">
        <references count="5">
          <reference field="4" count="1" selected="0">
            <x v="1"/>
          </reference>
          <reference field="6" count="1" selected="0">
            <x v="4"/>
          </reference>
          <reference field="7" count="1" selected="0">
            <x v="8"/>
          </reference>
          <reference field="8" count="1" selected="0">
            <x v="33"/>
          </reference>
          <reference field="15" count="1">
            <x v="237"/>
          </reference>
        </references>
      </pivotArea>
    </format>
    <format dxfId="4041">
      <pivotArea dataOnly="0" labelOnly="1" fieldPosition="0">
        <references count="5">
          <reference field="4" count="1" selected="0">
            <x v="1"/>
          </reference>
          <reference field="6" count="1" selected="0">
            <x v="4"/>
          </reference>
          <reference field="7" count="1" selected="0">
            <x v="8"/>
          </reference>
          <reference field="8" count="1" selected="0">
            <x v="34"/>
          </reference>
          <reference field="15" count="1">
            <x v="373"/>
          </reference>
        </references>
      </pivotArea>
    </format>
    <format dxfId="4040">
      <pivotArea dataOnly="0" labelOnly="1" fieldPosition="0">
        <references count="5">
          <reference field="4" count="1" selected="0">
            <x v="1"/>
          </reference>
          <reference field="6" count="1" selected="0">
            <x v="4"/>
          </reference>
          <reference field="7" count="1" selected="0">
            <x v="8"/>
          </reference>
          <reference field="8" count="1" selected="0">
            <x v="39"/>
          </reference>
          <reference field="15" count="2">
            <x v="233"/>
            <x v="234"/>
          </reference>
        </references>
      </pivotArea>
    </format>
    <format dxfId="4039">
      <pivotArea dataOnly="0" labelOnly="1" fieldPosition="0">
        <references count="5">
          <reference field="4" count="1" selected="0">
            <x v="2"/>
          </reference>
          <reference field="6" count="1" selected="0">
            <x v="2"/>
          </reference>
          <reference field="7" count="1" selected="0">
            <x v="29"/>
          </reference>
          <reference field="8" count="1" selected="0">
            <x v="145"/>
          </reference>
          <reference field="15" count="1">
            <x v="377"/>
          </reference>
        </references>
      </pivotArea>
    </format>
    <format dxfId="4038">
      <pivotArea dataOnly="0" labelOnly="1" fieldPosition="0">
        <references count="5">
          <reference field="4" count="1" selected="0">
            <x v="2"/>
          </reference>
          <reference field="6" count="1" selected="0">
            <x v="2"/>
          </reference>
          <reference field="7" count="1" selected="0">
            <x v="29"/>
          </reference>
          <reference field="8" count="1" selected="0">
            <x v="146"/>
          </reference>
          <reference field="15" count="1">
            <x v="139"/>
          </reference>
        </references>
      </pivotArea>
    </format>
    <format dxfId="4037">
      <pivotArea dataOnly="0" labelOnly="1" fieldPosition="0">
        <references count="5">
          <reference field="4" count="1" selected="0">
            <x v="2"/>
          </reference>
          <reference field="6" count="1" selected="0">
            <x v="2"/>
          </reference>
          <reference field="7" count="1" selected="0">
            <x v="29"/>
          </reference>
          <reference field="8" count="1" selected="0">
            <x v="147"/>
          </reference>
          <reference field="15" count="1">
            <x v="127"/>
          </reference>
        </references>
      </pivotArea>
    </format>
    <format dxfId="4036">
      <pivotArea dataOnly="0" labelOnly="1" fieldPosition="0">
        <references count="5">
          <reference field="4" count="1" selected="0">
            <x v="2"/>
          </reference>
          <reference field="6" count="1" selected="0">
            <x v="2"/>
          </reference>
          <reference field="7" count="1" selected="0">
            <x v="29"/>
          </reference>
          <reference field="8" count="1" selected="0">
            <x v="148"/>
          </reference>
          <reference field="15" count="1">
            <x v="142"/>
          </reference>
        </references>
      </pivotArea>
    </format>
    <format dxfId="4035">
      <pivotArea dataOnly="0" labelOnly="1" fieldPosition="0">
        <references count="5">
          <reference field="4" count="1" selected="0">
            <x v="2"/>
          </reference>
          <reference field="6" count="1" selected="0">
            <x v="2"/>
          </reference>
          <reference field="7" count="1" selected="0">
            <x v="29"/>
          </reference>
          <reference field="8" count="1" selected="0">
            <x v="149"/>
          </reference>
          <reference field="15" count="1">
            <x v="140"/>
          </reference>
        </references>
      </pivotArea>
    </format>
    <format dxfId="4034">
      <pivotArea dataOnly="0" labelOnly="1" fieldPosition="0">
        <references count="5">
          <reference field="4" count="1" selected="0">
            <x v="2"/>
          </reference>
          <reference field="6" count="1" selected="0">
            <x v="2"/>
          </reference>
          <reference field="7" count="1" selected="0">
            <x v="29"/>
          </reference>
          <reference field="8" count="1" selected="0">
            <x v="150"/>
          </reference>
          <reference field="15" count="1">
            <x v="144"/>
          </reference>
        </references>
      </pivotArea>
    </format>
    <format dxfId="4033">
      <pivotArea dataOnly="0" labelOnly="1" fieldPosition="0">
        <references count="5">
          <reference field="4" count="1" selected="0">
            <x v="2"/>
          </reference>
          <reference field="6" count="1" selected="0">
            <x v="2"/>
          </reference>
          <reference field="7" count="1" selected="0">
            <x v="30"/>
          </reference>
          <reference field="8" count="1" selected="0">
            <x v="152"/>
          </reference>
          <reference field="15" count="2">
            <x v="128"/>
            <x v="129"/>
          </reference>
        </references>
      </pivotArea>
    </format>
    <format dxfId="4032">
      <pivotArea dataOnly="0" labelOnly="1" fieldPosition="0">
        <references count="5">
          <reference field="4" count="1" selected="0">
            <x v="2"/>
          </reference>
          <reference field="6" count="1" selected="0">
            <x v="2"/>
          </reference>
          <reference field="7" count="1" selected="0">
            <x v="30"/>
          </reference>
          <reference field="8" count="1" selected="0">
            <x v="153"/>
          </reference>
          <reference field="15" count="1">
            <x v="141"/>
          </reference>
        </references>
      </pivotArea>
    </format>
    <format dxfId="4031">
      <pivotArea dataOnly="0" labelOnly="1" fieldPosition="0">
        <references count="5">
          <reference field="4" count="1" selected="0">
            <x v="2"/>
          </reference>
          <reference field="6" count="1" selected="0">
            <x v="3"/>
          </reference>
          <reference field="7" count="1" selected="0">
            <x v="5"/>
          </reference>
          <reference field="8" count="1" selected="0">
            <x v="24"/>
          </reference>
          <reference field="15" count="1">
            <x v="339"/>
          </reference>
        </references>
      </pivotArea>
    </format>
    <format dxfId="4030">
      <pivotArea dataOnly="0" labelOnly="1" fieldPosition="0">
        <references count="5">
          <reference field="4" count="1" selected="0">
            <x v="2"/>
          </reference>
          <reference field="6" count="1" selected="0">
            <x v="3"/>
          </reference>
          <reference field="7" count="1" selected="0">
            <x v="7"/>
          </reference>
          <reference field="8" count="1" selected="0">
            <x v="31"/>
          </reference>
          <reference field="15" count="2">
            <x v="391"/>
            <x v="392"/>
          </reference>
        </references>
      </pivotArea>
    </format>
    <format dxfId="4029">
      <pivotArea dataOnly="0" labelOnly="1" fieldPosition="0">
        <references count="5">
          <reference field="4" count="1" selected="0">
            <x v="2"/>
          </reference>
          <reference field="6" count="1" selected="0">
            <x v="3"/>
          </reference>
          <reference field="7" count="1" selected="0">
            <x v="7"/>
          </reference>
          <reference field="8" count="1" selected="0">
            <x v="32"/>
          </reference>
          <reference field="15" count="1">
            <x v="371"/>
          </reference>
        </references>
      </pivotArea>
    </format>
    <format dxfId="4028">
      <pivotArea dataOnly="0" labelOnly="1" fieldPosition="0">
        <references count="5">
          <reference field="4" count="1" selected="0">
            <x v="2"/>
          </reference>
          <reference field="6" count="1" selected="0">
            <x v="4"/>
          </reference>
          <reference field="7" count="1" selected="0">
            <x v="8"/>
          </reference>
          <reference field="8" count="1" selected="0">
            <x v="36"/>
          </reference>
          <reference field="15" count="1">
            <x v="379"/>
          </reference>
        </references>
      </pivotArea>
    </format>
    <format dxfId="4027">
      <pivotArea dataOnly="0" labelOnly="1" fieldPosition="0">
        <references count="5">
          <reference field="4" count="1" selected="0">
            <x v="2"/>
          </reference>
          <reference field="6" count="1" selected="0">
            <x v="4"/>
          </reference>
          <reference field="7" count="1" selected="0">
            <x v="8"/>
          </reference>
          <reference field="8" count="1" selected="0">
            <x v="39"/>
          </reference>
          <reference field="15" count="1">
            <x v="378"/>
          </reference>
        </references>
      </pivotArea>
    </format>
    <format dxfId="4026">
      <pivotArea dataOnly="0" labelOnly="1" fieldPosition="0">
        <references count="5">
          <reference field="4" count="1" selected="0">
            <x v="3"/>
          </reference>
          <reference field="6" count="1" selected="0">
            <x v="3"/>
          </reference>
          <reference field="7" count="1" selected="0">
            <x v="6"/>
          </reference>
          <reference field="8" count="1" selected="0">
            <x v="29"/>
          </reference>
          <reference field="15" count="41">
            <x v="0"/>
            <x v="1"/>
            <x v="167"/>
            <x v="175"/>
            <x v="176"/>
            <x v="177"/>
            <x v="178"/>
            <x v="179"/>
            <x v="180"/>
            <x v="181"/>
            <x v="182"/>
            <x v="201"/>
            <x v="202"/>
            <x v="205"/>
            <x v="206"/>
            <x v="207"/>
            <x v="208"/>
            <x v="209"/>
            <x v="210"/>
            <x v="211"/>
            <x v="212"/>
            <x v="213"/>
            <x v="214"/>
            <x v="215"/>
            <x v="216"/>
            <x v="217"/>
            <x v="218"/>
            <x v="219"/>
            <x v="220"/>
            <x v="221"/>
            <x v="224"/>
            <x v="225"/>
            <x v="226"/>
            <x v="227"/>
            <x v="228"/>
            <x v="393"/>
            <x v="394"/>
            <x v="396"/>
            <x v="397"/>
            <x v="398"/>
            <x v="399"/>
          </reference>
        </references>
      </pivotArea>
    </format>
    <format dxfId="4025">
      <pivotArea dataOnly="0" labelOnly="1" fieldPosition="0">
        <references count="5">
          <reference field="4" count="1" selected="0">
            <x v="4"/>
          </reference>
          <reference field="6" count="1" selected="0">
            <x v="0"/>
          </reference>
          <reference field="7" count="1" selected="0">
            <x v="21"/>
          </reference>
          <reference field="8" count="1" selected="0">
            <x v="87"/>
          </reference>
          <reference field="15" count="8">
            <x v="126"/>
            <x v="293"/>
            <x v="305"/>
            <x v="306"/>
            <x v="317"/>
            <x v="388"/>
            <x v="389"/>
            <x v="390"/>
          </reference>
        </references>
      </pivotArea>
    </format>
    <format dxfId="4024">
      <pivotArea dataOnly="0" labelOnly="1" fieldPosition="0">
        <references count="5">
          <reference field="4" count="1" selected="0">
            <x v="4"/>
          </reference>
          <reference field="6" count="1" selected="0">
            <x v="0"/>
          </reference>
          <reference field="7" count="1" selected="0">
            <x v="21"/>
          </reference>
          <reference field="8" count="1" selected="0">
            <x v="88"/>
          </reference>
          <reference field="15" count="3">
            <x v="291"/>
            <x v="292"/>
            <x v="301"/>
          </reference>
        </references>
      </pivotArea>
    </format>
    <format dxfId="4023">
      <pivotArea dataOnly="0" labelOnly="1" fieldPosition="0">
        <references count="5">
          <reference field="4" count="1" selected="0">
            <x v="4"/>
          </reference>
          <reference field="6" count="1" selected="0">
            <x v="0"/>
          </reference>
          <reference field="7" count="1" selected="0">
            <x v="21"/>
          </reference>
          <reference field="8" count="1" selected="0">
            <x v="89"/>
          </reference>
          <reference field="15" count="1">
            <x v="310"/>
          </reference>
        </references>
      </pivotArea>
    </format>
    <format dxfId="4022">
      <pivotArea dataOnly="0" labelOnly="1" fieldPosition="0">
        <references count="5">
          <reference field="4" count="1" selected="0">
            <x v="4"/>
          </reference>
          <reference field="6" count="1" selected="0">
            <x v="0"/>
          </reference>
          <reference field="7" count="1" selected="0">
            <x v="21"/>
          </reference>
          <reference field="8" count="1" selected="0">
            <x v="90"/>
          </reference>
          <reference field="15" count="1">
            <x v="385"/>
          </reference>
        </references>
      </pivotArea>
    </format>
    <format dxfId="4021">
      <pivotArea dataOnly="0" labelOnly="1" fieldPosition="0">
        <references count="5">
          <reference field="4" count="1" selected="0">
            <x v="4"/>
          </reference>
          <reference field="6" count="1" selected="0">
            <x v="0"/>
          </reference>
          <reference field="7" count="1" selected="0">
            <x v="21"/>
          </reference>
          <reference field="8" count="1" selected="0">
            <x v="91"/>
          </reference>
          <reference field="15" count="2">
            <x v="264"/>
            <x v="265"/>
          </reference>
        </references>
      </pivotArea>
    </format>
    <format dxfId="4020">
      <pivotArea dataOnly="0" labelOnly="1" fieldPosition="0">
        <references count="5">
          <reference field="4" count="1" selected="0">
            <x v="4"/>
          </reference>
          <reference field="6" count="1" selected="0">
            <x v="1"/>
          </reference>
          <reference field="7" count="1" selected="0">
            <x v="24"/>
          </reference>
          <reference field="8" count="1" selected="0">
            <x v="114"/>
          </reference>
          <reference field="15" count="1">
            <x v="263"/>
          </reference>
        </references>
      </pivotArea>
    </format>
    <format dxfId="4019">
      <pivotArea dataOnly="0" labelOnly="1" fieldPosition="0">
        <references count="5">
          <reference field="4" count="1" selected="0">
            <x v="4"/>
          </reference>
          <reference field="6" count="1" selected="0">
            <x v="2"/>
          </reference>
          <reference field="7" count="1" selected="0">
            <x v="29"/>
          </reference>
          <reference field="8" count="1" selected="0">
            <x v="142"/>
          </reference>
          <reference field="15" count="1">
            <x v="283"/>
          </reference>
        </references>
      </pivotArea>
    </format>
    <format dxfId="4018">
      <pivotArea dataOnly="0" labelOnly="1" fieldPosition="0">
        <references count="5">
          <reference field="4" count="1" selected="0">
            <x v="4"/>
          </reference>
          <reference field="6" count="1" selected="0">
            <x v="2"/>
          </reference>
          <reference field="7" count="1" selected="0">
            <x v="29"/>
          </reference>
          <reference field="8" count="1" selected="0">
            <x v="143"/>
          </reference>
          <reference field="15" count="2">
            <x v="289"/>
            <x v="314"/>
          </reference>
        </references>
      </pivotArea>
    </format>
    <format dxfId="4017">
      <pivotArea dataOnly="0" labelOnly="1" fieldPosition="0">
        <references count="5">
          <reference field="4" count="1" selected="0">
            <x v="4"/>
          </reference>
          <reference field="6" count="1" selected="0">
            <x v="2"/>
          </reference>
          <reference field="7" count="1" selected="0">
            <x v="29"/>
          </reference>
          <reference field="8" count="1" selected="0">
            <x v="151"/>
          </reference>
          <reference field="15" count="1">
            <x v="387"/>
          </reference>
        </references>
      </pivotArea>
    </format>
    <format dxfId="4016">
      <pivotArea dataOnly="0" labelOnly="1" fieldPosition="0">
        <references count="5">
          <reference field="4" count="1" selected="0">
            <x v="4"/>
          </reference>
          <reference field="6" count="1" selected="0">
            <x v="2"/>
          </reference>
          <reference field="7" count="1" selected="0">
            <x v="31"/>
          </reference>
          <reference field="8" count="1" selected="0">
            <x v="155"/>
          </reference>
          <reference field="15" count="4">
            <x v="235"/>
            <x v="303"/>
            <x v="374"/>
            <x v="386"/>
          </reference>
        </references>
      </pivotArea>
    </format>
    <format dxfId="4015">
      <pivotArea dataOnly="0" labelOnly="1" fieldPosition="0">
        <references count="5">
          <reference field="4" count="1" selected="0">
            <x v="4"/>
          </reference>
          <reference field="6" count="1" selected="0">
            <x v="2"/>
          </reference>
          <reference field="7" count="1" selected="0">
            <x v="31"/>
          </reference>
          <reference field="8" count="1" selected="0">
            <x v="156"/>
          </reference>
          <reference field="15" count="1">
            <x v="304"/>
          </reference>
        </references>
      </pivotArea>
    </format>
    <format dxfId="4014">
      <pivotArea dataOnly="0" labelOnly="1" fieldPosition="0">
        <references count="5">
          <reference field="4" count="1" selected="0">
            <x v="4"/>
          </reference>
          <reference field="6" count="1" selected="0">
            <x v="2"/>
          </reference>
          <reference field="7" count="1" selected="0">
            <x v="31"/>
          </reference>
          <reference field="8" count="1" selected="0">
            <x v="157"/>
          </reference>
          <reference field="15" count="1">
            <x v="302"/>
          </reference>
        </references>
      </pivotArea>
    </format>
    <format dxfId="4013">
      <pivotArea dataOnly="0" labelOnly="1" fieldPosition="0">
        <references count="5">
          <reference field="4" count="1" selected="0">
            <x v="4"/>
          </reference>
          <reference field="6" count="1" selected="0">
            <x v="3"/>
          </reference>
          <reference field="7" count="1" selected="0">
            <x v="0"/>
          </reference>
          <reference field="8" count="1" selected="0">
            <x v="0"/>
          </reference>
          <reference field="15" count="2">
            <x v="125"/>
            <x v="269"/>
          </reference>
        </references>
      </pivotArea>
    </format>
    <format dxfId="4012">
      <pivotArea dataOnly="0" labelOnly="1" fieldPosition="0">
        <references count="5">
          <reference field="4" count="1" selected="0">
            <x v="4"/>
          </reference>
          <reference field="6" count="1" selected="0">
            <x v="3"/>
          </reference>
          <reference field="7" count="1" selected="0">
            <x v="0"/>
          </reference>
          <reference field="8" count="1" selected="0">
            <x v="1"/>
          </reference>
          <reference field="15" count="1">
            <x v="382"/>
          </reference>
        </references>
      </pivotArea>
    </format>
    <format dxfId="4011">
      <pivotArea dataOnly="0" labelOnly="1" fieldPosition="0">
        <references count="5">
          <reference field="4" count="1" selected="0">
            <x v="4"/>
          </reference>
          <reference field="6" count="1" selected="0">
            <x v="3"/>
          </reference>
          <reference field="7" count="1" selected="0">
            <x v="1"/>
          </reference>
          <reference field="8" count="1" selected="0">
            <x v="2"/>
          </reference>
          <reference field="15" count="1">
            <x v="282"/>
          </reference>
        </references>
      </pivotArea>
    </format>
    <format dxfId="4010">
      <pivotArea dataOnly="0" labelOnly="1" fieldPosition="0">
        <references count="5">
          <reference field="4" count="1" selected="0">
            <x v="4"/>
          </reference>
          <reference field="6" count="1" selected="0">
            <x v="3"/>
          </reference>
          <reference field="7" count="1" selected="0">
            <x v="1"/>
          </reference>
          <reference field="8" count="1" selected="0">
            <x v="3"/>
          </reference>
          <reference field="15" count="1">
            <x v="384"/>
          </reference>
        </references>
      </pivotArea>
    </format>
    <format dxfId="4009">
      <pivotArea dataOnly="0" labelOnly="1" fieldPosition="0">
        <references count="5">
          <reference field="4" count="1" selected="0">
            <x v="4"/>
          </reference>
          <reference field="6" count="1" selected="0">
            <x v="3"/>
          </reference>
          <reference field="7" count="1" selected="0">
            <x v="1"/>
          </reference>
          <reference field="8" count="1" selected="0">
            <x v="4"/>
          </reference>
          <reference field="15" count="1">
            <x v="298"/>
          </reference>
        </references>
      </pivotArea>
    </format>
    <format dxfId="4008">
      <pivotArea dataOnly="0" labelOnly="1" fieldPosition="0">
        <references count="5">
          <reference field="4" count="1" selected="0">
            <x v="4"/>
          </reference>
          <reference field="6" count="1" selected="0">
            <x v="3"/>
          </reference>
          <reference field="7" count="1" selected="0">
            <x v="1"/>
          </reference>
          <reference field="8" count="1" selected="0">
            <x v="5"/>
          </reference>
          <reference field="15" count="2">
            <x v="381"/>
            <x v="383"/>
          </reference>
        </references>
      </pivotArea>
    </format>
    <format dxfId="4007">
      <pivotArea dataOnly="0" labelOnly="1" fieldPosition="0">
        <references count="5">
          <reference field="4" count="1" selected="0">
            <x v="5"/>
          </reference>
          <reference field="6" count="1" selected="0">
            <x v="0"/>
          </reference>
          <reference field="7" count="1" selected="0">
            <x v="18"/>
          </reference>
          <reference field="8" count="1" selected="0">
            <x v="73"/>
          </reference>
          <reference field="15" count="3">
            <x v="245"/>
            <x v="246"/>
            <x v="313"/>
          </reference>
        </references>
      </pivotArea>
    </format>
    <format dxfId="4006">
      <pivotArea dataOnly="0" labelOnly="1" fieldPosition="0">
        <references count="5">
          <reference field="4" count="1" selected="0">
            <x v="5"/>
          </reference>
          <reference field="6" count="1" selected="0">
            <x v="0"/>
          </reference>
          <reference field="7" count="1" selected="0">
            <x v="18"/>
          </reference>
          <reference field="8" count="1" selected="0">
            <x v="74"/>
          </reference>
          <reference field="15" count="1">
            <x v="230"/>
          </reference>
        </references>
      </pivotArea>
    </format>
    <format dxfId="4005">
      <pivotArea dataOnly="0" labelOnly="1" fieldPosition="0">
        <references count="5">
          <reference field="4" count="1" selected="0">
            <x v="5"/>
          </reference>
          <reference field="6" count="1" selected="0">
            <x v="0"/>
          </reference>
          <reference field="7" count="1" selected="0">
            <x v="18"/>
          </reference>
          <reference field="8" count="1" selected="0">
            <x v="77"/>
          </reference>
          <reference field="15" count="2">
            <x v="276"/>
            <x v="277"/>
          </reference>
        </references>
      </pivotArea>
    </format>
    <format dxfId="4004">
      <pivotArea dataOnly="0" labelOnly="1" fieldPosition="0">
        <references count="5">
          <reference field="4" count="1" selected="0">
            <x v="5"/>
          </reference>
          <reference field="6" count="1" selected="0">
            <x v="0"/>
          </reference>
          <reference field="7" count="1" selected="0">
            <x v="22"/>
          </reference>
          <reference field="8" count="1" selected="0">
            <x v="94"/>
          </reference>
          <reference field="15" count="1">
            <x v="164"/>
          </reference>
        </references>
      </pivotArea>
    </format>
    <format dxfId="4003">
      <pivotArea dataOnly="0" labelOnly="1" fieldPosition="0">
        <references count="5">
          <reference field="4" count="1" selected="0">
            <x v="5"/>
          </reference>
          <reference field="6" count="1" selected="0">
            <x v="4"/>
          </reference>
          <reference field="7" count="1" selected="0">
            <x v="8"/>
          </reference>
          <reference field="8" count="1" selected="0">
            <x v="37"/>
          </reference>
          <reference field="15" count="1">
            <x v="222"/>
          </reference>
        </references>
      </pivotArea>
    </format>
    <format dxfId="4002">
      <pivotArea dataOnly="0" labelOnly="1" fieldPosition="0">
        <references count="5">
          <reference field="4" count="1" selected="0">
            <x v="6"/>
          </reference>
          <reference field="6" count="1" selected="0">
            <x v="1"/>
          </reference>
          <reference field="7" count="1" selected="0">
            <x v="24"/>
          </reference>
          <reference field="8" count="1" selected="0">
            <x v="105"/>
          </reference>
          <reference field="15" count="13">
            <x v="24"/>
            <x v="25"/>
            <x v="31"/>
            <x v="37"/>
            <x v="44"/>
            <x v="45"/>
            <x v="48"/>
            <x v="49"/>
            <x v="50"/>
            <x v="56"/>
            <x v="66"/>
            <x v="100"/>
            <x v="101"/>
          </reference>
        </references>
      </pivotArea>
    </format>
    <format dxfId="4001">
      <pivotArea dataOnly="0" labelOnly="1" fieldPosition="0">
        <references count="5">
          <reference field="4" count="1" selected="0">
            <x v="6"/>
          </reference>
          <reference field="6" count="1" selected="0">
            <x v="1"/>
          </reference>
          <reference field="7" count="1" selected="0">
            <x v="24"/>
          </reference>
          <reference field="8" count="1" selected="0">
            <x v="107"/>
          </reference>
          <reference field="15" count="3">
            <x v="118"/>
            <x v="123"/>
            <x v="165"/>
          </reference>
        </references>
      </pivotArea>
    </format>
    <format dxfId="4000">
      <pivotArea dataOnly="0" labelOnly="1" fieldPosition="0">
        <references count="5">
          <reference field="4" count="1" selected="0">
            <x v="6"/>
          </reference>
          <reference field="6" count="1" selected="0">
            <x v="1"/>
          </reference>
          <reference field="7" count="1" selected="0">
            <x v="24"/>
          </reference>
          <reference field="8" count="1" selected="0">
            <x v="108"/>
          </reference>
          <reference field="15" count="2">
            <x v="97"/>
            <x v="119"/>
          </reference>
        </references>
      </pivotArea>
    </format>
    <format dxfId="3999">
      <pivotArea dataOnly="0" labelOnly="1" fieldPosition="0">
        <references count="5">
          <reference field="4" count="1" selected="0">
            <x v="6"/>
          </reference>
          <reference field="6" count="1" selected="0">
            <x v="1"/>
          </reference>
          <reference field="7" count="1" selected="0">
            <x v="24"/>
          </reference>
          <reference field="8" count="1" selected="0">
            <x v="109"/>
          </reference>
          <reference field="15" count="2">
            <x v="96"/>
            <x v="327"/>
          </reference>
        </references>
      </pivotArea>
    </format>
    <format dxfId="3998">
      <pivotArea dataOnly="0" labelOnly="1" fieldPosition="0">
        <references count="5">
          <reference field="4" count="1" selected="0">
            <x v="6"/>
          </reference>
          <reference field="6" count="1" selected="0">
            <x v="1"/>
          </reference>
          <reference field="7" count="1" selected="0">
            <x v="24"/>
          </reference>
          <reference field="8" count="1" selected="0">
            <x v="110"/>
          </reference>
          <reference field="15" count="2">
            <x v="115"/>
            <x v="324"/>
          </reference>
        </references>
      </pivotArea>
    </format>
    <format dxfId="3997">
      <pivotArea dataOnly="0" labelOnly="1" fieldPosition="0">
        <references count="5">
          <reference field="4" count="1" selected="0">
            <x v="6"/>
          </reference>
          <reference field="6" count="1" selected="0">
            <x v="1"/>
          </reference>
          <reference field="7" count="1" selected="0">
            <x v="24"/>
          </reference>
          <reference field="8" count="1" selected="0">
            <x v="111"/>
          </reference>
          <reference field="15" count="1">
            <x v="326"/>
          </reference>
        </references>
      </pivotArea>
    </format>
    <format dxfId="3996">
      <pivotArea dataOnly="0" labelOnly="1" fieldPosition="0">
        <references count="5">
          <reference field="4" count="1" selected="0">
            <x v="6"/>
          </reference>
          <reference field="6" count="1" selected="0">
            <x v="1"/>
          </reference>
          <reference field="7" count="1" selected="0">
            <x v="24"/>
          </reference>
          <reference field="8" count="1" selected="0">
            <x v="112"/>
          </reference>
          <reference field="15" count="5">
            <x v="80"/>
            <x v="120"/>
            <x v="121"/>
            <x v="122"/>
            <x v="135"/>
          </reference>
        </references>
      </pivotArea>
    </format>
    <format dxfId="3995">
      <pivotArea dataOnly="0" labelOnly="1" fieldPosition="0">
        <references count="5">
          <reference field="4" count="1" selected="0">
            <x v="6"/>
          </reference>
          <reference field="6" count="1" selected="0">
            <x v="1"/>
          </reference>
          <reference field="7" count="1" selected="0">
            <x v="24"/>
          </reference>
          <reference field="8" count="1" selected="0">
            <x v="113"/>
          </reference>
          <reference field="15" count="3">
            <x v="67"/>
            <x v="84"/>
            <x v="166"/>
          </reference>
        </references>
      </pivotArea>
    </format>
    <format dxfId="3994">
      <pivotArea dataOnly="0" labelOnly="1" fieldPosition="0">
        <references count="5">
          <reference field="4" count="1" selected="0">
            <x v="7"/>
          </reference>
          <reference field="6" count="1" selected="0">
            <x v="0"/>
          </reference>
          <reference field="7" count="1" selected="0">
            <x v="16"/>
          </reference>
          <reference field="8" count="1" selected="0">
            <x v="64"/>
          </reference>
          <reference field="15" count="3">
            <x v="274"/>
            <x v="278"/>
            <x v="325"/>
          </reference>
        </references>
      </pivotArea>
    </format>
    <format dxfId="3993">
      <pivotArea dataOnly="0" labelOnly="1" fieldPosition="0">
        <references count="5">
          <reference field="4" count="1" selected="0">
            <x v="7"/>
          </reference>
          <reference field="6" count="1" selected="0">
            <x v="2"/>
          </reference>
          <reference field="7" count="1" selected="0">
            <x v="29"/>
          </reference>
          <reference field="8" count="1" selected="0">
            <x v="140"/>
          </reference>
          <reference field="15" count="1">
            <x v="53"/>
          </reference>
        </references>
      </pivotArea>
    </format>
    <format dxfId="3992">
      <pivotArea dataOnly="0" labelOnly="1" fieldPosition="0">
        <references count="5">
          <reference field="4" count="1" selected="0">
            <x v="7"/>
          </reference>
          <reference field="6" count="1" selected="0">
            <x v="2"/>
          </reference>
          <reference field="7" count="1" selected="0">
            <x v="29"/>
          </reference>
          <reference field="8" count="1" selected="0">
            <x v="141"/>
          </reference>
          <reference field="15" count="1">
            <x v="279"/>
          </reference>
        </references>
      </pivotArea>
    </format>
    <format dxfId="3991">
      <pivotArea dataOnly="0" labelOnly="1" fieldPosition="0">
        <references count="5">
          <reference field="4" count="1" selected="0">
            <x v="7"/>
          </reference>
          <reference field="6" count="1" selected="0">
            <x v="2"/>
          </reference>
          <reference field="7" count="1" selected="0">
            <x v="29"/>
          </reference>
          <reference field="8" count="1" selected="0">
            <x v="144"/>
          </reference>
          <reference field="15" count="1">
            <x v="52"/>
          </reference>
        </references>
      </pivotArea>
    </format>
    <format dxfId="3990">
      <pivotArea dataOnly="0" labelOnly="1" fieldPosition="0">
        <references count="5">
          <reference field="4" count="1" selected="0">
            <x v="7"/>
          </reference>
          <reference field="6" count="1" selected="0">
            <x v="2"/>
          </reference>
          <reference field="7" count="1" selected="0">
            <x v="29"/>
          </reference>
          <reference field="8" count="1" selected="0">
            <x v="145"/>
          </reference>
          <reference field="15" count="1">
            <x v="51"/>
          </reference>
        </references>
      </pivotArea>
    </format>
    <format dxfId="3989">
      <pivotArea dataOnly="0" labelOnly="1" fieldPosition="0">
        <references count="5">
          <reference field="4" count="1" selected="0">
            <x v="7"/>
          </reference>
          <reference field="6" count="1" selected="0">
            <x v="2"/>
          </reference>
          <reference field="7" count="1" selected="0">
            <x v="30"/>
          </reference>
          <reference field="8" count="1" selected="0">
            <x v="154"/>
          </reference>
          <reference field="15" count="1">
            <x v="275"/>
          </reference>
        </references>
      </pivotArea>
    </format>
    <format dxfId="3988">
      <pivotArea dataOnly="0" labelOnly="1" fieldPosition="0">
        <references count="5">
          <reference field="4" count="1" selected="0">
            <x v="7"/>
          </reference>
          <reference field="6" count="1" selected="0">
            <x v="3"/>
          </reference>
          <reference field="7" count="1" selected="0">
            <x v="6"/>
          </reference>
          <reference field="8" count="1" selected="0">
            <x v="28"/>
          </reference>
          <reference field="15" count="3">
            <x v="318"/>
            <x v="319"/>
            <x v="320"/>
          </reference>
        </references>
      </pivotArea>
    </format>
    <format dxfId="3987">
      <pivotArea dataOnly="0" labelOnly="1" fieldPosition="0">
        <references count="5">
          <reference field="4" count="1" selected="0">
            <x v="7"/>
          </reference>
          <reference field="6" count="1" selected="0">
            <x v="4"/>
          </reference>
          <reference field="7" count="1" selected="0">
            <x v="8"/>
          </reference>
          <reference field="8" count="1" selected="0">
            <x v="35"/>
          </reference>
          <reference field="15" count="1">
            <x v="337"/>
          </reference>
        </references>
      </pivotArea>
    </format>
    <format dxfId="3986">
      <pivotArea dataOnly="0" labelOnly="1" fieldPosition="0">
        <references count="5">
          <reference field="4" count="1" selected="0">
            <x v="7"/>
          </reference>
          <reference field="6" count="1" selected="0">
            <x v="4"/>
          </reference>
          <reference field="7" count="1" selected="0">
            <x v="8"/>
          </reference>
          <reference field="8" count="1" selected="0">
            <x v="36"/>
          </reference>
          <reference field="15" count="1">
            <x v="280"/>
          </reference>
        </references>
      </pivotArea>
    </format>
    <format dxfId="3985">
      <pivotArea dataOnly="0" labelOnly="1" fieldPosition="0">
        <references count="5">
          <reference field="4" count="1" selected="0">
            <x v="7"/>
          </reference>
          <reference field="6" count="1" selected="0">
            <x v="4"/>
          </reference>
          <reference field="7" count="1" selected="0">
            <x v="9"/>
          </reference>
          <reference field="8" count="1" selected="0">
            <x v="40"/>
          </reference>
          <reference field="15" count="3">
            <x v="311"/>
            <x v="312"/>
            <x v="334"/>
          </reference>
        </references>
      </pivotArea>
    </format>
    <format dxfId="3984">
      <pivotArea dataOnly="0" labelOnly="1" fieldPosition="0">
        <references count="5">
          <reference field="4" count="1" selected="0">
            <x v="7"/>
          </reference>
          <reference field="6" count="1" selected="0">
            <x v="4"/>
          </reference>
          <reference field="7" count="1" selected="0">
            <x v="9"/>
          </reference>
          <reference field="8" count="1" selected="0">
            <x v="41"/>
          </reference>
          <reference field="15" count="1">
            <x v="328"/>
          </reference>
        </references>
      </pivotArea>
    </format>
    <format dxfId="3983">
      <pivotArea dataOnly="0" labelOnly="1" fieldPosition="0">
        <references count="5">
          <reference field="4" count="1" selected="0">
            <x v="7"/>
          </reference>
          <reference field="6" count="1" selected="0">
            <x v="4"/>
          </reference>
          <reference field="7" count="1" selected="0">
            <x v="9"/>
          </reference>
          <reference field="8" count="1" selected="0">
            <x v="42"/>
          </reference>
          <reference field="15" count="1">
            <x v="329"/>
          </reference>
        </references>
      </pivotArea>
    </format>
    <format dxfId="3982">
      <pivotArea dataOnly="0" labelOnly="1" fieldPosition="0">
        <references count="5">
          <reference field="4" count="1" selected="0">
            <x v="7"/>
          </reference>
          <reference field="6" count="1" selected="0">
            <x v="4"/>
          </reference>
          <reference field="7" count="1" selected="0">
            <x v="9"/>
          </reference>
          <reference field="8" count="1" selected="0">
            <x v="43"/>
          </reference>
          <reference field="15" count="1">
            <x v="321"/>
          </reference>
        </references>
      </pivotArea>
    </format>
    <format dxfId="3981">
      <pivotArea dataOnly="0" labelOnly="1" fieldPosition="0">
        <references count="5">
          <reference field="4" count="1" selected="0">
            <x v="7"/>
          </reference>
          <reference field="6" count="1" selected="0">
            <x v="4"/>
          </reference>
          <reference field="7" count="1" selected="0">
            <x v="10"/>
          </reference>
          <reference field="8" count="1" selected="0">
            <x v="44"/>
          </reference>
          <reference field="15" count="2">
            <x v="57"/>
            <x v="58"/>
          </reference>
        </references>
      </pivotArea>
    </format>
    <format dxfId="3980">
      <pivotArea dataOnly="0" labelOnly="1" fieldPosition="0">
        <references count="5">
          <reference field="4" count="1" selected="0">
            <x v="7"/>
          </reference>
          <reference field="6" count="1" selected="0">
            <x v="4"/>
          </reference>
          <reference field="7" count="1" selected="0">
            <x v="10"/>
          </reference>
          <reference field="8" count="1" selected="0">
            <x v="45"/>
          </reference>
          <reference field="15" count="1">
            <x v="55"/>
          </reference>
        </references>
      </pivotArea>
    </format>
    <format dxfId="3979">
      <pivotArea dataOnly="0" labelOnly="1" fieldPosition="0">
        <references count="5">
          <reference field="4" count="1" selected="0">
            <x v="7"/>
          </reference>
          <reference field="6" count="1" selected="0">
            <x v="4"/>
          </reference>
          <reference field="7" count="1" selected="0">
            <x v="10"/>
          </reference>
          <reference field="8" count="1" selected="0">
            <x v="46"/>
          </reference>
          <reference field="15" count="1">
            <x v="59"/>
          </reference>
        </references>
      </pivotArea>
    </format>
    <format dxfId="3978">
      <pivotArea dataOnly="0" labelOnly="1" fieldPosition="0">
        <references count="5">
          <reference field="4" count="1" selected="0">
            <x v="7"/>
          </reference>
          <reference field="6" count="1" selected="0">
            <x v="4"/>
          </reference>
          <reference field="7" count="1" selected="0">
            <x v="10"/>
          </reference>
          <reference field="8" count="1" selected="0">
            <x v="47"/>
          </reference>
          <reference field="15" count="1">
            <x v="54"/>
          </reference>
        </references>
      </pivotArea>
    </format>
    <format dxfId="3977">
      <pivotArea dataOnly="0" labelOnly="1" fieldPosition="0">
        <references count="5">
          <reference field="4" count="1" selected="0">
            <x v="7"/>
          </reference>
          <reference field="6" count="1" selected="0">
            <x v="4"/>
          </reference>
          <reference field="7" count="1" selected="0">
            <x v="11"/>
          </reference>
          <reference field="8" count="1" selected="0">
            <x v="48"/>
          </reference>
          <reference field="15" count="1">
            <x v="88"/>
          </reference>
        </references>
      </pivotArea>
    </format>
    <format dxfId="3976">
      <pivotArea dataOnly="0" labelOnly="1" fieldPosition="0">
        <references count="5">
          <reference field="4" count="1" selected="0">
            <x v="7"/>
          </reference>
          <reference field="6" count="1" selected="0">
            <x v="4"/>
          </reference>
          <reference field="7" count="1" selected="0">
            <x v="11"/>
          </reference>
          <reference field="8" count="1" selected="0">
            <x v="49"/>
          </reference>
          <reference field="15" count="1">
            <x v="86"/>
          </reference>
        </references>
      </pivotArea>
    </format>
    <format dxfId="3975">
      <pivotArea dataOnly="0" labelOnly="1" fieldPosition="0">
        <references count="5">
          <reference field="4" count="1" selected="0">
            <x v="7"/>
          </reference>
          <reference field="6" count="1" selected="0">
            <x v="4"/>
          </reference>
          <reference field="7" count="1" selected="0">
            <x v="12"/>
          </reference>
          <reference field="8" count="1" selected="0">
            <x v="50"/>
          </reference>
          <reference field="15" count="3">
            <x v="64"/>
            <x v="65"/>
            <x v="136"/>
          </reference>
        </references>
      </pivotArea>
    </format>
    <format dxfId="3974">
      <pivotArea dataOnly="0" labelOnly="1" fieldPosition="0">
        <references count="5">
          <reference field="4" count="1" selected="0">
            <x v="7"/>
          </reference>
          <reference field="6" count="1" selected="0">
            <x v="4"/>
          </reference>
          <reference field="7" count="1" selected="0">
            <x v="13"/>
          </reference>
          <reference field="8" count="1" selected="0">
            <x v="51"/>
          </reference>
          <reference field="15" count="1">
            <x v="307"/>
          </reference>
        </references>
      </pivotArea>
    </format>
    <format dxfId="3973">
      <pivotArea dataOnly="0" labelOnly="1" fieldPosition="0">
        <references count="5">
          <reference field="4" count="1" selected="0">
            <x v="7"/>
          </reference>
          <reference field="6" count="1" selected="0">
            <x v="4"/>
          </reference>
          <reference field="7" count="1" selected="0">
            <x v="13"/>
          </reference>
          <reference field="8" count="1" selected="0">
            <x v="52"/>
          </reference>
          <reference field="15" count="1">
            <x v="309"/>
          </reference>
        </references>
      </pivotArea>
    </format>
    <format dxfId="3972">
      <pivotArea dataOnly="0" labelOnly="1" fieldPosition="0">
        <references count="5">
          <reference field="4" count="1" selected="0">
            <x v="7"/>
          </reference>
          <reference field="6" count="1" selected="0">
            <x v="4"/>
          </reference>
          <reference field="7" count="1" selected="0">
            <x v="13"/>
          </reference>
          <reference field="8" count="1" selected="0">
            <x v="53"/>
          </reference>
          <reference field="15" count="1">
            <x v="308"/>
          </reference>
        </references>
      </pivotArea>
    </format>
    <format dxfId="3971">
      <pivotArea dataOnly="0" labelOnly="1" fieldPosition="0">
        <references count="5">
          <reference field="4" count="1" selected="0">
            <x v="7"/>
          </reference>
          <reference field="6" count="1" selected="0">
            <x v="4"/>
          </reference>
          <reference field="7" count="1" selected="0">
            <x v="14"/>
          </reference>
          <reference field="8" count="1" selected="0">
            <x v="54"/>
          </reference>
          <reference field="15" count="1">
            <x v="281"/>
          </reference>
        </references>
      </pivotArea>
    </format>
    <format dxfId="3970">
      <pivotArea dataOnly="0" labelOnly="1" fieldPosition="0">
        <references count="5">
          <reference field="4" count="1" selected="0">
            <x v="7"/>
          </reference>
          <reference field="6" count="1" selected="0">
            <x v="4"/>
          </reference>
          <reference field="7" count="1" selected="0">
            <x v="14"/>
          </reference>
          <reference field="8" count="1" selected="0">
            <x v="55"/>
          </reference>
          <reference field="15" count="1">
            <x v="138"/>
          </reference>
        </references>
      </pivotArea>
    </format>
    <format dxfId="3969">
      <pivotArea dataOnly="0" labelOnly="1" fieldPosition="0">
        <references count="5">
          <reference field="4" count="1" selected="0">
            <x v="7"/>
          </reference>
          <reference field="6" count="1" selected="0">
            <x v="4"/>
          </reference>
          <reference field="7" count="1" selected="0">
            <x v="15"/>
          </reference>
          <reference field="8" count="1" selected="0">
            <x v="56"/>
          </reference>
          <reference field="15" count="2">
            <x v="335"/>
            <x v="336"/>
          </reference>
        </references>
      </pivotArea>
    </format>
    <format dxfId="3968">
      <pivotArea dataOnly="0" labelOnly="1" fieldPosition="0">
        <references count="5">
          <reference field="4" count="1" selected="0">
            <x v="8"/>
          </reference>
          <reference field="6" count="1" selected="0">
            <x v="0"/>
          </reference>
          <reference field="7" count="1" selected="0">
            <x v="18"/>
          </reference>
          <reference field="8" count="1" selected="0">
            <x v="77"/>
          </reference>
          <reference field="15" count="1">
            <x v="290"/>
          </reference>
        </references>
      </pivotArea>
    </format>
    <format dxfId="3967">
      <pivotArea dataOnly="0" labelOnly="1" fieldPosition="0">
        <references count="5">
          <reference field="4" count="1" selected="0">
            <x v="8"/>
          </reference>
          <reference field="6" count="1" selected="0">
            <x v="0"/>
          </reference>
          <reference field="7" count="1" selected="0">
            <x v="22"/>
          </reference>
          <reference field="8" count="1" selected="0">
            <x v="92"/>
          </reference>
          <reference field="15" count="4">
            <x v="130"/>
            <x v="359"/>
            <x v="360"/>
            <x v="361"/>
          </reference>
        </references>
      </pivotArea>
    </format>
    <format dxfId="3966">
      <pivotArea dataOnly="0" labelOnly="1" fieldPosition="0">
        <references count="5">
          <reference field="4" count="1" selected="0">
            <x v="8"/>
          </reference>
          <reference field="6" count="1" selected="0">
            <x v="0"/>
          </reference>
          <reference field="7" count="1" selected="0">
            <x v="22"/>
          </reference>
          <reference field="8" count="1" selected="0">
            <x v="93"/>
          </reference>
          <reference field="15" count="1">
            <x v="369"/>
          </reference>
        </references>
      </pivotArea>
    </format>
    <format dxfId="3965">
      <pivotArea dataOnly="0" labelOnly="1" fieldPosition="0">
        <references count="5">
          <reference field="4" count="1" selected="0">
            <x v="8"/>
          </reference>
          <reference field="6" count="1" selected="0">
            <x v="0"/>
          </reference>
          <reference field="7" count="1" selected="0">
            <x v="22"/>
          </reference>
          <reference field="8" count="1" selected="0">
            <x v="94"/>
          </reference>
          <reference field="15" count="1">
            <x v="273"/>
          </reference>
        </references>
      </pivotArea>
    </format>
    <format dxfId="3964">
      <pivotArea dataOnly="0" labelOnly="1" fieldPosition="0">
        <references count="5">
          <reference field="4" count="1" selected="0">
            <x v="8"/>
          </reference>
          <reference field="6" count="1" selected="0">
            <x v="1"/>
          </reference>
          <reference field="7" count="1" selected="0">
            <x v="28"/>
          </reference>
          <reference field="8" count="1" selected="0">
            <x v="138"/>
          </reference>
          <reference field="15" count="3">
            <x v="270"/>
            <x v="343"/>
            <x v="355"/>
          </reference>
        </references>
      </pivotArea>
    </format>
    <format dxfId="3963">
      <pivotArea dataOnly="0" labelOnly="1" fieldPosition="0">
        <references count="5">
          <reference field="4" count="1" selected="0">
            <x v="8"/>
          </reference>
          <reference field="6" count="1" selected="0">
            <x v="1"/>
          </reference>
          <reference field="7" count="1" selected="0">
            <x v="28"/>
          </reference>
          <reference field="8" count="1" selected="0">
            <x v="139"/>
          </reference>
          <reference field="15" count="1">
            <x v="147"/>
          </reference>
        </references>
      </pivotArea>
    </format>
    <format dxfId="3962">
      <pivotArea dataOnly="0" labelOnly="1" fieldPosition="0">
        <references count="5">
          <reference field="4" count="1" selected="0">
            <x v="8"/>
          </reference>
          <reference field="6" count="1" selected="0">
            <x v="2"/>
          </reference>
          <reference field="7" count="1" selected="0">
            <x v="32"/>
          </reference>
          <reference field="8" count="1" selected="0">
            <x v="158"/>
          </reference>
          <reference field="15" count="1">
            <x v="344"/>
          </reference>
        </references>
      </pivotArea>
    </format>
    <format dxfId="3961">
      <pivotArea dataOnly="0" labelOnly="1" fieldPosition="0">
        <references count="5">
          <reference field="4" count="1" selected="0">
            <x v="8"/>
          </reference>
          <reference field="6" count="1" selected="0">
            <x v="2"/>
          </reference>
          <reference field="7" count="1" selected="0">
            <x v="32"/>
          </reference>
          <reference field="8" count="1" selected="0">
            <x v="159"/>
          </reference>
          <reference field="15" count="1">
            <x v="137"/>
          </reference>
        </references>
      </pivotArea>
    </format>
    <format dxfId="3960">
      <pivotArea dataOnly="0" labelOnly="1" fieldPosition="0">
        <references count="5">
          <reference field="4" count="1" selected="0">
            <x v="8"/>
          </reference>
          <reference field="6" count="1" selected="0">
            <x v="3"/>
          </reference>
          <reference field="7" count="1" selected="0">
            <x v="6"/>
          </reference>
          <reference field="8" count="1" selected="0">
            <x v="29"/>
          </reference>
          <reference field="15" count="4">
            <x v="145"/>
            <x v="146"/>
            <x v="356"/>
            <x v="357"/>
          </reference>
        </references>
      </pivotArea>
    </format>
    <format dxfId="3959">
      <pivotArea dataOnly="0" labelOnly="1" fieldPosition="0">
        <references count="5">
          <reference field="4" count="1" selected="0">
            <x v="8"/>
          </reference>
          <reference field="6" count="1" selected="0">
            <x v="3"/>
          </reference>
          <reference field="7" count="1" selected="0">
            <x v="6"/>
          </reference>
          <reference field="8" count="1" selected="0">
            <x v="30"/>
          </reference>
          <reference field="15" count="2">
            <x v="267"/>
            <x v="268"/>
          </reference>
        </references>
      </pivotArea>
    </format>
    <format dxfId="3958">
      <pivotArea dataOnly="0" labelOnly="1" fieldPosition="0">
        <references count="5">
          <reference field="4" count="1" selected="0">
            <x v="9"/>
          </reference>
          <reference field="6" count="1" selected="0">
            <x v="1"/>
          </reference>
          <reference field="7" count="1" selected="0">
            <x v="25"/>
          </reference>
          <reference field="8" count="1" selected="0">
            <x v="115"/>
          </reference>
          <reference field="15" count="13">
            <x v="35"/>
            <x v="36"/>
            <x v="63"/>
            <x v="72"/>
            <x v="77"/>
            <x v="238"/>
            <x v="241"/>
            <x v="242"/>
            <x v="243"/>
            <x v="247"/>
            <x v="248"/>
            <x v="260"/>
            <x v="262"/>
          </reference>
        </references>
      </pivotArea>
    </format>
    <format dxfId="3957">
      <pivotArea dataOnly="0" labelOnly="1" fieldPosition="0">
        <references count="5">
          <reference field="4" count="1" selected="0">
            <x v="9"/>
          </reference>
          <reference field="6" count="1" selected="0">
            <x v="1"/>
          </reference>
          <reference field="7" count="1" selected="0">
            <x v="25"/>
          </reference>
          <reference field="8" count="1" selected="0">
            <x v="116"/>
          </reference>
          <reference field="15" count="1">
            <x v="61"/>
          </reference>
        </references>
      </pivotArea>
    </format>
    <format dxfId="3956">
      <pivotArea dataOnly="0" labelOnly="1" fieldPosition="0">
        <references count="5">
          <reference field="4" count="1" selected="0">
            <x v="9"/>
          </reference>
          <reference field="6" count="1" selected="0">
            <x v="1"/>
          </reference>
          <reference field="7" count="1" selected="0">
            <x v="25"/>
          </reference>
          <reference field="8" count="1" selected="0">
            <x v="117"/>
          </reference>
          <reference field="15" count="2">
            <x v="92"/>
            <x v="249"/>
          </reference>
        </references>
      </pivotArea>
    </format>
    <format dxfId="3955">
      <pivotArea dataOnly="0" labelOnly="1" fieldPosition="0">
        <references count="5">
          <reference field="4" count="1" selected="0">
            <x v="9"/>
          </reference>
          <reference field="6" count="1" selected="0">
            <x v="1"/>
          </reference>
          <reference field="7" count="1" selected="0">
            <x v="25"/>
          </reference>
          <reference field="8" count="1" selected="0">
            <x v="118"/>
          </reference>
          <reference field="15" count="3">
            <x v="71"/>
            <x v="87"/>
            <x v="91"/>
          </reference>
        </references>
      </pivotArea>
    </format>
    <format dxfId="3954">
      <pivotArea dataOnly="0" labelOnly="1" fieldPosition="0">
        <references count="5">
          <reference field="4" count="1" selected="0">
            <x v="9"/>
          </reference>
          <reference field="6" count="1" selected="0">
            <x v="1"/>
          </reference>
          <reference field="7" count="1" selected="0">
            <x v="25"/>
          </reference>
          <reference field="8" count="1" selected="0">
            <x v="119"/>
          </reference>
          <reference field="15" count="4">
            <x v="62"/>
            <x v="68"/>
            <x v="69"/>
            <x v="70"/>
          </reference>
        </references>
      </pivotArea>
    </format>
    <format dxfId="3953">
      <pivotArea dataOnly="0" labelOnly="1" fieldPosition="0">
        <references count="5">
          <reference field="4" count="1" selected="0">
            <x v="9"/>
          </reference>
          <reference field="6" count="1" selected="0">
            <x v="1"/>
          </reference>
          <reference field="7" count="1" selected="0">
            <x v="25"/>
          </reference>
          <reference field="8" count="1" selected="0">
            <x v="120"/>
          </reference>
          <reference field="15" count="1">
            <x v="85"/>
          </reference>
        </references>
      </pivotArea>
    </format>
    <format dxfId="3952">
      <pivotArea dataOnly="0" labelOnly="1" fieldPosition="0">
        <references count="5">
          <reference field="4" count="1" selected="0">
            <x v="9"/>
          </reference>
          <reference field="6" count="1" selected="0">
            <x v="1"/>
          </reference>
          <reference field="7" count="1" selected="0">
            <x v="25"/>
          </reference>
          <reference field="8" count="1" selected="0">
            <x v="121"/>
          </reference>
          <reference field="15" count="2">
            <x v="41"/>
            <x v="78"/>
          </reference>
        </references>
      </pivotArea>
    </format>
    <format dxfId="3951">
      <pivotArea dataOnly="0" labelOnly="1" fieldPosition="0">
        <references count="5">
          <reference field="4" count="1" selected="0">
            <x v="9"/>
          </reference>
          <reference field="6" count="1" selected="0">
            <x v="1"/>
          </reference>
          <reference field="7" count="1" selected="0">
            <x v="25"/>
          </reference>
          <reference field="8" count="1" selected="0">
            <x v="122"/>
          </reference>
          <reference field="15" count="2">
            <x v="38"/>
            <x v="39"/>
          </reference>
        </references>
      </pivotArea>
    </format>
    <format dxfId="3950">
      <pivotArea dataOnly="0" labelOnly="1" fieldPosition="0">
        <references count="5">
          <reference field="4" count="1" selected="0">
            <x v="9"/>
          </reference>
          <reference field="6" count="1" selected="0">
            <x v="1"/>
          </reference>
          <reference field="7" count="1" selected="0">
            <x v="25"/>
          </reference>
          <reference field="8" count="1" selected="0">
            <x v="123"/>
          </reference>
          <reference field="15" count="7">
            <x v="32"/>
            <x v="33"/>
            <x v="60"/>
            <x v="82"/>
            <x v="83"/>
            <x v="89"/>
            <x v="90"/>
          </reference>
        </references>
      </pivotArea>
    </format>
    <format dxfId="3949">
      <pivotArea dataOnly="0" labelOnly="1" fieldPosition="0">
        <references count="5">
          <reference field="4" count="1" selected="0">
            <x v="9"/>
          </reference>
          <reference field="6" count="1" selected="0">
            <x v="1"/>
          </reference>
          <reference field="7" count="1" selected="0">
            <x v="25"/>
          </reference>
          <reference field="8" count="1" selected="0">
            <x v="124"/>
          </reference>
          <reference field="15" count="1">
            <x v="261"/>
          </reference>
        </references>
      </pivotArea>
    </format>
    <format dxfId="3948">
      <pivotArea dataOnly="0" labelOnly="1" fieldPosition="0">
        <references count="5">
          <reference field="4" count="1" selected="0">
            <x v="10"/>
          </reference>
          <reference field="6" count="1" selected="0">
            <x v="3"/>
          </reference>
          <reference field="7" count="1" selected="0">
            <x v="6"/>
          </reference>
          <reference field="8" count="1" selected="0">
            <x v="29"/>
          </reference>
          <reference field="15" count="21">
            <x v="2"/>
            <x v="3"/>
            <x v="5"/>
            <x v="152"/>
            <x v="153"/>
            <x v="154"/>
            <x v="155"/>
            <x v="156"/>
            <x v="157"/>
            <x v="158"/>
            <x v="159"/>
            <x v="160"/>
            <x v="161"/>
            <x v="162"/>
            <x v="163"/>
            <x v="189"/>
            <x v="190"/>
            <x v="191"/>
            <x v="192"/>
            <x v="193"/>
            <x v="395"/>
          </reference>
        </references>
      </pivotArea>
    </format>
    <format dxfId="3947">
      <pivotArea dataOnly="0" labelOnly="1" fieldPosition="0">
        <references count="5">
          <reference field="4" count="1" selected="0">
            <x v="11"/>
          </reference>
          <reference field="6" count="1" selected="0">
            <x v="0"/>
          </reference>
          <reference field="7" count="1" selected="0">
            <x v="17"/>
          </reference>
          <reference field="8" count="1" selected="0">
            <x v="70"/>
          </reference>
          <reference field="15" count="4">
            <x v="345"/>
            <x v="346"/>
            <x v="347"/>
            <x v="351"/>
          </reference>
        </references>
      </pivotArea>
    </format>
    <format dxfId="3946">
      <pivotArea dataOnly="0" labelOnly="1" fieldPosition="0">
        <references count="5">
          <reference field="4" count="1" selected="0">
            <x v="11"/>
          </reference>
          <reference field="6" count="1" selected="0">
            <x v="0"/>
          </reference>
          <reference field="7" count="1" selected="0">
            <x v="17"/>
          </reference>
          <reference field="8" count="1" selected="0">
            <x v="71"/>
          </reference>
          <reference field="15" count="3">
            <x v="348"/>
            <x v="352"/>
            <x v="353"/>
          </reference>
        </references>
      </pivotArea>
    </format>
    <format dxfId="3945">
      <pivotArea dataOnly="0" labelOnly="1" fieldPosition="0">
        <references count="5">
          <reference field="4" count="1" selected="0">
            <x v="11"/>
          </reference>
          <reference field="6" count="1" selected="0">
            <x v="0"/>
          </reference>
          <reference field="7" count="1" selected="0">
            <x v="17"/>
          </reference>
          <reference field="8" count="1" selected="0">
            <x v="72"/>
          </reference>
          <reference field="15" count="3">
            <x v="143"/>
            <x v="349"/>
            <x v="350"/>
          </reference>
        </references>
      </pivotArea>
    </format>
    <format dxfId="3944">
      <pivotArea dataOnly="0" labelOnly="1" fieldPosition="0">
        <references count="5">
          <reference field="4" count="1" selected="0">
            <x v="12"/>
          </reference>
          <reference field="6" count="1" selected="0">
            <x v="0"/>
          </reference>
          <reference field="7" count="1" selected="0">
            <x v="18"/>
          </reference>
          <reference field="8" count="1" selected="0">
            <x v="74"/>
          </reference>
          <reference field="15" count="2">
            <x v="113"/>
            <x v="114"/>
          </reference>
        </references>
      </pivotArea>
    </format>
    <format dxfId="3943">
      <pivotArea dataOnly="0" labelOnly="1" fieldPosition="0">
        <references count="5">
          <reference field="4" count="1" selected="0">
            <x v="12"/>
          </reference>
          <reference field="6" count="1" selected="0">
            <x v="0"/>
          </reference>
          <reference field="7" count="1" selected="0">
            <x v="18"/>
          </reference>
          <reference field="8" count="1" selected="0">
            <x v="75"/>
          </reference>
          <reference field="15" count="1">
            <x v="116"/>
          </reference>
        </references>
      </pivotArea>
    </format>
    <format dxfId="3942">
      <pivotArea dataOnly="0" labelOnly="1" fieldPosition="0">
        <references count="5">
          <reference field="4" count="1" selected="0">
            <x v="12"/>
          </reference>
          <reference field="6" count="1" selected="0">
            <x v="0"/>
          </reference>
          <reference field="7" count="1" selected="0">
            <x v="18"/>
          </reference>
          <reference field="8" count="1" selected="0">
            <x v="76"/>
          </reference>
          <reference field="15" count="1">
            <x v="244"/>
          </reference>
        </references>
      </pivotArea>
    </format>
    <format dxfId="3941">
      <pivotArea dataOnly="0" labelOnly="1" fieldPosition="0">
        <references count="5">
          <reference field="4" count="1" selected="0">
            <x v="13"/>
          </reference>
          <reference field="6" count="1" selected="0">
            <x v="3"/>
          </reference>
          <reference field="7" count="1" selected="0">
            <x v="1"/>
          </reference>
          <reference field="8" count="1" selected="0">
            <x v="6"/>
          </reference>
          <reference field="15" count="1">
            <x v="340"/>
          </reference>
        </references>
      </pivotArea>
    </format>
    <format dxfId="3940">
      <pivotArea dataOnly="0" labelOnly="1" fieldPosition="0">
        <references count="5">
          <reference field="4" count="1" selected="0">
            <x v="13"/>
          </reference>
          <reference field="6" count="1" selected="0">
            <x v="3"/>
          </reference>
          <reference field="7" count="1" selected="0">
            <x v="5"/>
          </reference>
          <reference field="8" count="1" selected="0">
            <x v="22"/>
          </reference>
          <reference field="15" count="1">
            <x v="333"/>
          </reference>
        </references>
      </pivotArea>
    </format>
    <format dxfId="3939">
      <pivotArea dataOnly="0" labelOnly="1" fieldPosition="0">
        <references count="5">
          <reference field="4" count="1" selected="0">
            <x v="13"/>
          </reference>
          <reference field="6" count="1" selected="0">
            <x v="3"/>
          </reference>
          <reference field="7" count="1" selected="0">
            <x v="5"/>
          </reference>
          <reference field="8" count="1" selected="0">
            <x v="23"/>
          </reference>
          <reference field="15" count="1">
            <x v="332"/>
          </reference>
        </references>
      </pivotArea>
    </format>
    <format dxfId="3938">
      <pivotArea dataOnly="0" labelOnly="1" fieldPosition="0">
        <references count="5">
          <reference field="4" count="1" selected="0">
            <x v="13"/>
          </reference>
          <reference field="6" count="1" selected="0">
            <x v="3"/>
          </reference>
          <reference field="7" count="1" selected="0">
            <x v="5"/>
          </reference>
          <reference field="8" count="1" selected="0">
            <x v="24"/>
          </reference>
          <reference field="15" count="1">
            <x v="339"/>
          </reference>
        </references>
      </pivotArea>
    </format>
    <format dxfId="3937">
      <pivotArea dataOnly="0" labelOnly="1" fieldPosition="0">
        <references count="5">
          <reference field="4" count="1" selected="0">
            <x v="13"/>
          </reference>
          <reference field="6" count="1" selected="0">
            <x v="3"/>
          </reference>
          <reference field="7" count="1" selected="0">
            <x v="5"/>
          </reference>
          <reference field="8" count="1" selected="0">
            <x v="25"/>
          </reference>
          <reference field="15" count="1">
            <x v="342"/>
          </reference>
        </references>
      </pivotArea>
    </format>
    <format dxfId="3936">
      <pivotArea dataOnly="0" labelOnly="1" fieldPosition="0">
        <references count="5">
          <reference field="4" count="1" selected="0">
            <x v="13"/>
          </reference>
          <reference field="6" count="1" selected="0">
            <x v="3"/>
          </reference>
          <reference field="7" count="1" selected="0">
            <x v="5"/>
          </reference>
          <reference field="8" count="1" selected="0">
            <x v="26"/>
          </reference>
          <reference field="15" count="1">
            <x v="338"/>
          </reference>
        </references>
      </pivotArea>
    </format>
    <format dxfId="3935">
      <pivotArea dataOnly="0" labelOnly="1" fieldPosition="0">
        <references count="5">
          <reference field="4" count="1" selected="0">
            <x v="13"/>
          </reference>
          <reference field="6" count="1" selected="0">
            <x v="3"/>
          </reference>
          <reference field="7" count="1" selected="0">
            <x v="5"/>
          </reference>
          <reference field="8" count="1" selected="0">
            <x v="27"/>
          </reference>
          <reference field="15" count="1">
            <x v="341"/>
          </reference>
        </references>
      </pivotArea>
    </format>
    <format dxfId="3934">
      <pivotArea dataOnly="0" labelOnly="1" fieldPosition="0">
        <references count="5">
          <reference field="4" count="1" selected="0">
            <x v="14"/>
          </reference>
          <reference field="6" count="1" selected="0">
            <x v="1"/>
          </reference>
          <reference field="7" count="1" selected="0">
            <x v="26"/>
          </reference>
          <reference field="8" count="1" selected="0">
            <x v="125"/>
          </reference>
          <reference field="15" count="4">
            <x v="26"/>
            <x v="27"/>
            <x v="28"/>
            <x v="99"/>
          </reference>
        </references>
      </pivotArea>
    </format>
    <format dxfId="3933">
      <pivotArea dataOnly="0" labelOnly="1" fieldPosition="0">
        <references count="5">
          <reference field="4" count="1" selected="0">
            <x v="14"/>
          </reference>
          <reference field="6" count="1" selected="0">
            <x v="1"/>
          </reference>
          <reference field="7" count="1" selected="0">
            <x v="26"/>
          </reference>
          <reference field="8" count="1" selected="0">
            <x v="126"/>
          </reference>
          <reference field="15" count="1">
            <x v="19"/>
          </reference>
        </references>
      </pivotArea>
    </format>
    <format dxfId="3932">
      <pivotArea dataOnly="0" labelOnly="1" fieldPosition="0">
        <references count="5">
          <reference field="4" count="1" selected="0">
            <x v="14"/>
          </reference>
          <reference field="6" count="1" selected="0">
            <x v="1"/>
          </reference>
          <reference field="7" count="1" selected="0">
            <x v="26"/>
          </reference>
          <reference field="8" count="1" selected="0">
            <x v="127"/>
          </reference>
          <reference field="15" count="2">
            <x v="150"/>
            <x v="151"/>
          </reference>
        </references>
      </pivotArea>
    </format>
    <format dxfId="3931">
      <pivotArea dataOnly="0" labelOnly="1" fieldPosition="0">
        <references count="5">
          <reference field="4" count="1" selected="0">
            <x v="14"/>
          </reference>
          <reference field="6" count="1" selected="0">
            <x v="1"/>
          </reference>
          <reference field="7" count="1" selected="0">
            <x v="26"/>
          </reference>
          <reference field="8" count="1" selected="0">
            <x v="128"/>
          </reference>
          <reference field="15" count="2">
            <x v="29"/>
            <x v="30"/>
          </reference>
        </references>
      </pivotArea>
    </format>
    <format dxfId="3930">
      <pivotArea dataOnly="0" labelOnly="1" fieldPosition="0">
        <references count="5">
          <reference field="4" count="1" selected="0">
            <x v="14"/>
          </reference>
          <reference field="6" count="1" selected="0">
            <x v="1"/>
          </reference>
          <reference field="7" count="1" selected="0">
            <x v="26"/>
          </reference>
          <reference field="8" count="1" selected="0">
            <x v="129"/>
          </reference>
          <reference field="15" count="2">
            <x v="330"/>
            <x v="331"/>
          </reference>
        </references>
      </pivotArea>
    </format>
    <format dxfId="3929">
      <pivotArea dataOnly="0" labelOnly="1" fieldPosition="0">
        <references count="5">
          <reference field="4" count="1" selected="0">
            <x v="14"/>
          </reference>
          <reference field="6" count="1" selected="0">
            <x v="1"/>
          </reference>
          <reference field="7" count="1" selected="0">
            <x v="26"/>
          </reference>
          <reference field="8" count="1" selected="0">
            <x v="130"/>
          </reference>
          <reference field="15" count="2">
            <x v="367"/>
            <x v="368"/>
          </reference>
        </references>
      </pivotArea>
    </format>
    <format dxfId="3928">
      <pivotArea dataOnly="0" labelOnly="1" fieldPosition="0">
        <references count="5">
          <reference field="4" count="1" selected="0">
            <x v="14"/>
          </reference>
          <reference field="6" count="1" selected="0">
            <x v="1"/>
          </reference>
          <reference field="7" count="1" selected="0">
            <x v="26"/>
          </reference>
          <reference field="8" count="1" selected="0">
            <x v="131"/>
          </reference>
          <reference field="15" count="3">
            <x v="14"/>
            <x v="15"/>
            <x v="16"/>
          </reference>
        </references>
      </pivotArea>
    </format>
    <format dxfId="3927">
      <pivotArea dataOnly="0" labelOnly="1" fieldPosition="0">
        <references count="5">
          <reference field="4" count="1" selected="0">
            <x v="15"/>
          </reference>
          <reference field="6" count="1" selected="0">
            <x v="0"/>
          </reference>
          <reference field="7" count="1" selected="0">
            <x v="20"/>
          </reference>
          <reference field="8" count="1" selected="0">
            <x v="82"/>
          </reference>
          <reference field="15" count="2">
            <x v="73"/>
            <x v="74"/>
          </reference>
        </references>
      </pivotArea>
    </format>
    <format dxfId="3926">
      <pivotArea dataOnly="0" labelOnly="1" fieldPosition="0">
        <references count="5">
          <reference field="4" count="1" selected="0">
            <x v="15"/>
          </reference>
          <reference field="6" count="1" selected="0">
            <x v="0"/>
          </reference>
          <reference field="7" count="1" selected="0">
            <x v="20"/>
          </reference>
          <reference field="8" count="1" selected="0">
            <x v="83"/>
          </reference>
          <reference field="15" count="1">
            <x v="75"/>
          </reference>
        </references>
      </pivotArea>
    </format>
    <format dxfId="3925">
      <pivotArea dataOnly="0" labelOnly="1" fieldPosition="0">
        <references count="5">
          <reference field="4" count="1" selected="0">
            <x v="15"/>
          </reference>
          <reference field="6" count="1" selected="0">
            <x v="0"/>
          </reference>
          <reference field="7" count="1" selected="0">
            <x v="20"/>
          </reference>
          <reference field="8" count="1" selected="0">
            <x v="84"/>
          </reference>
          <reference field="15" count="1">
            <x v="76"/>
          </reference>
        </references>
      </pivotArea>
    </format>
    <format dxfId="3924">
      <pivotArea dataOnly="0" labelOnly="1" fieldPosition="0">
        <references count="5">
          <reference field="4" count="1" selected="0">
            <x v="15"/>
          </reference>
          <reference field="6" count="1" selected="0">
            <x v="0"/>
          </reference>
          <reference field="7" count="1" selected="0">
            <x v="20"/>
          </reference>
          <reference field="8" count="1" selected="0">
            <x v="85"/>
          </reference>
          <reference field="15" count="1">
            <x v="259"/>
          </reference>
        </references>
      </pivotArea>
    </format>
    <format dxfId="3923">
      <pivotArea dataOnly="0" labelOnly="1" fieldPosition="0">
        <references count="5">
          <reference field="4" count="1" selected="0">
            <x v="15"/>
          </reference>
          <reference field="6" count="1" selected="0">
            <x v="0"/>
          </reference>
          <reference field="7" count="1" selected="0">
            <x v="20"/>
          </reference>
          <reference field="8" count="1" selected="0">
            <x v="86"/>
          </reference>
          <reference field="15" count="3">
            <x v="132"/>
            <x v="133"/>
            <x v="134"/>
          </reference>
        </references>
      </pivotArea>
    </format>
    <format dxfId="3922">
      <pivotArea dataOnly="0" labelOnly="1" fieldPosition="0">
        <references count="5">
          <reference field="4" count="1" selected="0">
            <x v="16"/>
          </reference>
          <reference field="6" count="1" selected="0">
            <x v="1"/>
          </reference>
          <reference field="7" count="1" selected="0">
            <x v="27"/>
          </reference>
          <reference field="8" count="1" selected="0">
            <x v="132"/>
          </reference>
          <reference field="15" count="1">
            <x v="20"/>
          </reference>
        </references>
      </pivotArea>
    </format>
    <format dxfId="3921">
      <pivotArea dataOnly="0" labelOnly="1" fieldPosition="0">
        <references count="5">
          <reference field="4" count="1" selected="0">
            <x v="16"/>
          </reference>
          <reference field="6" count="1" selected="0">
            <x v="1"/>
          </reference>
          <reference field="7" count="1" selected="0">
            <x v="27"/>
          </reference>
          <reference field="8" count="1" selected="0">
            <x v="133"/>
          </reference>
          <reference field="15" count="3">
            <x v="21"/>
            <x v="22"/>
            <x v="23"/>
          </reference>
        </references>
      </pivotArea>
    </format>
    <format dxfId="3920">
      <pivotArea dataOnly="0" labelOnly="1" fieldPosition="0">
        <references count="5">
          <reference field="4" count="1" selected="0">
            <x v="16"/>
          </reference>
          <reference field="6" count="1" selected="0">
            <x v="1"/>
          </reference>
          <reference field="7" count="1" selected="0">
            <x v="27"/>
          </reference>
          <reference field="8" count="1" selected="0">
            <x v="134"/>
          </reference>
          <reference field="15" count="2">
            <x v="149"/>
            <x v="354"/>
          </reference>
        </references>
      </pivotArea>
    </format>
    <format dxfId="3919">
      <pivotArea dataOnly="0" labelOnly="1" fieldPosition="0">
        <references count="5">
          <reference field="4" count="1" selected="0">
            <x v="16"/>
          </reference>
          <reference field="6" count="1" selected="0">
            <x v="1"/>
          </reference>
          <reference field="7" count="1" selected="0">
            <x v="27"/>
          </reference>
          <reference field="8" count="1" selected="0">
            <x v="135"/>
          </reference>
          <reference field="15" count="2">
            <x v="109"/>
            <x v="363"/>
          </reference>
        </references>
      </pivotArea>
    </format>
    <format dxfId="3918">
      <pivotArea dataOnly="0" labelOnly="1" fieldPosition="0">
        <references count="5">
          <reference field="4" count="1" selected="0">
            <x v="16"/>
          </reference>
          <reference field="6" count="1" selected="0">
            <x v="1"/>
          </reference>
          <reference field="7" count="1" selected="0">
            <x v="27"/>
          </reference>
          <reference field="8" count="1" selected="0">
            <x v="136"/>
          </reference>
          <reference field="15" count="2">
            <x v="81"/>
            <x v="148"/>
          </reference>
        </references>
      </pivotArea>
    </format>
    <format dxfId="3917">
      <pivotArea dataOnly="0" labelOnly="1" fieldPosition="0">
        <references count="5">
          <reference field="4" count="1" selected="0">
            <x v="16"/>
          </reference>
          <reference field="6" count="1" selected="0">
            <x v="1"/>
          </reference>
          <reference field="7" count="1" selected="0">
            <x v="27"/>
          </reference>
          <reference field="8" count="1" selected="0">
            <x v="137"/>
          </reference>
          <reference field="15" count="2">
            <x v="111"/>
            <x v="112"/>
          </reference>
        </references>
      </pivotArea>
    </format>
    <format dxfId="3916">
      <pivotArea dataOnly="0" labelOnly="1" fieldPosition="0">
        <references count="5">
          <reference field="4" count="1" selected="0">
            <x v="16"/>
          </reference>
          <reference field="6" count="1" selected="0">
            <x v="3"/>
          </reference>
          <reference field="7" count="1" selected="0">
            <x v="1"/>
          </reference>
          <reference field="8" count="1" selected="0">
            <x v="6"/>
          </reference>
          <reference field="15" count="1">
            <x v="362"/>
          </reference>
        </references>
      </pivotArea>
    </format>
    <format dxfId="3915">
      <pivotArea dataOnly="0" labelOnly="1" fieldPosition="0">
        <references count="5">
          <reference field="4" count="1" selected="0">
            <x v="16"/>
          </reference>
          <reference field="6" count="1" selected="0">
            <x v="4"/>
          </reference>
          <reference field="7" count="1" selected="0">
            <x v="8"/>
          </reference>
          <reference field="8" count="1" selected="0">
            <x v="38"/>
          </reference>
          <reference field="15" count="1">
            <x v="229"/>
          </reference>
        </references>
      </pivotArea>
    </format>
    <format dxfId="3914">
      <pivotArea dataOnly="0" labelOnly="1" fieldPosition="0">
        <references count="5">
          <reference field="4" count="1" selected="0">
            <x v="16"/>
          </reference>
          <reference field="6" count="1" selected="0">
            <x v="4"/>
          </reference>
          <reference field="7" count="1" selected="0">
            <x v="11"/>
          </reference>
          <reference field="8" count="1" selected="0">
            <x v="48"/>
          </reference>
          <reference field="15" count="1">
            <x v="200"/>
          </reference>
        </references>
      </pivotArea>
    </format>
    <format dxfId="3913">
      <pivotArea dataOnly="0" labelOnly="1" fieldPosition="0">
        <references count="5">
          <reference field="4" count="1" selected="0">
            <x v="17"/>
          </reference>
          <reference field="6" count="1" selected="0">
            <x v="0"/>
          </reference>
          <reference field="7" count="1" selected="0">
            <x v="16"/>
          </reference>
          <reference field="8" count="1" selected="0">
            <x v="57"/>
          </reference>
          <reference field="15" count="5">
            <x v="110"/>
            <x v="284"/>
            <x v="285"/>
            <x v="294"/>
            <x v="295"/>
          </reference>
        </references>
      </pivotArea>
    </format>
    <format dxfId="3912">
      <pivotArea dataOnly="0" labelOnly="1" fieldPosition="0">
        <references count="5">
          <reference field="4" count="1" selected="0">
            <x v="17"/>
          </reference>
          <reference field="6" count="1" selected="0">
            <x v="0"/>
          </reference>
          <reference field="7" count="1" selected="0">
            <x v="16"/>
          </reference>
          <reference field="8" count="1" selected="0">
            <x v="58"/>
          </reference>
          <reference field="15" count="2">
            <x v="299"/>
            <x v="300"/>
          </reference>
        </references>
      </pivotArea>
    </format>
    <format dxfId="3911">
      <pivotArea dataOnly="0" labelOnly="1" fieldPosition="0">
        <references count="5">
          <reference field="4" count="1" selected="0">
            <x v="17"/>
          </reference>
          <reference field="6" count="1" selected="0">
            <x v="0"/>
          </reference>
          <reference field="7" count="1" selected="0">
            <x v="16"/>
          </reference>
          <reference field="8" count="1" selected="0">
            <x v="59"/>
          </reference>
          <reference field="15" count="2">
            <x v="94"/>
            <x v="95"/>
          </reference>
        </references>
      </pivotArea>
    </format>
    <format dxfId="3910">
      <pivotArea dataOnly="0" labelOnly="1" fieldPosition="0">
        <references count="5">
          <reference field="4" count="1" selected="0">
            <x v="17"/>
          </reference>
          <reference field="6" count="1" selected="0">
            <x v="0"/>
          </reference>
          <reference field="7" count="1" selected="0">
            <x v="16"/>
          </reference>
          <reference field="8" count="1" selected="0">
            <x v="60"/>
          </reference>
          <reference field="15" count="5">
            <x v="102"/>
            <x v="103"/>
            <x v="104"/>
            <x v="322"/>
            <x v="323"/>
          </reference>
        </references>
      </pivotArea>
    </format>
    <format dxfId="3909">
      <pivotArea dataOnly="0" labelOnly="1" fieldPosition="0">
        <references count="5">
          <reference field="4" count="1" selected="0">
            <x v="17"/>
          </reference>
          <reference field="6" count="1" selected="0">
            <x v="0"/>
          </reference>
          <reference field="7" count="1" selected="0">
            <x v="16"/>
          </reference>
          <reference field="8" count="1" selected="0">
            <x v="61"/>
          </reference>
          <reference field="15" count="2">
            <x v="296"/>
            <x v="297"/>
          </reference>
        </references>
      </pivotArea>
    </format>
    <format dxfId="3908">
      <pivotArea dataOnly="0" labelOnly="1" fieldPosition="0">
        <references count="5">
          <reference field="4" count="1" selected="0">
            <x v="17"/>
          </reference>
          <reference field="6" count="1" selected="0">
            <x v="0"/>
          </reference>
          <reference field="7" count="1" selected="0">
            <x v="16"/>
          </reference>
          <reference field="8" count="1" selected="0">
            <x v="62"/>
          </reference>
          <reference field="15" count="1">
            <x v="93"/>
          </reference>
        </references>
      </pivotArea>
    </format>
    <format dxfId="3907">
      <pivotArea dataOnly="0" labelOnly="1" fieldPosition="0">
        <references count="5">
          <reference field="4" count="1" selected="0">
            <x v="17"/>
          </reference>
          <reference field="6" count="1" selected="0">
            <x v="0"/>
          </reference>
          <reference field="7" count="1" selected="0">
            <x v="16"/>
          </reference>
          <reference field="8" count="1" selected="0">
            <x v="63"/>
          </reference>
          <reference field="15" count="2">
            <x v="315"/>
            <x v="316"/>
          </reference>
        </references>
      </pivotArea>
    </format>
    <format dxfId="3906">
      <pivotArea dataOnly="0" labelOnly="1" fieldPosition="0">
        <references count="5">
          <reference field="4" count="1" selected="0">
            <x v="17"/>
          </reference>
          <reference field="6" count="1" selected="0">
            <x v="0"/>
          </reference>
          <reference field="7" count="1" selected="0">
            <x v="22"/>
          </reference>
          <reference field="8" count="1" selected="0">
            <x v="94"/>
          </reference>
          <reference field="15" count="2">
            <x v="105"/>
            <x v="106"/>
          </reference>
        </references>
      </pivotArea>
    </format>
    <format dxfId="3905">
      <pivotArea dataOnly="0" labelOnly="1" fieldPosition="0">
        <references count="5">
          <reference field="4" count="1" selected="0">
            <x v="18"/>
          </reference>
          <reference field="6" count="1" selected="0">
            <x v="3"/>
          </reference>
          <reference field="7" count="1" selected="0">
            <x v="2"/>
          </reference>
          <reference field="8" count="1" selected="0">
            <x v="8"/>
          </reference>
          <reference field="15" count="2">
            <x v="375"/>
            <x v="376"/>
          </reference>
        </references>
      </pivotArea>
    </format>
    <format dxfId="3904">
      <pivotArea dataOnly="0" labelOnly="1" fieldPosition="0">
        <references count="5">
          <reference field="4" count="1" selected="0">
            <x v="18"/>
          </reference>
          <reference field="6" count="1" selected="0">
            <x v="3"/>
          </reference>
          <reference field="7" count="1" selected="0">
            <x v="2"/>
          </reference>
          <reference field="8" count="1" selected="0">
            <x v="9"/>
          </reference>
          <reference field="15" count="1">
            <x v="266"/>
          </reference>
        </references>
      </pivotArea>
    </format>
    <format dxfId="3903">
      <pivotArea dataOnly="0" labelOnly="1" fieldPosition="0">
        <references count="5">
          <reference field="4" count="1" selected="0">
            <x v="18"/>
          </reference>
          <reference field="6" count="1" selected="0">
            <x v="3"/>
          </reference>
          <reference field="7" count="1" selected="0">
            <x v="2"/>
          </reference>
          <reference field="8" count="1" selected="0">
            <x v="16"/>
          </reference>
          <reference field="15" count="2">
            <x v="271"/>
            <x v="272"/>
          </reference>
        </references>
      </pivotArea>
    </format>
    <format dxfId="3902">
      <pivotArea dataOnly="0" labelOnly="1" fieldPosition="0">
        <references count="5">
          <reference field="4" count="1" selected="0">
            <x v="18"/>
          </reference>
          <reference field="6" count="1" selected="0">
            <x v="3"/>
          </reference>
          <reference field="7" count="1" selected="0">
            <x v="2"/>
          </reference>
          <reference field="8" count="1" selected="0">
            <x v="17"/>
          </reference>
          <reference field="15" count="3">
            <x v="286"/>
            <x v="287"/>
            <x v="288"/>
          </reference>
        </references>
      </pivotArea>
    </format>
    <format dxfId="3901">
      <pivotArea dataOnly="0" labelOnly="1" fieldPosition="0">
        <references count="5">
          <reference field="4" count="1" selected="0">
            <x v="19"/>
          </reference>
          <reference field="6" count="1" selected="0">
            <x v="3"/>
          </reference>
          <reference field="7" count="1" selected="0">
            <x v="6"/>
          </reference>
          <reference field="8" count="1" selected="0">
            <x v="29"/>
          </reference>
          <reference field="15" count="24">
            <x v="4"/>
            <x v="168"/>
            <x v="169"/>
            <x v="170"/>
            <x v="171"/>
            <x v="172"/>
            <x v="173"/>
            <x v="174"/>
            <x v="183"/>
            <x v="184"/>
            <x v="185"/>
            <x v="186"/>
            <x v="187"/>
            <x v="188"/>
            <x v="194"/>
            <x v="195"/>
            <x v="196"/>
            <x v="197"/>
            <x v="198"/>
            <x v="199"/>
            <x v="203"/>
            <x v="204"/>
            <x v="223"/>
            <x v="258"/>
          </reference>
        </references>
      </pivotArea>
    </format>
    <format dxfId="3900">
      <pivotArea dataOnly="0" labelOnly="1" fieldPosition="0">
        <references count="5">
          <reference field="4" count="1" selected="0">
            <x v="20"/>
          </reference>
          <reference field="6" count="1" selected="0">
            <x v="1"/>
          </reference>
          <reference field="7" count="1" selected="0">
            <x v="24"/>
          </reference>
          <reference field="8" count="1" selected="0">
            <x v="106"/>
          </reference>
          <reference field="15" count="2">
            <x v="239"/>
            <x v="240"/>
          </reference>
        </references>
      </pivotArea>
    </format>
    <format dxfId="3899">
      <pivotArea dataOnly="0" labelOnly="1" outline="0" fieldPosition="0">
        <references count="1">
          <reference field="4294967294" count="2">
            <x v="7"/>
            <x v="8"/>
          </reference>
        </references>
      </pivotArea>
    </format>
    <format dxfId="3898">
      <pivotArea outline="0" collapsedLevelsAreSubtotals="1" fieldPosition="0"/>
    </format>
    <format dxfId="3897">
      <pivotArea dataOnly="0" labelOnly="1" outline="0" fieldPosition="0">
        <references count="1">
          <reference field="2" count="0"/>
        </references>
      </pivotArea>
    </format>
    <format dxfId="3896">
      <pivotArea dataOnly="0" labelOnly="1" outline="0" fieldPosition="0">
        <references count="1">
          <reference field="4294967294" count="9">
            <x v="0"/>
            <x v="1"/>
            <x v="2"/>
            <x v="3"/>
            <x v="4"/>
            <x v="5"/>
            <x v="6"/>
            <x v="7"/>
            <x v="8"/>
          </reference>
        </references>
      </pivotArea>
    </format>
    <format dxfId="3895">
      <pivotArea outline="0" collapsedLevelsAreSubtotals="1" fieldPosition="0">
        <references count="1">
          <reference field="4294967294" count="2" selected="0">
            <x v="7"/>
            <x v="8"/>
          </reference>
        </references>
      </pivotArea>
    </format>
    <format dxfId="3894">
      <pivotArea dataOnly="0" labelOnly="1" outline="0" fieldPosition="0">
        <references count="1">
          <reference field="4294967294" count="2">
            <x v="7"/>
            <x v="8"/>
          </reference>
        </references>
      </pivotArea>
    </format>
    <format dxfId="3893">
      <pivotArea field="2" type="button" dataOnly="0" labelOnly="1" outline="0" axis="axisPage" fieldPosition="0"/>
    </format>
    <format dxfId="3892">
      <pivotArea field="4" type="button" dataOnly="0" labelOnly="1" outline="0" axis="axisRow" fieldPosition="0"/>
    </format>
    <format dxfId="3891">
      <pivotArea dataOnly="0" labelOnly="1" fieldPosition="0">
        <references count="1">
          <reference field="4" count="1">
            <x v="9"/>
          </reference>
        </references>
      </pivotArea>
    </format>
    <format dxfId="3890">
      <pivotArea dataOnly="0" labelOnly="1" grandRow="1" outline="0" fieldPosition="0"/>
    </format>
    <format dxfId="3889">
      <pivotArea dataOnly="0" labelOnly="1" fieldPosition="0">
        <references count="2">
          <reference field="4" count="1" selected="0">
            <x v="9"/>
          </reference>
          <reference field="6" count="1">
            <x v="1"/>
          </reference>
        </references>
      </pivotArea>
    </format>
    <format dxfId="3888">
      <pivotArea dataOnly="0" labelOnly="1" fieldPosition="0">
        <references count="3">
          <reference field="4" count="1" selected="0">
            <x v="9"/>
          </reference>
          <reference field="6" count="1" selected="0">
            <x v="1"/>
          </reference>
          <reference field="7" count="1">
            <x v="25"/>
          </reference>
        </references>
      </pivotArea>
    </format>
    <format dxfId="3887">
      <pivotArea dataOnly="0" labelOnly="1" fieldPosition="0">
        <references count="4">
          <reference field="4" count="1" selected="0">
            <x v="9"/>
          </reference>
          <reference field="6" count="1" selected="0">
            <x v="1"/>
          </reference>
          <reference field="7" count="1" selected="0">
            <x v="25"/>
          </reference>
          <reference field="8" count="10">
            <x v="115"/>
            <x v="116"/>
            <x v="117"/>
            <x v="118"/>
            <x v="119"/>
            <x v="120"/>
            <x v="121"/>
            <x v="122"/>
            <x v="123"/>
            <x v="124"/>
          </reference>
        </references>
      </pivotArea>
    </format>
    <format dxfId="3886">
      <pivotArea dataOnly="0" labelOnly="1" fieldPosition="0">
        <references count="5">
          <reference field="4" count="1" selected="0">
            <x v="9"/>
          </reference>
          <reference field="6" count="1" selected="0">
            <x v="1"/>
          </reference>
          <reference field="7" count="1" selected="0">
            <x v="25"/>
          </reference>
          <reference field="8" count="1" selected="0">
            <x v="115"/>
          </reference>
          <reference field="15" count="13">
            <x v="35"/>
            <x v="36"/>
            <x v="63"/>
            <x v="72"/>
            <x v="77"/>
            <x v="238"/>
            <x v="241"/>
            <x v="242"/>
            <x v="243"/>
            <x v="247"/>
            <x v="248"/>
            <x v="260"/>
            <x v="262"/>
          </reference>
        </references>
      </pivotArea>
    </format>
    <format dxfId="3885">
      <pivotArea dataOnly="0" labelOnly="1" fieldPosition="0">
        <references count="5">
          <reference field="4" count="1" selected="0">
            <x v="9"/>
          </reference>
          <reference field="6" count="1" selected="0">
            <x v="1"/>
          </reference>
          <reference field="7" count="1" selected="0">
            <x v="25"/>
          </reference>
          <reference field="8" count="1" selected="0">
            <x v="116"/>
          </reference>
          <reference field="15" count="1">
            <x v="61"/>
          </reference>
        </references>
      </pivotArea>
    </format>
    <format dxfId="3884">
      <pivotArea dataOnly="0" labelOnly="1" fieldPosition="0">
        <references count="5">
          <reference field="4" count="1" selected="0">
            <x v="9"/>
          </reference>
          <reference field="6" count="1" selected="0">
            <x v="1"/>
          </reference>
          <reference field="7" count="1" selected="0">
            <x v="25"/>
          </reference>
          <reference field="8" count="1" selected="0">
            <x v="117"/>
          </reference>
          <reference field="15" count="2">
            <x v="92"/>
            <x v="249"/>
          </reference>
        </references>
      </pivotArea>
    </format>
    <format dxfId="3883">
      <pivotArea dataOnly="0" labelOnly="1" fieldPosition="0">
        <references count="5">
          <reference field="4" count="1" selected="0">
            <x v="9"/>
          </reference>
          <reference field="6" count="1" selected="0">
            <x v="1"/>
          </reference>
          <reference field="7" count="1" selected="0">
            <x v="25"/>
          </reference>
          <reference field="8" count="1" selected="0">
            <x v="118"/>
          </reference>
          <reference field="15" count="3">
            <x v="71"/>
            <x v="87"/>
            <x v="91"/>
          </reference>
        </references>
      </pivotArea>
    </format>
    <format dxfId="3882">
      <pivotArea dataOnly="0" labelOnly="1" fieldPosition="0">
        <references count="5">
          <reference field="4" count="1" selected="0">
            <x v="9"/>
          </reference>
          <reference field="6" count="1" selected="0">
            <x v="1"/>
          </reference>
          <reference field="7" count="1" selected="0">
            <x v="25"/>
          </reference>
          <reference field="8" count="1" selected="0">
            <x v="119"/>
          </reference>
          <reference field="15" count="4">
            <x v="62"/>
            <x v="68"/>
            <x v="69"/>
            <x v="70"/>
          </reference>
        </references>
      </pivotArea>
    </format>
    <format dxfId="3881">
      <pivotArea dataOnly="0" labelOnly="1" fieldPosition="0">
        <references count="5">
          <reference field="4" count="1" selected="0">
            <x v="9"/>
          </reference>
          <reference field="6" count="1" selected="0">
            <x v="1"/>
          </reference>
          <reference field="7" count="1" selected="0">
            <x v="25"/>
          </reference>
          <reference field="8" count="1" selected="0">
            <x v="120"/>
          </reference>
          <reference field="15" count="1">
            <x v="85"/>
          </reference>
        </references>
      </pivotArea>
    </format>
    <format dxfId="3880">
      <pivotArea dataOnly="0" labelOnly="1" fieldPosition="0">
        <references count="5">
          <reference field="4" count="1" selected="0">
            <x v="9"/>
          </reference>
          <reference field="6" count="1" selected="0">
            <x v="1"/>
          </reference>
          <reference field="7" count="1" selected="0">
            <x v="25"/>
          </reference>
          <reference field="8" count="1" selected="0">
            <x v="121"/>
          </reference>
          <reference field="15" count="2">
            <x v="41"/>
            <x v="78"/>
          </reference>
        </references>
      </pivotArea>
    </format>
    <format dxfId="3879">
      <pivotArea dataOnly="0" labelOnly="1" fieldPosition="0">
        <references count="5">
          <reference field="4" count="1" selected="0">
            <x v="9"/>
          </reference>
          <reference field="6" count="1" selected="0">
            <x v="1"/>
          </reference>
          <reference field="7" count="1" selected="0">
            <x v="25"/>
          </reference>
          <reference field="8" count="1" selected="0">
            <x v="122"/>
          </reference>
          <reference field="15" count="2">
            <x v="38"/>
            <x v="39"/>
          </reference>
        </references>
      </pivotArea>
    </format>
    <format dxfId="3878">
      <pivotArea dataOnly="0" labelOnly="1" fieldPosition="0">
        <references count="5">
          <reference field="4" count="1" selected="0">
            <x v="9"/>
          </reference>
          <reference field="6" count="1" selected="0">
            <x v="1"/>
          </reference>
          <reference field="7" count="1" selected="0">
            <x v="25"/>
          </reference>
          <reference field="8" count="1" selected="0">
            <x v="123"/>
          </reference>
          <reference field="15" count="7">
            <x v="32"/>
            <x v="33"/>
            <x v="60"/>
            <x v="82"/>
            <x v="83"/>
            <x v="89"/>
            <x v="90"/>
          </reference>
        </references>
      </pivotArea>
    </format>
    <format dxfId="3877">
      <pivotArea dataOnly="0" labelOnly="1" fieldPosition="0">
        <references count="5">
          <reference field="4" count="1" selected="0">
            <x v="9"/>
          </reference>
          <reference field="6" count="1" selected="0">
            <x v="1"/>
          </reference>
          <reference field="7" count="1" selected="0">
            <x v="25"/>
          </reference>
          <reference field="8" count="1" selected="0">
            <x v="124"/>
          </reference>
          <reference field="15" count="1">
            <x v="26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1" cacheId="2" applyNumberFormats="0" applyBorderFormats="0" applyFontFormats="0" applyPatternFormats="0" applyAlignmentFormats="0" applyWidthHeightFormats="1" dataCaption="Valores" grandTotalCaption="TOTAL " updatedVersion="8" minRefreshableVersion="3" useAutoFormatting="1" itemPrintTitles="1" createdVersion="8" indent="0" outline="1" outlineData="1" multipleFieldFilters="0" rowHeaderCaption="UNIDAD EJECUTORA">
  <location ref="A3:J29" firstHeaderRow="0" firstDataRow="1" firstDataCol="1" rowPageCount="1" colPageCount="1"/>
  <pivotFields count="33">
    <pivotField showAll="0"/>
    <pivotField showAll="0"/>
    <pivotField axis="axisPage" showAll="0">
      <items count="22">
        <item x="4"/>
        <item x="3"/>
        <item x="14"/>
        <item x="0"/>
        <item x="13"/>
        <item x="17"/>
        <item x="7"/>
        <item x="9"/>
        <item x="15"/>
        <item x="8"/>
        <item x="1"/>
        <item x="16"/>
        <item x="12"/>
        <item x="20"/>
        <item x="5"/>
        <item x="10"/>
        <item x="6"/>
        <item x="11"/>
        <item x="19"/>
        <item x="2"/>
        <item x="18"/>
        <item t="default"/>
      </items>
    </pivotField>
    <pivotField showAll="0"/>
    <pivotField axis="axisRow" showAll="0">
      <items count="22">
        <item x="4"/>
        <item x="3"/>
        <item x="14"/>
        <item x="0"/>
        <item x="13"/>
        <item x="17"/>
        <item x="7"/>
        <item x="9"/>
        <item x="15"/>
        <item x="8"/>
        <item x="1"/>
        <item x="16"/>
        <item x="12"/>
        <item x="20"/>
        <item x="5"/>
        <item x="10"/>
        <item x="6"/>
        <item x="11"/>
        <item x="19"/>
        <item x="2"/>
        <item x="18"/>
        <item t="default"/>
      </items>
    </pivotField>
    <pivotField numFmtId="1" showAll="0"/>
    <pivotField axis="axisRow" showAll="0">
      <items count="6">
        <item x="1"/>
        <item x="2"/>
        <item x="3"/>
        <item x="0"/>
        <item x="4"/>
        <item t="default"/>
      </items>
    </pivotField>
    <pivotField axis="axisRow" showAll="0">
      <items count="34">
        <item x="19"/>
        <item x="27"/>
        <item x="1"/>
        <item x="2"/>
        <item x="8"/>
        <item x="30"/>
        <item x="0"/>
        <item x="32"/>
        <item x="25"/>
        <item x="29"/>
        <item x="12"/>
        <item x="15"/>
        <item x="13"/>
        <item x="28"/>
        <item x="23"/>
        <item x="31"/>
        <item x="16"/>
        <item x="10"/>
        <item x="18"/>
        <item x="3"/>
        <item x="14"/>
        <item x="20"/>
        <item x="17"/>
        <item x="9"/>
        <item x="6"/>
        <item x="7"/>
        <item x="4"/>
        <item x="5"/>
        <item x="24"/>
        <item x="11"/>
        <item x="21"/>
        <item x="26"/>
        <item x="22"/>
        <item t="default"/>
      </items>
    </pivotField>
    <pivotField axis="axisRow" showAll="0">
      <items count="161">
        <item x="62"/>
        <item x="155"/>
        <item x="112"/>
        <item x="156"/>
        <item x="118"/>
        <item x="154"/>
        <item x="140"/>
        <item x="60"/>
        <item x="153"/>
        <item x="102"/>
        <item x="7"/>
        <item x="2"/>
        <item x="52"/>
        <item x="1"/>
        <item x="22"/>
        <item x="151"/>
        <item x="105"/>
        <item x="114"/>
        <item x="82"/>
        <item x="3"/>
        <item x="15"/>
        <item x="49"/>
        <item x="135"/>
        <item x="134"/>
        <item x="139"/>
        <item x="142"/>
        <item x="138"/>
        <item x="141"/>
        <item x="128"/>
        <item x="0"/>
        <item x="103"/>
        <item x="159"/>
        <item x="150"/>
        <item x="86"/>
        <item x="152"/>
        <item x="137"/>
        <item x="110"/>
        <item x="79"/>
        <item x="80"/>
        <item x="83"/>
        <item x="126"/>
        <item x="131"/>
        <item x="132"/>
        <item x="129"/>
        <item x="28"/>
        <item x="27"/>
        <item x="29"/>
        <item x="26"/>
        <item x="43"/>
        <item x="42"/>
        <item x="32"/>
        <item x="122"/>
        <item x="124"/>
        <item x="123"/>
        <item x="111"/>
        <item x="69"/>
        <item x="136"/>
        <item x="55"/>
        <item x="119"/>
        <item x="46"/>
        <item x="50"/>
        <item x="117"/>
        <item x="45"/>
        <item x="127"/>
        <item x="106"/>
        <item x="53"/>
        <item x="147"/>
        <item x="146"/>
        <item x="38"/>
        <item x="20"/>
        <item x="144"/>
        <item x="145"/>
        <item x="74"/>
        <item x="89"/>
        <item x="57"/>
        <item x="59"/>
        <item x="88"/>
        <item x="108"/>
        <item x="85"/>
        <item x="5"/>
        <item x="4"/>
        <item x="81"/>
        <item x="35"/>
        <item x="36"/>
        <item x="37"/>
        <item x="98"/>
        <item x="67"/>
        <item x="63"/>
        <item x="116"/>
        <item x="125"/>
        <item x="157"/>
        <item x="101"/>
        <item x="66"/>
        <item x="149"/>
        <item x="51"/>
        <item x="90"/>
        <item x="91"/>
        <item x="97"/>
        <item x="21"/>
        <item x="94"/>
        <item x="93"/>
        <item x="95"/>
        <item x="18"/>
        <item x="92"/>
        <item x="96"/>
        <item x="11"/>
        <item x="87"/>
        <item x="61"/>
        <item x="48"/>
        <item x="47"/>
        <item x="58"/>
        <item x="130"/>
        <item x="39"/>
        <item x="33"/>
        <item x="100"/>
        <item x="16"/>
        <item x="30"/>
        <item x="44"/>
        <item x="34"/>
        <item x="31"/>
        <item x="41"/>
        <item x="19"/>
        <item x="17"/>
        <item x="14"/>
        <item x="99"/>
        <item x="12"/>
        <item x="8"/>
        <item x="78"/>
        <item x="13"/>
        <item x="133"/>
        <item x="148"/>
        <item x="6"/>
        <item x="9"/>
        <item x="10"/>
        <item x="77"/>
        <item x="54"/>
        <item x="40"/>
        <item x="56"/>
        <item x="104"/>
        <item x="76"/>
        <item x="25"/>
        <item x="109"/>
        <item x="113"/>
        <item x="115"/>
        <item x="24"/>
        <item x="23"/>
        <item x="70"/>
        <item x="64"/>
        <item x="73"/>
        <item x="71"/>
        <item x="75"/>
        <item x="158"/>
        <item x="65"/>
        <item x="72"/>
        <item x="107"/>
        <item x="84"/>
        <item x="121"/>
        <item x="120"/>
        <item x="143"/>
        <item x="68"/>
        <item t="default"/>
      </items>
    </pivotField>
    <pivotField showAll="0"/>
    <pivotField showAll="0"/>
    <pivotField showAll="0"/>
    <pivotField showAll="0"/>
    <pivotField showAll="0"/>
    <pivotField showAll="0"/>
    <pivotField axis="axisRow" showAll="0">
      <items count="402">
        <item x="1"/>
        <item x="0"/>
        <item x="3"/>
        <item x="2"/>
        <item x="4"/>
        <item x="5"/>
        <item x="6"/>
        <item x="8"/>
        <item x="7"/>
        <item x="9"/>
        <item x="11"/>
        <item x="10"/>
        <item x="12"/>
        <item x="13"/>
        <item x="16"/>
        <item x="15"/>
        <item x="14"/>
        <item x="18"/>
        <item x="17"/>
        <item x="19"/>
        <item x="20"/>
        <item x="21"/>
        <item x="22"/>
        <item x="23"/>
        <item x="25"/>
        <item x="24"/>
        <item x="27"/>
        <item x="26"/>
        <item x="28"/>
        <item x="29"/>
        <item x="30"/>
        <item x="31"/>
        <item x="32"/>
        <item x="33"/>
        <item x="34"/>
        <item x="35"/>
        <item x="36"/>
        <item x="37"/>
        <item x="38"/>
        <item x="39"/>
        <item x="40"/>
        <item x="41"/>
        <item x="42"/>
        <item x="43"/>
        <item x="44"/>
        <item x="45"/>
        <item x="46"/>
        <item x="47"/>
        <item x="48"/>
        <item x="49"/>
        <item x="50"/>
        <item x="51"/>
        <item x="52"/>
        <item x="53"/>
        <item x="54"/>
        <item x="55"/>
        <item x="56"/>
        <item x="58"/>
        <item x="57"/>
        <item x="59"/>
        <item x="60"/>
        <item x="61"/>
        <item x="62"/>
        <item x="63"/>
        <item x="65"/>
        <item x="64"/>
        <item x="66"/>
        <item x="67"/>
        <item x="68"/>
        <item x="69"/>
        <item x="70"/>
        <item x="71"/>
        <item x="72"/>
        <item x="74"/>
        <item x="73"/>
        <item x="75"/>
        <item x="76"/>
        <item x="77"/>
        <item x="78"/>
        <item x="79"/>
        <item x="80"/>
        <item x="81"/>
        <item x="82"/>
        <item x="83"/>
        <item x="84"/>
        <item x="85"/>
        <item x="86"/>
        <item x="87"/>
        <item x="88"/>
        <item x="89"/>
        <item x="90"/>
        <item x="91"/>
        <item x="92"/>
        <item x="93"/>
        <item x="95"/>
        <item x="94"/>
        <item x="96"/>
        <item x="97"/>
        <item x="98"/>
        <item x="99"/>
        <item x="101"/>
        <item x="100"/>
        <item x="103"/>
        <item x="102"/>
        <item x="104"/>
        <item x="105"/>
        <item x="106"/>
        <item x="107"/>
        <item x="108"/>
        <item x="109"/>
        <item x="110"/>
        <item x="111"/>
        <item x="112"/>
        <item x="114"/>
        <item x="113"/>
        <item x="115"/>
        <item x="116"/>
        <item x="117"/>
        <item x="118"/>
        <item x="119"/>
        <item x="122"/>
        <item x="120"/>
        <item x="121"/>
        <item x="123"/>
        <item x="124"/>
        <item x="125"/>
        <item x="126"/>
        <item x="127"/>
        <item x="129"/>
        <item x="128"/>
        <item x="130"/>
        <item x="131"/>
        <item x="132"/>
        <item x="133"/>
        <item x="134"/>
        <item x="135"/>
        <item x="136"/>
        <item x="137"/>
        <item x="138"/>
        <item x="139"/>
        <item x="140"/>
        <item x="141"/>
        <item x="142"/>
        <item x="143"/>
        <item x="144"/>
        <item x="145"/>
        <item x="146"/>
        <item x="147"/>
        <item x="148"/>
        <item x="149"/>
        <item x="151"/>
        <item x="150"/>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3"/>
        <item x="192"/>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4"/>
        <item x="233"/>
        <item x="235"/>
        <item x="236"/>
        <item x="237"/>
        <item x="238"/>
        <item x="239"/>
        <item x="240"/>
        <item x="241"/>
        <item x="242"/>
        <item x="243"/>
        <item x="244"/>
        <item x="246"/>
        <item x="245"/>
        <item x="247"/>
        <item x="248"/>
        <item x="249"/>
        <item x="250"/>
        <item x="251"/>
        <item x="252"/>
        <item x="253"/>
        <item x="254"/>
        <item x="255"/>
        <item x="256"/>
        <item x="257"/>
        <item x="258"/>
        <item x="259"/>
        <item x="260"/>
        <item x="261"/>
        <item x="262"/>
        <item x="263"/>
        <item x="264"/>
        <item x="265"/>
        <item x="266"/>
        <item x="268"/>
        <item x="267"/>
        <item x="269"/>
        <item x="270"/>
        <item x="271"/>
        <item x="272"/>
        <item x="273"/>
        <item x="274"/>
        <item x="275"/>
        <item x="277"/>
        <item x="276"/>
        <item x="278"/>
        <item x="279"/>
        <item x="280"/>
        <item x="281"/>
        <item x="282"/>
        <item x="283"/>
        <item x="285"/>
        <item x="284"/>
        <item x="288"/>
        <item x="286"/>
        <item x="287"/>
        <item x="289"/>
        <item x="290"/>
        <item x="291"/>
        <item x="292"/>
        <item x="293"/>
        <item x="294"/>
        <item x="295"/>
        <item x="297"/>
        <item x="296"/>
        <item x="298"/>
        <item x="299"/>
        <item x="300"/>
        <item x="301"/>
        <item x="302"/>
        <item x="303"/>
        <item x="304"/>
        <item x="305"/>
        <item x="306"/>
        <item x="307"/>
        <item x="308"/>
        <item x="309"/>
        <item x="310"/>
        <item x="311"/>
        <item x="312"/>
        <item x="313"/>
        <item x="314"/>
        <item x="316"/>
        <item x="315"/>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7"/>
        <item x="346"/>
        <item x="348"/>
        <item x="349"/>
        <item x="350"/>
        <item x="351"/>
        <item x="352"/>
        <item x="353"/>
        <item x="354"/>
        <item x="355"/>
        <item x="357"/>
        <item x="356"/>
        <item x="358"/>
        <item x="360"/>
        <item x="359"/>
        <item x="361"/>
        <item x="362"/>
        <item x="363"/>
        <item x="364"/>
        <item x="365"/>
        <item x="366"/>
        <item x="368"/>
        <item x="367"/>
        <item x="369"/>
        <item x="370"/>
        <item x="371"/>
        <item x="372"/>
        <item x="373"/>
        <item x="374"/>
        <item x="376"/>
        <item x="375"/>
        <item x="377"/>
        <item x="378"/>
        <item x="379"/>
        <item x="380"/>
        <item x="381"/>
        <item x="382"/>
        <item x="383"/>
        <item x="384"/>
        <item x="385"/>
        <item x="386"/>
        <item x="387"/>
        <item x="389"/>
        <item x="388"/>
        <item x="390"/>
        <item x="391"/>
        <item x="392"/>
        <item x="393"/>
        <item x="394"/>
        <item x="395"/>
        <item x="396"/>
        <item x="397"/>
        <item x="398"/>
        <item x="399"/>
        <item x="400"/>
        <item t="default"/>
      </items>
    </pivotField>
    <pivotField showAll="0"/>
    <pivotField showAll="0"/>
    <pivotField dataField="1" numFmtId="43" showAll="0"/>
    <pivotField numFmtId="43" showAll="0"/>
    <pivotField dataField="1" numFmtId="43" showAll="0"/>
    <pivotField numFmtId="43" showAll="0"/>
    <pivotField numFmtId="43" showAll="0"/>
    <pivotField dataField="1" numFmtId="43" showAll="0"/>
    <pivotField numFmtId="43" showAll="0"/>
    <pivotField dataField="1" numFmtId="43" showAll="0"/>
    <pivotField numFmtId="43" showAll="0"/>
    <pivotField numFmtId="43" showAll="0"/>
    <pivotField dataField="1" numFmtId="43" showAl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5">
    <field x="4"/>
    <field x="6"/>
    <field x="7"/>
    <field x="8"/>
    <field x="15"/>
  </rowFields>
  <rowItems count="26">
    <i>
      <x v="10"/>
    </i>
    <i r="1">
      <x v="3"/>
    </i>
    <i r="2">
      <x v="6"/>
    </i>
    <i r="3">
      <x v="29"/>
    </i>
    <i r="4">
      <x v="2"/>
    </i>
    <i r="4">
      <x v="3"/>
    </i>
    <i r="4">
      <x v="5"/>
    </i>
    <i r="4">
      <x v="152"/>
    </i>
    <i r="4">
      <x v="153"/>
    </i>
    <i r="4">
      <x v="154"/>
    </i>
    <i r="4">
      <x v="155"/>
    </i>
    <i r="4">
      <x v="156"/>
    </i>
    <i r="4">
      <x v="157"/>
    </i>
    <i r="4">
      <x v="158"/>
    </i>
    <i r="4">
      <x v="159"/>
    </i>
    <i r="4">
      <x v="160"/>
    </i>
    <i r="4">
      <x v="161"/>
    </i>
    <i r="4">
      <x v="162"/>
    </i>
    <i r="4">
      <x v="163"/>
    </i>
    <i r="4">
      <x v="189"/>
    </i>
    <i r="4">
      <x v="190"/>
    </i>
    <i r="4">
      <x v="191"/>
    </i>
    <i r="4">
      <x v="192"/>
    </i>
    <i r="4">
      <x v="193"/>
    </i>
    <i r="4">
      <x v="395"/>
    </i>
    <i t="grand">
      <x/>
    </i>
  </rowItems>
  <colFields count="1">
    <field x="-2"/>
  </colFields>
  <colItems count="9">
    <i>
      <x/>
    </i>
    <i i="1">
      <x v="1"/>
    </i>
    <i i="2">
      <x v="2"/>
    </i>
    <i i="3">
      <x v="3"/>
    </i>
    <i i="4">
      <x v="4"/>
    </i>
    <i i="5">
      <x v="5"/>
    </i>
    <i i="6">
      <x v="6"/>
    </i>
    <i i="7">
      <x v="7"/>
    </i>
    <i i="8">
      <x v="8"/>
    </i>
  </colItems>
  <pageFields count="1">
    <pageField fld="2" item="10" hier="-1"/>
  </pageFields>
  <dataFields count="9">
    <dataField name="PPTO INICIAL" fld="18" baseField="4" baseItem="0"/>
    <dataField name="PPTO VIGENTE" fld="20" baseField="4" baseItem="0"/>
    <dataField name="COMPROMISOS." fld="23" baseField="4" baseItem="0"/>
    <dataField name="GIROS." fld="25" baseField="4" baseItem="0"/>
    <dataField name="PAGOS " fld="28" baseField="4" baseItem="0"/>
    <dataField name=" SALDO APROPIACIÓN CDP" fld="29" baseField="4" baseItem="0" numFmtId="43"/>
    <dataField name="SALDO APROPIACIÓN RP" fld="30" baseField="4" baseItem="0" numFmtId="43"/>
    <dataField name="Suma de % CDP" fld="31" baseField="0" baseItem="0" numFmtId="43"/>
    <dataField name="Suma de % RP" fld="32" baseField="0" baseItem="0" numFmtId="43"/>
  </dataFields>
  <formats count="319">
    <format dxfId="3876">
      <pivotArea dataOnly="0" labelOnly="1" fieldPosition="0">
        <references count="1">
          <reference field="4" count="0"/>
        </references>
      </pivotArea>
    </format>
    <format dxfId="3875">
      <pivotArea dataOnly="0" labelOnly="1" fieldPosition="0">
        <references count="1">
          <reference field="4" count="1">
            <x v="0"/>
          </reference>
        </references>
      </pivotArea>
    </format>
    <format dxfId="3874">
      <pivotArea dataOnly="0" labelOnly="1" fieldPosition="0">
        <references count="1">
          <reference field="6" count="0"/>
        </references>
      </pivotArea>
    </format>
    <format dxfId="3873">
      <pivotArea dataOnly="0" labelOnly="1" fieldPosition="0">
        <references count="1">
          <reference field="7" count="0"/>
        </references>
      </pivotArea>
    </format>
    <format dxfId="3872">
      <pivotArea dataOnly="0" labelOnly="1" fieldPosition="0">
        <references count="1">
          <reference field="7" count="0"/>
        </references>
      </pivotArea>
    </format>
    <format dxfId="3871">
      <pivotArea dataOnly="0" labelOnly="1" fieldPosition="0">
        <references count="1">
          <reference field="8" count="0"/>
        </references>
      </pivotArea>
    </format>
    <format dxfId="3870">
      <pivotArea outline="0" collapsedLevelsAreSubtotals="1" fieldPosition="0"/>
    </format>
    <format dxfId="3869">
      <pivotArea dataOnly="0" labelOnly="1" outline="0" fieldPosition="0">
        <references count="1">
          <reference field="2" count="0"/>
        </references>
      </pivotArea>
    </format>
    <format dxfId="3868">
      <pivotArea dataOnly="0" labelOnly="1" outline="0" fieldPosition="0">
        <references count="1">
          <reference field="4294967294" count="9">
            <x v="0"/>
            <x v="1"/>
            <x v="2"/>
            <x v="3"/>
            <x v="4"/>
            <x v="5"/>
            <x v="6"/>
            <x v="7"/>
            <x v="8"/>
          </reference>
        </references>
      </pivotArea>
    </format>
    <format dxfId="3867">
      <pivotArea field="2" type="button" dataOnly="0" labelOnly="1" outline="0" axis="axisPage" fieldPosition="0"/>
    </format>
    <format dxfId="3866">
      <pivotArea field="4" type="button" dataOnly="0" labelOnly="1" outline="0" axis="axisRow" fieldPosition="0"/>
    </format>
    <format dxfId="3865">
      <pivotArea dataOnly="0" labelOnly="1" fieldPosition="0">
        <references count="1">
          <reference field="4" count="0"/>
        </references>
      </pivotArea>
    </format>
    <format dxfId="3864">
      <pivotArea dataOnly="0" labelOnly="1" grandRow="1" outline="0" fieldPosition="0"/>
    </format>
    <format dxfId="3863">
      <pivotArea dataOnly="0" labelOnly="1" fieldPosition="0">
        <references count="2">
          <reference field="4" count="1" selected="0">
            <x v="0"/>
          </reference>
          <reference field="6" count="2">
            <x v="0"/>
            <x v="1"/>
          </reference>
        </references>
      </pivotArea>
    </format>
    <format dxfId="3862">
      <pivotArea dataOnly="0" labelOnly="1" fieldPosition="0">
        <references count="2">
          <reference field="4" count="1" selected="0">
            <x v="1"/>
          </reference>
          <reference field="6" count="3">
            <x v="0"/>
            <x v="3"/>
            <x v="4"/>
          </reference>
        </references>
      </pivotArea>
    </format>
    <format dxfId="3861">
      <pivotArea dataOnly="0" labelOnly="1" fieldPosition="0">
        <references count="2">
          <reference field="4" count="1" selected="0">
            <x v="2"/>
          </reference>
          <reference field="6" count="3">
            <x v="2"/>
            <x v="3"/>
            <x v="4"/>
          </reference>
        </references>
      </pivotArea>
    </format>
    <format dxfId="3860">
      <pivotArea dataOnly="0" labelOnly="1" fieldPosition="0">
        <references count="2">
          <reference field="4" count="1" selected="0">
            <x v="3"/>
          </reference>
          <reference field="6" count="1">
            <x v="3"/>
          </reference>
        </references>
      </pivotArea>
    </format>
    <format dxfId="3859">
      <pivotArea dataOnly="0" labelOnly="1" fieldPosition="0">
        <references count="2">
          <reference field="4" count="1" selected="0">
            <x v="4"/>
          </reference>
          <reference field="6" count="4">
            <x v="0"/>
            <x v="1"/>
            <x v="2"/>
            <x v="3"/>
          </reference>
        </references>
      </pivotArea>
    </format>
    <format dxfId="3858">
      <pivotArea dataOnly="0" labelOnly="1" fieldPosition="0">
        <references count="2">
          <reference field="4" count="1" selected="0">
            <x v="5"/>
          </reference>
          <reference field="6" count="2">
            <x v="0"/>
            <x v="4"/>
          </reference>
        </references>
      </pivotArea>
    </format>
    <format dxfId="3857">
      <pivotArea dataOnly="0" labelOnly="1" fieldPosition="0">
        <references count="2">
          <reference field="4" count="1" selected="0">
            <x v="6"/>
          </reference>
          <reference field="6" count="1">
            <x v="1"/>
          </reference>
        </references>
      </pivotArea>
    </format>
    <format dxfId="3856">
      <pivotArea dataOnly="0" labelOnly="1" fieldPosition="0">
        <references count="2">
          <reference field="4" count="1" selected="0">
            <x v="7"/>
          </reference>
          <reference field="6" count="4">
            <x v="0"/>
            <x v="2"/>
            <x v="3"/>
            <x v="4"/>
          </reference>
        </references>
      </pivotArea>
    </format>
    <format dxfId="3855">
      <pivotArea dataOnly="0" labelOnly="1" fieldPosition="0">
        <references count="2">
          <reference field="4" count="1" selected="0">
            <x v="8"/>
          </reference>
          <reference field="6" count="4">
            <x v="0"/>
            <x v="1"/>
            <x v="2"/>
            <x v="3"/>
          </reference>
        </references>
      </pivotArea>
    </format>
    <format dxfId="3854">
      <pivotArea dataOnly="0" labelOnly="1" fieldPosition="0">
        <references count="2">
          <reference field="4" count="1" selected="0">
            <x v="9"/>
          </reference>
          <reference field="6" count="1">
            <x v="1"/>
          </reference>
        </references>
      </pivotArea>
    </format>
    <format dxfId="3853">
      <pivotArea dataOnly="0" labelOnly="1" fieldPosition="0">
        <references count="2">
          <reference field="4" count="1" selected="0">
            <x v="10"/>
          </reference>
          <reference field="6" count="1">
            <x v="3"/>
          </reference>
        </references>
      </pivotArea>
    </format>
    <format dxfId="3852">
      <pivotArea dataOnly="0" labelOnly="1" fieldPosition="0">
        <references count="2">
          <reference field="4" count="1" selected="0">
            <x v="11"/>
          </reference>
          <reference field="6" count="1">
            <x v="0"/>
          </reference>
        </references>
      </pivotArea>
    </format>
    <format dxfId="3851">
      <pivotArea dataOnly="0" labelOnly="1" fieldPosition="0">
        <references count="2">
          <reference field="4" count="1" selected="0">
            <x v="12"/>
          </reference>
          <reference field="6" count="1">
            <x v="0"/>
          </reference>
        </references>
      </pivotArea>
    </format>
    <format dxfId="3850">
      <pivotArea dataOnly="0" labelOnly="1" fieldPosition="0">
        <references count="2">
          <reference field="4" count="1" selected="0">
            <x v="13"/>
          </reference>
          <reference field="6" count="1">
            <x v="3"/>
          </reference>
        </references>
      </pivotArea>
    </format>
    <format dxfId="3849">
      <pivotArea dataOnly="0" labelOnly="1" fieldPosition="0">
        <references count="2">
          <reference field="4" count="1" selected="0">
            <x v="14"/>
          </reference>
          <reference field="6" count="1">
            <x v="1"/>
          </reference>
        </references>
      </pivotArea>
    </format>
    <format dxfId="3848">
      <pivotArea dataOnly="0" labelOnly="1" fieldPosition="0">
        <references count="2">
          <reference field="4" count="1" selected="0">
            <x v="15"/>
          </reference>
          <reference field="6" count="1">
            <x v="0"/>
          </reference>
        </references>
      </pivotArea>
    </format>
    <format dxfId="3847">
      <pivotArea dataOnly="0" labelOnly="1" fieldPosition="0">
        <references count="2">
          <reference field="4" count="1" selected="0">
            <x v="16"/>
          </reference>
          <reference field="6" count="3">
            <x v="1"/>
            <x v="3"/>
            <x v="4"/>
          </reference>
        </references>
      </pivotArea>
    </format>
    <format dxfId="3846">
      <pivotArea dataOnly="0" labelOnly="1" fieldPosition="0">
        <references count="2">
          <reference field="4" count="1" selected="0">
            <x v="17"/>
          </reference>
          <reference field="6" count="1">
            <x v="0"/>
          </reference>
        </references>
      </pivotArea>
    </format>
    <format dxfId="3845">
      <pivotArea dataOnly="0" labelOnly="1" fieldPosition="0">
        <references count="2">
          <reference field="4" count="1" selected="0">
            <x v="18"/>
          </reference>
          <reference field="6" count="1">
            <x v="3"/>
          </reference>
        </references>
      </pivotArea>
    </format>
    <format dxfId="3844">
      <pivotArea dataOnly="0" labelOnly="1" fieldPosition="0">
        <references count="2">
          <reference field="4" count="1" selected="0">
            <x v="19"/>
          </reference>
          <reference field="6" count="1">
            <x v="3"/>
          </reference>
        </references>
      </pivotArea>
    </format>
    <format dxfId="3843">
      <pivotArea dataOnly="0" labelOnly="1" fieldPosition="0">
        <references count="2">
          <reference field="4" count="1" selected="0">
            <x v="20"/>
          </reference>
          <reference field="6" count="1">
            <x v="1"/>
          </reference>
        </references>
      </pivotArea>
    </format>
    <format dxfId="3842">
      <pivotArea dataOnly="0" labelOnly="1" fieldPosition="0">
        <references count="3">
          <reference field="4" count="1" selected="0">
            <x v="0"/>
          </reference>
          <reference field="6" count="1" selected="0">
            <x v="0"/>
          </reference>
          <reference field="7" count="2">
            <x v="17"/>
            <x v="19"/>
          </reference>
        </references>
      </pivotArea>
    </format>
    <format dxfId="3841">
      <pivotArea dataOnly="0" labelOnly="1" fieldPosition="0">
        <references count="3">
          <reference field="4" count="1" selected="0">
            <x v="0"/>
          </reference>
          <reference field="6" count="1" selected="0">
            <x v="1"/>
          </reference>
          <reference field="7" count="2">
            <x v="23"/>
            <x v="26"/>
          </reference>
        </references>
      </pivotArea>
    </format>
    <format dxfId="3840">
      <pivotArea dataOnly="0" labelOnly="1" fieldPosition="0">
        <references count="3">
          <reference field="4" count="1" selected="0">
            <x v="1"/>
          </reference>
          <reference field="6" count="1" selected="0">
            <x v="0"/>
          </reference>
          <reference field="7" count="1">
            <x v="19"/>
          </reference>
        </references>
      </pivotArea>
    </format>
    <format dxfId="3839">
      <pivotArea dataOnly="0" labelOnly="1" fieldPosition="0">
        <references count="3">
          <reference field="4" count="1" selected="0">
            <x v="1"/>
          </reference>
          <reference field="6" count="1" selected="0">
            <x v="3"/>
          </reference>
          <reference field="7" count="3">
            <x v="2"/>
            <x v="3"/>
            <x v="4"/>
          </reference>
        </references>
      </pivotArea>
    </format>
    <format dxfId="3838">
      <pivotArea dataOnly="0" labelOnly="1" fieldPosition="0">
        <references count="3">
          <reference field="4" count="1" selected="0">
            <x v="1"/>
          </reference>
          <reference field="6" count="1" selected="0">
            <x v="4"/>
          </reference>
          <reference field="7" count="1">
            <x v="8"/>
          </reference>
        </references>
      </pivotArea>
    </format>
    <format dxfId="3837">
      <pivotArea dataOnly="0" labelOnly="1" fieldPosition="0">
        <references count="3">
          <reference field="4" count="1" selected="0">
            <x v="2"/>
          </reference>
          <reference field="6" count="1" selected="0">
            <x v="2"/>
          </reference>
          <reference field="7" count="2">
            <x v="29"/>
            <x v="30"/>
          </reference>
        </references>
      </pivotArea>
    </format>
    <format dxfId="3836">
      <pivotArea dataOnly="0" labelOnly="1" fieldPosition="0">
        <references count="3">
          <reference field="4" count="1" selected="0">
            <x v="2"/>
          </reference>
          <reference field="6" count="1" selected="0">
            <x v="3"/>
          </reference>
          <reference field="7" count="2">
            <x v="5"/>
            <x v="7"/>
          </reference>
        </references>
      </pivotArea>
    </format>
    <format dxfId="3835">
      <pivotArea dataOnly="0" labelOnly="1" fieldPosition="0">
        <references count="3">
          <reference field="4" count="1" selected="0">
            <x v="2"/>
          </reference>
          <reference field="6" count="1" selected="0">
            <x v="4"/>
          </reference>
          <reference field="7" count="1">
            <x v="8"/>
          </reference>
        </references>
      </pivotArea>
    </format>
    <format dxfId="3834">
      <pivotArea dataOnly="0" labelOnly="1" fieldPosition="0">
        <references count="3">
          <reference field="4" count="1" selected="0">
            <x v="3"/>
          </reference>
          <reference field="6" count="1" selected="0">
            <x v="3"/>
          </reference>
          <reference field="7" count="1">
            <x v="6"/>
          </reference>
        </references>
      </pivotArea>
    </format>
    <format dxfId="3833">
      <pivotArea dataOnly="0" labelOnly="1" fieldPosition="0">
        <references count="3">
          <reference field="4" count="1" selected="0">
            <x v="4"/>
          </reference>
          <reference field="6" count="1" selected="0">
            <x v="0"/>
          </reference>
          <reference field="7" count="1">
            <x v="21"/>
          </reference>
        </references>
      </pivotArea>
    </format>
    <format dxfId="3832">
      <pivotArea dataOnly="0" labelOnly="1" fieldPosition="0">
        <references count="3">
          <reference field="4" count="1" selected="0">
            <x v="4"/>
          </reference>
          <reference field="6" count="1" selected="0">
            <x v="1"/>
          </reference>
          <reference field="7" count="1">
            <x v="24"/>
          </reference>
        </references>
      </pivotArea>
    </format>
    <format dxfId="3831">
      <pivotArea dataOnly="0" labelOnly="1" fieldPosition="0">
        <references count="3">
          <reference field="4" count="1" selected="0">
            <x v="4"/>
          </reference>
          <reference field="6" count="1" selected="0">
            <x v="2"/>
          </reference>
          <reference field="7" count="2">
            <x v="29"/>
            <x v="31"/>
          </reference>
        </references>
      </pivotArea>
    </format>
    <format dxfId="3830">
      <pivotArea dataOnly="0" labelOnly="1" fieldPosition="0">
        <references count="3">
          <reference field="4" count="1" selected="0">
            <x v="4"/>
          </reference>
          <reference field="6" count="1" selected="0">
            <x v="3"/>
          </reference>
          <reference field="7" count="2">
            <x v="0"/>
            <x v="1"/>
          </reference>
        </references>
      </pivotArea>
    </format>
    <format dxfId="3829">
      <pivotArea dataOnly="0" labelOnly="1" fieldPosition="0">
        <references count="3">
          <reference field="4" count="1" selected="0">
            <x v="5"/>
          </reference>
          <reference field="6" count="1" selected="0">
            <x v="0"/>
          </reference>
          <reference field="7" count="2">
            <x v="18"/>
            <x v="22"/>
          </reference>
        </references>
      </pivotArea>
    </format>
    <format dxfId="3828">
      <pivotArea dataOnly="0" labelOnly="1" fieldPosition="0">
        <references count="3">
          <reference field="4" count="1" selected="0">
            <x v="5"/>
          </reference>
          <reference field="6" count="1" selected="0">
            <x v="4"/>
          </reference>
          <reference field="7" count="1">
            <x v="8"/>
          </reference>
        </references>
      </pivotArea>
    </format>
    <format dxfId="3827">
      <pivotArea dataOnly="0" labelOnly="1" fieldPosition="0">
        <references count="3">
          <reference field="4" count="1" selected="0">
            <x v="6"/>
          </reference>
          <reference field="6" count="1" selected="0">
            <x v="1"/>
          </reference>
          <reference field="7" count="1">
            <x v="24"/>
          </reference>
        </references>
      </pivotArea>
    </format>
    <format dxfId="3826">
      <pivotArea dataOnly="0" labelOnly="1" fieldPosition="0">
        <references count="3">
          <reference field="4" count="1" selected="0">
            <x v="7"/>
          </reference>
          <reference field="6" count="1" selected="0">
            <x v="0"/>
          </reference>
          <reference field="7" count="1">
            <x v="16"/>
          </reference>
        </references>
      </pivotArea>
    </format>
    <format dxfId="3825">
      <pivotArea dataOnly="0" labelOnly="1" fieldPosition="0">
        <references count="3">
          <reference field="4" count="1" selected="0">
            <x v="7"/>
          </reference>
          <reference field="6" count="1" selected="0">
            <x v="2"/>
          </reference>
          <reference field="7" count="2">
            <x v="29"/>
            <x v="30"/>
          </reference>
        </references>
      </pivotArea>
    </format>
    <format dxfId="3824">
      <pivotArea dataOnly="0" labelOnly="1" fieldPosition="0">
        <references count="3">
          <reference field="4" count="1" selected="0">
            <x v="7"/>
          </reference>
          <reference field="6" count="1" selected="0">
            <x v="3"/>
          </reference>
          <reference field="7" count="1">
            <x v="6"/>
          </reference>
        </references>
      </pivotArea>
    </format>
    <format dxfId="3823">
      <pivotArea dataOnly="0" labelOnly="1" fieldPosition="0">
        <references count="3">
          <reference field="4" count="1" selected="0">
            <x v="7"/>
          </reference>
          <reference field="6" count="1" selected="0">
            <x v="4"/>
          </reference>
          <reference field="7" count="8">
            <x v="8"/>
            <x v="9"/>
            <x v="10"/>
            <x v="11"/>
            <x v="12"/>
            <x v="13"/>
            <x v="14"/>
            <x v="15"/>
          </reference>
        </references>
      </pivotArea>
    </format>
    <format dxfId="3822">
      <pivotArea dataOnly="0" labelOnly="1" fieldPosition="0">
        <references count="3">
          <reference field="4" count="1" selected="0">
            <x v="8"/>
          </reference>
          <reference field="6" count="1" selected="0">
            <x v="0"/>
          </reference>
          <reference field="7" count="2">
            <x v="18"/>
            <x v="22"/>
          </reference>
        </references>
      </pivotArea>
    </format>
    <format dxfId="3821">
      <pivotArea dataOnly="0" labelOnly="1" fieldPosition="0">
        <references count="3">
          <reference field="4" count="1" selected="0">
            <x v="8"/>
          </reference>
          <reference field="6" count="1" selected="0">
            <x v="1"/>
          </reference>
          <reference field="7" count="1">
            <x v="28"/>
          </reference>
        </references>
      </pivotArea>
    </format>
    <format dxfId="3820">
      <pivotArea dataOnly="0" labelOnly="1" fieldPosition="0">
        <references count="3">
          <reference field="4" count="1" selected="0">
            <x v="8"/>
          </reference>
          <reference field="6" count="1" selected="0">
            <x v="2"/>
          </reference>
          <reference field="7" count="1">
            <x v="32"/>
          </reference>
        </references>
      </pivotArea>
    </format>
    <format dxfId="3819">
      <pivotArea dataOnly="0" labelOnly="1" fieldPosition="0">
        <references count="3">
          <reference field="4" count="1" selected="0">
            <x v="8"/>
          </reference>
          <reference field="6" count="1" selected="0">
            <x v="3"/>
          </reference>
          <reference field="7" count="1">
            <x v="6"/>
          </reference>
        </references>
      </pivotArea>
    </format>
    <format dxfId="3818">
      <pivotArea dataOnly="0" labelOnly="1" fieldPosition="0">
        <references count="3">
          <reference field="4" count="1" selected="0">
            <x v="9"/>
          </reference>
          <reference field="6" count="1" selected="0">
            <x v="1"/>
          </reference>
          <reference field="7" count="1">
            <x v="25"/>
          </reference>
        </references>
      </pivotArea>
    </format>
    <format dxfId="3817">
      <pivotArea dataOnly="0" labelOnly="1" fieldPosition="0">
        <references count="3">
          <reference field="4" count="1" selected="0">
            <x v="10"/>
          </reference>
          <reference field="6" count="1" selected="0">
            <x v="3"/>
          </reference>
          <reference field="7" count="1">
            <x v="6"/>
          </reference>
        </references>
      </pivotArea>
    </format>
    <format dxfId="3816">
      <pivotArea dataOnly="0" labelOnly="1" fieldPosition="0">
        <references count="3">
          <reference field="4" count="1" selected="0">
            <x v="11"/>
          </reference>
          <reference field="6" count="1" selected="0">
            <x v="0"/>
          </reference>
          <reference field="7" count="1">
            <x v="17"/>
          </reference>
        </references>
      </pivotArea>
    </format>
    <format dxfId="3815">
      <pivotArea dataOnly="0" labelOnly="1" fieldPosition="0">
        <references count="3">
          <reference field="4" count="1" selected="0">
            <x v="12"/>
          </reference>
          <reference field="6" count="1" selected="0">
            <x v="0"/>
          </reference>
          <reference field="7" count="1">
            <x v="18"/>
          </reference>
        </references>
      </pivotArea>
    </format>
    <format dxfId="3814">
      <pivotArea dataOnly="0" labelOnly="1" fieldPosition="0">
        <references count="3">
          <reference field="4" count="1" selected="0">
            <x v="13"/>
          </reference>
          <reference field="6" count="1" selected="0">
            <x v="3"/>
          </reference>
          <reference field="7" count="2">
            <x v="1"/>
            <x v="5"/>
          </reference>
        </references>
      </pivotArea>
    </format>
    <format dxfId="3813">
      <pivotArea dataOnly="0" labelOnly="1" fieldPosition="0">
        <references count="3">
          <reference field="4" count="1" selected="0">
            <x v="14"/>
          </reference>
          <reference field="6" count="1" selected="0">
            <x v="1"/>
          </reference>
          <reference field="7" count="1">
            <x v="26"/>
          </reference>
        </references>
      </pivotArea>
    </format>
    <format dxfId="3812">
      <pivotArea dataOnly="0" labelOnly="1" fieldPosition="0">
        <references count="3">
          <reference field="4" count="1" selected="0">
            <x v="15"/>
          </reference>
          <reference field="6" count="1" selected="0">
            <x v="0"/>
          </reference>
          <reference field="7" count="1">
            <x v="20"/>
          </reference>
        </references>
      </pivotArea>
    </format>
    <format dxfId="3811">
      <pivotArea dataOnly="0" labelOnly="1" fieldPosition="0">
        <references count="3">
          <reference field="4" count="1" selected="0">
            <x v="16"/>
          </reference>
          <reference field="6" count="1" selected="0">
            <x v="1"/>
          </reference>
          <reference field="7" count="1">
            <x v="27"/>
          </reference>
        </references>
      </pivotArea>
    </format>
    <format dxfId="3810">
      <pivotArea dataOnly="0" labelOnly="1" fieldPosition="0">
        <references count="3">
          <reference field="4" count="1" selected="0">
            <x v="16"/>
          </reference>
          <reference field="6" count="1" selected="0">
            <x v="3"/>
          </reference>
          <reference field="7" count="1">
            <x v="1"/>
          </reference>
        </references>
      </pivotArea>
    </format>
    <format dxfId="3809">
      <pivotArea dataOnly="0" labelOnly="1" fieldPosition="0">
        <references count="3">
          <reference field="4" count="1" selected="0">
            <x v="16"/>
          </reference>
          <reference field="6" count="1" selected="0">
            <x v="4"/>
          </reference>
          <reference field="7" count="2">
            <x v="8"/>
            <x v="11"/>
          </reference>
        </references>
      </pivotArea>
    </format>
    <format dxfId="3808">
      <pivotArea dataOnly="0" labelOnly="1" fieldPosition="0">
        <references count="3">
          <reference field="4" count="1" selected="0">
            <x v="17"/>
          </reference>
          <reference field="6" count="1" selected="0">
            <x v="0"/>
          </reference>
          <reference field="7" count="2">
            <x v="16"/>
            <x v="22"/>
          </reference>
        </references>
      </pivotArea>
    </format>
    <format dxfId="3807">
      <pivotArea dataOnly="0" labelOnly="1" fieldPosition="0">
        <references count="3">
          <reference field="4" count="1" selected="0">
            <x v="18"/>
          </reference>
          <reference field="6" count="1" selected="0">
            <x v="3"/>
          </reference>
          <reference field="7" count="1">
            <x v="2"/>
          </reference>
        </references>
      </pivotArea>
    </format>
    <format dxfId="3806">
      <pivotArea dataOnly="0" labelOnly="1" fieldPosition="0">
        <references count="3">
          <reference field="4" count="1" selected="0">
            <x v="19"/>
          </reference>
          <reference field="6" count="1" selected="0">
            <x v="3"/>
          </reference>
          <reference field="7" count="1">
            <x v="6"/>
          </reference>
        </references>
      </pivotArea>
    </format>
    <format dxfId="3805">
      <pivotArea dataOnly="0" labelOnly="1" fieldPosition="0">
        <references count="3">
          <reference field="4" count="1" selected="0">
            <x v="20"/>
          </reference>
          <reference field="6" count="1" selected="0">
            <x v="1"/>
          </reference>
          <reference field="7" count="1">
            <x v="24"/>
          </reference>
        </references>
      </pivotArea>
    </format>
    <format dxfId="3804">
      <pivotArea dataOnly="0" labelOnly="1" fieldPosition="0">
        <references count="4">
          <reference field="4" count="1" selected="0">
            <x v="0"/>
          </reference>
          <reference field="6" count="1" selected="0">
            <x v="0"/>
          </reference>
          <reference field="7" count="1" selected="0">
            <x v="17"/>
          </reference>
          <reference field="8" count="5">
            <x v="65"/>
            <x v="66"/>
            <x v="67"/>
            <x v="68"/>
            <x v="69"/>
          </reference>
        </references>
      </pivotArea>
    </format>
    <format dxfId="3803">
      <pivotArea dataOnly="0" labelOnly="1" fieldPosition="0">
        <references count="4">
          <reference field="4" count="1" selected="0">
            <x v="0"/>
          </reference>
          <reference field="6" count="1" selected="0">
            <x v="0"/>
          </reference>
          <reference field="7" count="1" selected="0">
            <x v="19"/>
          </reference>
          <reference field="8" count="3">
            <x v="78"/>
            <x v="79"/>
            <x v="80"/>
          </reference>
        </references>
      </pivotArea>
    </format>
    <format dxfId="3802">
      <pivotArea dataOnly="0" labelOnly="1" fieldPosition="0">
        <references count="4">
          <reference field="4" count="1" selected="0">
            <x v="0"/>
          </reference>
          <reference field="6" count="1" selected="0">
            <x v="1"/>
          </reference>
          <reference field="7" count="1" selected="0">
            <x v="23"/>
          </reference>
          <reference field="8" count="10">
            <x v="95"/>
            <x v="96"/>
            <x v="97"/>
            <x v="98"/>
            <x v="99"/>
            <x v="100"/>
            <x v="101"/>
            <x v="102"/>
            <x v="103"/>
            <x v="104"/>
          </reference>
        </references>
      </pivotArea>
    </format>
    <format dxfId="3801">
      <pivotArea dataOnly="0" labelOnly="1" fieldPosition="0">
        <references count="4">
          <reference field="4" count="1" selected="0">
            <x v="0"/>
          </reference>
          <reference field="6" count="1" selected="0">
            <x v="1"/>
          </reference>
          <reference field="7" count="1" selected="0">
            <x v="26"/>
          </reference>
          <reference field="8" count="1">
            <x v="131"/>
          </reference>
        </references>
      </pivotArea>
    </format>
    <format dxfId="3800">
      <pivotArea dataOnly="0" labelOnly="1" fieldPosition="0">
        <references count="4">
          <reference field="4" count="1" selected="0">
            <x v="1"/>
          </reference>
          <reference field="6" count="1" selected="0">
            <x v="0"/>
          </reference>
          <reference field="7" count="1" selected="0">
            <x v="19"/>
          </reference>
          <reference field="8" count="1">
            <x v="81"/>
          </reference>
        </references>
      </pivotArea>
    </format>
    <format dxfId="3799">
      <pivotArea dataOnly="0" labelOnly="1" fieldPosition="0">
        <references count="4">
          <reference field="4" count="1" selected="0">
            <x v="1"/>
          </reference>
          <reference field="6" count="1" selected="0">
            <x v="3"/>
          </reference>
          <reference field="7" count="1" selected="0">
            <x v="2"/>
          </reference>
          <reference field="8" count="7">
            <x v="7"/>
            <x v="10"/>
            <x v="11"/>
            <x v="12"/>
            <x v="13"/>
            <x v="14"/>
            <x v="15"/>
          </reference>
        </references>
      </pivotArea>
    </format>
    <format dxfId="3798">
      <pivotArea dataOnly="0" labelOnly="1" fieldPosition="0">
        <references count="4">
          <reference field="4" count="1" selected="0">
            <x v="1"/>
          </reference>
          <reference field="6" count="1" selected="0">
            <x v="3"/>
          </reference>
          <reference field="7" count="1" selected="0">
            <x v="3"/>
          </reference>
          <reference field="8" count="2">
            <x v="18"/>
            <x v="19"/>
          </reference>
        </references>
      </pivotArea>
    </format>
    <format dxfId="3797">
      <pivotArea dataOnly="0" labelOnly="1" fieldPosition="0">
        <references count="4">
          <reference field="4" count="1" selected="0">
            <x v="1"/>
          </reference>
          <reference field="6" count="1" selected="0">
            <x v="3"/>
          </reference>
          <reference field="7" count="1" selected="0">
            <x v="4"/>
          </reference>
          <reference field="8" count="2">
            <x v="20"/>
            <x v="21"/>
          </reference>
        </references>
      </pivotArea>
    </format>
    <format dxfId="3796">
      <pivotArea dataOnly="0" labelOnly="1" fieldPosition="0">
        <references count="4">
          <reference field="4" count="1" selected="0">
            <x v="1"/>
          </reference>
          <reference field="6" count="1" selected="0">
            <x v="4"/>
          </reference>
          <reference field="7" count="1" selected="0">
            <x v="8"/>
          </reference>
          <reference field="8" count="3">
            <x v="33"/>
            <x v="34"/>
            <x v="39"/>
          </reference>
        </references>
      </pivotArea>
    </format>
    <format dxfId="3795">
      <pivotArea dataOnly="0" labelOnly="1" fieldPosition="0">
        <references count="4">
          <reference field="4" count="1" selected="0">
            <x v="2"/>
          </reference>
          <reference field="6" count="1" selected="0">
            <x v="2"/>
          </reference>
          <reference field="7" count="1" selected="0">
            <x v="29"/>
          </reference>
          <reference field="8" count="6">
            <x v="145"/>
            <x v="146"/>
            <x v="147"/>
            <x v="148"/>
            <x v="149"/>
            <x v="150"/>
          </reference>
        </references>
      </pivotArea>
    </format>
    <format dxfId="3794">
      <pivotArea dataOnly="0" labelOnly="1" fieldPosition="0">
        <references count="4">
          <reference field="4" count="1" selected="0">
            <x v="2"/>
          </reference>
          <reference field="6" count="1" selected="0">
            <x v="2"/>
          </reference>
          <reference field="7" count="1" selected="0">
            <x v="30"/>
          </reference>
          <reference field="8" count="2">
            <x v="152"/>
            <x v="153"/>
          </reference>
        </references>
      </pivotArea>
    </format>
    <format dxfId="3793">
      <pivotArea dataOnly="0" labelOnly="1" fieldPosition="0">
        <references count="4">
          <reference field="4" count="1" selected="0">
            <x v="2"/>
          </reference>
          <reference field="6" count="1" selected="0">
            <x v="3"/>
          </reference>
          <reference field="7" count="1" selected="0">
            <x v="5"/>
          </reference>
          <reference field="8" count="1">
            <x v="24"/>
          </reference>
        </references>
      </pivotArea>
    </format>
    <format dxfId="3792">
      <pivotArea dataOnly="0" labelOnly="1" fieldPosition="0">
        <references count="4">
          <reference field="4" count="1" selected="0">
            <x v="2"/>
          </reference>
          <reference field="6" count="1" selected="0">
            <x v="3"/>
          </reference>
          <reference field="7" count="1" selected="0">
            <x v="7"/>
          </reference>
          <reference field="8" count="2">
            <x v="31"/>
            <x v="32"/>
          </reference>
        </references>
      </pivotArea>
    </format>
    <format dxfId="3791">
      <pivotArea dataOnly="0" labelOnly="1" fieldPosition="0">
        <references count="4">
          <reference field="4" count="1" selected="0">
            <x v="2"/>
          </reference>
          <reference field="6" count="1" selected="0">
            <x v="4"/>
          </reference>
          <reference field="7" count="1" selected="0">
            <x v="8"/>
          </reference>
          <reference field="8" count="2">
            <x v="36"/>
            <x v="39"/>
          </reference>
        </references>
      </pivotArea>
    </format>
    <format dxfId="3790">
      <pivotArea dataOnly="0" labelOnly="1" fieldPosition="0">
        <references count="4">
          <reference field="4" count="1" selected="0">
            <x v="3"/>
          </reference>
          <reference field="6" count="1" selected="0">
            <x v="3"/>
          </reference>
          <reference field="7" count="1" selected="0">
            <x v="6"/>
          </reference>
          <reference field="8" count="1">
            <x v="29"/>
          </reference>
        </references>
      </pivotArea>
    </format>
    <format dxfId="3789">
      <pivotArea dataOnly="0" labelOnly="1" fieldPosition="0">
        <references count="4">
          <reference field="4" count="1" selected="0">
            <x v="4"/>
          </reference>
          <reference field="6" count="1" selected="0">
            <x v="0"/>
          </reference>
          <reference field="7" count="1" selected="0">
            <x v="21"/>
          </reference>
          <reference field="8" count="5">
            <x v="87"/>
            <x v="88"/>
            <x v="89"/>
            <x v="90"/>
            <x v="91"/>
          </reference>
        </references>
      </pivotArea>
    </format>
    <format dxfId="3788">
      <pivotArea dataOnly="0" labelOnly="1" fieldPosition="0">
        <references count="4">
          <reference field="4" count="1" selected="0">
            <x v="4"/>
          </reference>
          <reference field="6" count="1" selected="0">
            <x v="1"/>
          </reference>
          <reference field="7" count="1" selected="0">
            <x v="24"/>
          </reference>
          <reference field="8" count="1">
            <x v="114"/>
          </reference>
        </references>
      </pivotArea>
    </format>
    <format dxfId="3787">
      <pivotArea dataOnly="0" labelOnly="1" fieldPosition="0">
        <references count="4">
          <reference field="4" count="1" selected="0">
            <x v="4"/>
          </reference>
          <reference field="6" count="1" selected="0">
            <x v="2"/>
          </reference>
          <reference field="7" count="1" selected="0">
            <x v="29"/>
          </reference>
          <reference field="8" count="3">
            <x v="142"/>
            <x v="143"/>
            <x v="151"/>
          </reference>
        </references>
      </pivotArea>
    </format>
    <format dxfId="3786">
      <pivotArea dataOnly="0" labelOnly="1" fieldPosition="0">
        <references count="4">
          <reference field="4" count="1" selected="0">
            <x v="4"/>
          </reference>
          <reference field="6" count="1" selected="0">
            <x v="2"/>
          </reference>
          <reference field="7" count="1" selected="0">
            <x v="31"/>
          </reference>
          <reference field="8" count="3">
            <x v="155"/>
            <x v="156"/>
            <x v="157"/>
          </reference>
        </references>
      </pivotArea>
    </format>
    <format dxfId="3785">
      <pivotArea dataOnly="0" labelOnly="1" fieldPosition="0">
        <references count="4">
          <reference field="4" count="1" selected="0">
            <x v="4"/>
          </reference>
          <reference field="6" count="1" selected="0">
            <x v="3"/>
          </reference>
          <reference field="7" count="1" selected="0">
            <x v="0"/>
          </reference>
          <reference field="8" count="2">
            <x v="0"/>
            <x v="1"/>
          </reference>
        </references>
      </pivotArea>
    </format>
    <format dxfId="3784">
      <pivotArea dataOnly="0" labelOnly="1" fieldPosition="0">
        <references count="4">
          <reference field="4" count="1" selected="0">
            <x v="4"/>
          </reference>
          <reference field="6" count="1" selected="0">
            <x v="3"/>
          </reference>
          <reference field="7" count="1" selected="0">
            <x v="1"/>
          </reference>
          <reference field="8" count="4">
            <x v="2"/>
            <x v="3"/>
            <x v="4"/>
            <x v="5"/>
          </reference>
        </references>
      </pivotArea>
    </format>
    <format dxfId="3783">
      <pivotArea dataOnly="0" labelOnly="1" fieldPosition="0">
        <references count="4">
          <reference field="4" count="1" selected="0">
            <x v="5"/>
          </reference>
          <reference field="6" count="1" selected="0">
            <x v="0"/>
          </reference>
          <reference field="7" count="1" selected="0">
            <x v="18"/>
          </reference>
          <reference field="8" count="3">
            <x v="73"/>
            <x v="74"/>
            <x v="77"/>
          </reference>
        </references>
      </pivotArea>
    </format>
    <format dxfId="3782">
      <pivotArea dataOnly="0" labelOnly="1" fieldPosition="0">
        <references count="4">
          <reference field="4" count="1" selected="0">
            <x v="5"/>
          </reference>
          <reference field="6" count="1" selected="0">
            <x v="0"/>
          </reference>
          <reference field="7" count="1" selected="0">
            <x v="22"/>
          </reference>
          <reference field="8" count="1">
            <x v="94"/>
          </reference>
        </references>
      </pivotArea>
    </format>
    <format dxfId="3781">
      <pivotArea dataOnly="0" labelOnly="1" fieldPosition="0">
        <references count="4">
          <reference field="4" count="1" selected="0">
            <x v="5"/>
          </reference>
          <reference field="6" count="1" selected="0">
            <x v="4"/>
          </reference>
          <reference field="7" count="1" selected="0">
            <x v="8"/>
          </reference>
          <reference field="8" count="1">
            <x v="37"/>
          </reference>
        </references>
      </pivotArea>
    </format>
    <format dxfId="3780">
      <pivotArea dataOnly="0" labelOnly="1" fieldPosition="0">
        <references count="4">
          <reference field="4" count="1" selected="0">
            <x v="6"/>
          </reference>
          <reference field="6" count="1" selected="0">
            <x v="1"/>
          </reference>
          <reference field="7" count="1" selected="0">
            <x v="24"/>
          </reference>
          <reference field="8" count="8">
            <x v="105"/>
            <x v="107"/>
            <x v="108"/>
            <x v="109"/>
            <x v="110"/>
            <x v="111"/>
            <x v="112"/>
            <x v="113"/>
          </reference>
        </references>
      </pivotArea>
    </format>
    <format dxfId="3779">
      <pivotArea dataOnly="0" labelOnly="1" fieldPosition="0">
        <references count="4">
          <reference field="4" count="1" selected="0">
            <x v="7"/>
          </reference>
          <reference field="6" count="1" selected="0">
            <x v="0"/>
          </reference>
          <reference field="7" count="1" selected="0">
            <x v="16"/>
          </reference>
          <reference field="8" count="1">
            <x v="64"/>
          </reference>
        </references>
      </pivotArea>
    </format>
    <format dxfId="3778">
      <pivotArea dataOnly="0" labelOnly="1" fieldPosition="0">
        <references count="4">
          <reference field="4" count="1" selected="0">
            <x v="7"/>
          </reference>
          <reference field="6" count="1" selected="0">
            <x v="2"/>
          </reference>
          <reference field="7" count="1" selected="0">
            <x v="29"/>
          </reference>
          <reference field="8" count="4">
            <x v="140"/>
            <x v="141"/>
            <x v="144"/>
            <x v="145"/>
          </reference>
        </references>
      </pivotArea>
    </format>
    <format dxfId="3777">
      <pivotArea dataOnly="0" labelOnly="1" fieldPosition="0">
        <references count="4">
          <reference field="4" count="1" selected="0">
            <x v="7"/>
          </reference>
          <reference field="6" count="1" selected="0">
            <x v="2"/>
          </reference>
          <reference field="7" count="1" selected="0">
            <x v="30"/>
          </reference>
          <reference field="8" count="1">
            <x v="154"/>
          </reference>
        </references>
      </pivotArea>
    </format>
    <format dxfId="3776">
      <pivotArea dataOnly="0" labelOnly="1" fieldPosition="0">
        <references count="4">
          <reference field="4" count="1" selected="0">
            <x v="7"/>
          </reference>
          <reference field="6" count="1" selected="0">
            <x v="3"/>
          </reference>
          <reference field="7" count="1" selected="0">
            <x v="6"/>
          </reference>
          <reference field="8" count="1">
            <x v="28"/>
          </reference>
        </references>
      </pivotArea>
    </format>
    <format dxfId="3775">
      <pivotArea dataOnly="0" labelOnly="1" fieldPosition="0">
        <references count="4">
          <reference field="4" count="1" selected="0">
            <x v="7"/>
          </reference>
          <reference field="6" count="1" selected="0">
            <x v="4"/>
          </reference>
          <reference field="7" count="1" selected="0">
            <x v="8"/>
          </reference>
          <reference field="8" count="2">
            <x v="35"/>
            <x v="36"/>
          </reference>
        </references>
      </pivotArea>
    </format>
    <format dxfId="3774">
      <pivotArea dataOnly="0" labelOnly="1" fieldPosition="0">
        <references count="4">
          <reference field="4" count="1" selected="0">
            <x v="7"/>
          </reference>
          <reference field="6" count="1" selected="0">
            <x v="4"/>
          </reference>
          <reference field="7" count="1" selected="0">
            <x v="9"/>
          </reference>
          <reference field="8" count="4">
            <x v="40"/>
            <x v="41"/>
            <x v="42"/>
            <x v="43"/>
          </reference>
        </references>
      </pivotArea>
    </format>
    <format dxfId="3773">
      <pivotArea dataOnly="0" labelOnly="1" fieldPosition="0">
        <references count="4">
          <reference field="4" count="1" selected="0">
            <x v="7"/>
          </reference>
          <reference field="6" count="1" selected="0">
            <x v="4"/>
          </reference>
          <reference field="7" count="1" selected="0">
            <x v="10"/>
          </reference>
          <reference field="8" count="4">
            <x v="44"/>
            <x v="45"/>
            <x v="46"/>
            <x v="47"/>
          </reference>
        </references>
      </pivotArea>
    </format>
    <format dxfId="3772">
      <pivotArea dataOnly="0" labelOnly="1" fieldPosition="0">
        <references count="4">
          <reference field="4" count="1" selected="0">
            <x v="7"/>
          </reference>
          <reference field="6" count="1" selected="0">
            <x v="4"/>
          </reference>
          <reference field="7" count="1" selected="0">
            <x v="11"/>
          </reference>
          <reference field="8" count="2">
            <x v="48"/>
            <x v="49"/>
          </reference>
        </references>
      </pivotArea>
    </format>
    <format dxfId="3771">
      <pivotArea dataOnly="0" labelOnly="1" fieldPosition="0">
        <references count="4">
          <reference field="4" count="1" selected="0">
            <x v="7"/>
          </reference>
          <reference field="6" count="1" selected="0">
            <x v="4"/>
          </reference>
          <reference field="7" count="1" selected="0">
            <x v="12"/>
          </reference>
          <reference field="8" count="1">
            <x v="50"/>
          </reference>
        </references>
      </pivotArea>
    </format>
    <format dxfId="3770">
      <pivotArea dataOnly="0" labelOnly="1" fieldPosition="0">
        <references count="4">
          <reference field="4" count="1" selected="0">
            <x v="7"/>
          </reference>
          <reference field="6" count="1" selected="0">
            <x v="4"/>
          </reference>
          <reference field="7" count="1" selected="0">
            <x v="13"/>
          </reference>
          <reference field="8" count="3">
            <x v="51"/>
            <x v="52"/>
            <x v="53"/>
          </reference>
        </references>
      </pivotArea>
    </format>
    <format dxfId="3769">
      <pivotArea dataOnly="0" labelOnly="1" fieldPosition="0">
        <references count="4">
          <reference field="4" count="1" selected="0">
            <x v="7"/>
          </reference>
          <reference field="6" count="1" selected="0">
            <x v="4"/>
          </reference>
          <reference field="7" count="1" selected="0">
            <x v="14"/>
          </reference>
          <reference field="8" count="2">
            <x v="54"/>
            <x v="55"/>
          </reference>
        </references>
      </pivotArea>
    </format>
    <format dxfId="3768">
      <pivotArea dataOnly="0" labelOnly="1" fieldPosition="0">
        <references count="4">
          <reference field="4" count="1" selected="0">
            <x v="7"/>
          </reference>
          <reference field="6" count="1" selected="0">
            <x v="4"/>
          </reference>
          <reference field="7" count="1" selected="0">
            <x v="15"/>
          </reference>
          <reference field="8" count="1">
            <x v="56"/>
          </reference>
        </references>
      </pivotArea>
    </format>
    <format dxfId="3767">
      <pivotArea dataOnly="0" labelOnly="1" fieldPosition="0">
        <references count="4">
          <reference field="4" count="1" selected="0">
            <x v="8"/>
          </reference>
          <reference field="6" count="1" selected="0">
            <x v="0"/>
          </reference>
          <reference field="7" count="1" selected="0">
            <x v="18"/>
          </reference>
          <reference field="8" count="1">
            <x v="77"/>
          </reference>
        </references>
      </pivotArea>
    </format>
    <format dxfId="3766">
      <pivotArea dataOnly="0" labelOnly="1" fieldPosition="0">
        <references count="4">
          <reference field="4" count="1" selected="0">
            <x v="8"/>
          </reference>
          <reference field="6" count="1" selected="0">
            <x v="0"/>
          </reference>
          <reference field="7" count="1" selected="0">
            <x v="22"/>
          </reference>
          <reference field="8" count="3">
            <x v="92"/>
            <x v="93"/>
            <x v="94"/>
          </reference>
        </references>
      </pivotArea>
    </format>
    <format dxfId="3765">
      <pivotArea dataOnly="0" labelOnly="1" fieldPosition="0">
        <references count="4">
          <reference field="4" count="1" selected="0">
            <x v="8"/>
          </reference>
          <reference field="6" count="1" selected="0">
            <x v="1"/>
          </reference>
          <reference field="7" count="1" selected="0">
            <x v="28"/>
          </reference>
          <reference field="8" count="2">
            <x v="138"/>
            <x v="139"/>
          </reference>
        </references>
      </pivotArea>
    </format>
    <format dxfId="3764">
      <pivotArea dataOnly="0" labelOnly="1" fieldPosition="0">
        <references count="4">
          <reference field="4" count="1" selected="0">
            <x v="8"/>
          </reference>
          <reference field="6" count="1" selected="0">
            <x v="2"/>
          </reference>
          <reference field="7" count="1" selected="0">
            <x v="32"/>
          </reference>
          <reference field="8" count="2">
            <x v="158"/>
            <x v="159"/>
          </reference>
        </references>
      </pivotArea>
    </format>
    <format dxfId="3763">
      <pivotArea dataOnly="0" labelOnly="1" fieldPosition="0">
        <references count="4">
          <reference field="4" count="1" selected="0">
            <x v="8"/>
          </reference>
          <reference field="6" count="1" selected="0">
            <x v="3"/>
          </reference>
          <reference field="7" count="1" selected="0">
            <x v="6"/>
          </reference>
          <reference field="8" count="2">
            <x v="29"/>
            <x v="30"/>
          </reference>
        </references>
      </pivotArea>
    </format>
    <format dxfId="3762">
      <pivotArea dataOnly="0" labelOnly="1" fieldPosition="0">
        <references count="4">
          <reference field="4" count="1" selected="0">
            <x v="9"/>
          </reference>
          <reference field="6" count="1" selected="0">
            <x v="1"/>
          </reference>
          <reference field="7" count="1" selected="0">
            <x v="25"/>
          </reference>
          <reference field="8" count="10">
            <x v="115"/>
            <x v="116"/>
            <x v="117"/>
            <x v="118"/>
            <x v="119"/>
            <x v="120"/>
            <x v="121"/>
            <x v="122"/>
            <x v="123"/>
            <x v="124"/>
          </reference>
        </references>
      </pivotArea>
    </format>
    <format dxfId="3761">
      <pivotArea dataOnly="0" labelOnly="1" fieldPosition="0">
        <references count="4">
          <reference field="4" count="1" selected="0">
            <x v="10"/>
          </reference>
          <reference field="6" count="1" selected="0">
            <x v="3"/>
          </reference>
          <reference field="7" count="1" selected="0">
            <x v="6"/>
          </reference>
          <reference field="8" count="1">
            <x v="29"/>
          </reference>
        </references>
      </pivotArea>
    </format>
    <format dxfId="3760">
      <pivotArea dataOnly="0" labelOnly="1" fieldPosition="0">
        <references count="4">
          <reference field="4" count="1" selected="0">
            <x v="11"/>
          </reference>
          <reference field="6" count="1" selected="0">
            <x v="0"/>
          </reference>
          <reference field="7" count="1" selected="0">
            <x v="17"/>
          </reference>
          <reference field="8" count="3">
            <x v="70"/>
            <x v="71"/>
            <x v="72"/>
          </reference>
        </references>
      </pivotArea>
    </format>
    <format dxfId="3759">
      <pivotArea dataOnly="0" labelOnly="1" fieldPosition="0">
        <references count="4">
          <reference field="4" count="1" selected="0">
            <x v="12"/>
          </reference>
          <reference field="6" count="1" selected="0">
            <x v="0"/>
          </reference>
          <reference field="7" count="1" selected="0">
            <x v="18"/>
          </reference>
          <reference field="8" count="3">
            <x v="74"/>
            <x v="75"/>
            <x v="76"/>
          </reference>
        </references>
      </pivotArea>
    </format>
    <format dxfId="3758">
      <pivotArea dataOnly="0" labelOnly="1" fieldPosition="0">
        <references count="4">
          <reference field="4" count="1" selected="0">
            <x v="13"/>
          </reference>
          <reference field="6" count="1" selected="0">
            <x v="3"/>
          </reference>
          <reference field="7" count="1" selected="0">
            <x v="1"/>
          </reference>
          <reference field="8" count="1">
            <x v="6"/>
          </reference>
        </references>
      </pivotArea>
    </format>
    <format dxfId="3757">
      <pivotArea dataOnly="0" labelOnly="1" fieldPosition="0">
        <references count="4">
          <reference field="4" count="1" selected="0">
            <x v="13"/>
          </reference>
          <reference field="6" count="1" selected="0">
            <x v="3"/>
          </reference>
          <reference field="7" count="1" selected="0">
            <x v="5"/>
          </reference>
          <reference field="8" count="6">
            <x v="22"/>
            <x v="23"/>
            <x v="24"/>
            <x v="25"/>
            <x v="26"/>
            <x v="27"/>
          </reference>
        </references>
      </pivotArea>
    </format>
    <format dxfId="3756">
      <pivotArea dataOnly="0" labelOnly="1" fieldPosition="0">
        <references count="4">
          <reference field="4" count="1" selected="0">
            <x v="14"/>
          </reference>
          <reference field="6" count="1" selected="0">
            <x v="1"/>
          </reference>
          <reference field="7" count="1" selected="0">
            <x v="26"/>
          </reference>
          <reference field="8" count="7">
            <x v="125"/>
            <x v="126"/>
            <x v="127"/>
            <x v="128"/>
            <x v="129"/>
            <x v="130"/>
            <x v="131"/>
          </reference>
        </references>
      </pivotArea>
    </format>
    <format dxfId="3755">
      <pivotArea dataOnly="0" labelOnly="1" fieldPosition="0">
        <references count="4">
          <reference field="4" count="1" selected="0">
            <x v="15"/>
          </reference>
          <reference field="6" count="1" selected="0">
            <x v="0"/>
          </reference>
          <reference field="7" count="1" selected="0">
            <x v="20"/>
          </reference>
          <reference field="8" count="5">
            <x v="82"/>
            <x v="83"/>
            <x v="84"/>
            <x v="85"/>
            <x v="86"/>
          </reference>
        </references>
      </pivotArea>
    </format>
    <format dxfId="3754">
      <pivotArea dataOnly="0" labelOnly="1" fieldPosition="0">
        <references count="4">
          <reference field="4" count="1" selected="0">
            <x v="16"/>
          </reference>
          <reference field="6" count="1" selected="0">
            <x v="1"/>
          </reference>
          <reference field="7" count="1" selected="0">
            <x v="27"/>
          </reference>
          <reference field="8" count="6">
            <x v="132"/>
            <x v="133"/>
            <x v="134"/>
            <x v="135"/>
            <x v="136"/>
            <x v="137"/>
          </reference>
        </references>
      </pivotArea>
    </format>
    <format dxfId="3753">
      <pivotArea dataOnly="0" labelOnly="1" fieldPosition="0">
        <references count="4">
          <reference field="4" count="1" selected="0">
            <x v="16"/>
          </reference>
          <reference field="6" count="1" selected="0">
            <x v="3"/>
          </reference>
          <reference field="7" count="1" selected="0">
            <x v="1"/>
          </reference>
          <reference field="8" count="1">
            <x v="6"/>
          </reference>
        </references>
      </pivotArea>
    </format>
    <format dxfId="3752">
      <pivotArea dataOnly="0" labelOnly="1" fieldPosition="0">
        <references count="4">
          <reference field="4" count="1" selected="0">
            <x v="16"/>
          </reference>
          <reference field="6" count="1" selected="0">
            <x v="4"/>
          </reference>
          <reference field="7" count="1" selected="0">
            <x v="8"/>
          </reference>
          <reference field="8" count="1">
            <x v="38"/>
          </reference>
        </references>
      </pivotArea>
    </format>
    <format dxfId="3751">
      <pivotArea dataOnly="0" labelOnly="1" fieldPosition="0">
        <references count="4">
          <reference field="4" count="1" selected="0">
            <x v="16"/>
          </reference>
          <reference field="6" count="1" selected="0">
            <x v="4"/>
          </reference>
          <reference field="7" count="1" selected="0">
            <x v="11"/>
          </reference>
          <reference field="8" count="1">
            <x v="48"/>
          </reference>
        </references>
      </pivotArea>
    </format>
    <format dxfId="3750">
      <pivotArea dataOnly="0" labelOnly="1" fieldPosition="0">
        <references count="4">
          <reference field="4" count="1" selected="0">
            <x v="17"/>
          </reference>
          <reference field="6" count="1" selected="0">
            <x v="0"/>
          </reference>
          <reference field="7" count="1" selected="0">
            <x v="16"/>
          </reference>
          <reference field="8" count="7">
            <x v="57"/>
            <x v="58"/>
            <x v="59"/>
            <x v="60"/>
            <x v="61"/>
            <x v="62"/>
            <x v="63"/>
          </reference>
        </references>
      </pivotArea>
    </format>
    <format dxfId="3749">
      <pivotArea dataOnly="0" labelOnly="1" fieldPosition="0">
        <references count="4">
          <reference field="4" count="1" selected="0">
            <x v="17"/>
          </reference>
          <reference field="6" count="1" selected="0">
            <x v="0"/>
          </reference>
          <reference field="7" count="1" selected="0">
            <x v="22"/>
          </reference>
          <reference field="8" count="1">
            <x v="94"/>
          </reference>
        </references>
      </pivotArea>
    </format>
    <format dxfId="3748">
      <pivotArea dataOnly="0" labelOnly="1" fieldPosition="0">
        <references count="4">
          <reference field="4" count="1" selected="0">
            <x v="18"/>
          </reference>
          <reference field="6" count="1" selected="0">
            <x v="3"/>
          </reference>
          <reference field="7" count="1" selected="0">
            <x v="2"/>
          </reference>
          <reference field="8" count="4">
            <x v="8"/>
            <x v="9"/>
            <x v="16"/>
            <x v="17"/>
          </reference>
        </references>
      </pivotArea>
    </format>
    <format dxfId="3747">
      <pivotArea dataOnly="0" labelOnly="1" fieldPosition="0">
        <references count="4">
          <reference field="4" count="1" selected="0">
            <x v="19"/>
          </reference>
          <reference field="6" count="1" selected="0">
            <x v="3"/>
          </reference>
          <reference field="7" count="1" selected="0">
            <x v="6"/>
          </reference>
          <reference field="8" count="1">
            <x v="29"/>
          </reference>
        </references>
      </pivotArea>
    </format>
    <format dxfId="3746">
      <pivotArea dataOnly="0" labelOnly="1" fieldPosition="0">
        <references count="4">
          <reference field="4" count="1" selected="0">
            <x v="20"/>
          </reference>
          <reference field="6" count="1" selected="0">
            <x v="1"/>
          </reference>
          <reference field="7" count="1" selected="0">
            <x v="24"/>
          </reference>
          <reference field="8" count="1">
            <x v="106"/>
          </reference>
        </references>
      </pivotArea>
    </format>
    <format dxfId="3745">
      <pivotArea dataOnly="0" labelOnly="1" fieldPosition="0">
        <references count="5">
          <reference field="4" count="1" selected="0">
            <x v="0"/>
          </reference>
          <reference field="6" count="1" selected="0">
            <x v="0"/>
          </reference>
          <reference field="7" count="1" selected="0">
            <x v="17"/>
          </reference>
          <reference field="8" count="1" selected="0">
            <x v="65"/>
          </reference>
          <reference field="15" count="1">
            <x v="108"/>
          </reference>
        </references>
      </pivotArea>
    </format>
    <format dxfId="3744">
      <pivotArea dataOnly="0" labelOnly="1" fieldPosition="0">
        <references count="5">
          <reference field="4" count="1" selected="0">
            <x v="0"/>
          </reference>
          <reference field="6" count="1" selected="0">
            <x v="0"/>
          </reference>
          <reference field="7" count="1" selected="0">
            <x v="17"/>
          </reference>
          <reference field="8" count="1" selected="0">
            <x v="66"/>
          </reference>
          <reference field="15" count="2">
            <x v="365"/>
            <x v="366"/>
          </reference>
        </references>
      </pivotArea>
    </format>
    <format dxfId="3743">
      <pivotArea dataOnly="0" labelOnly="1" fieldPosition="0">
        <references count="5">
          <reference field="4" count="1" selected="0">
            <x v="0"/>
          </reference>
          <reference field="6" count="1" selected="0">
            <x v="0"/>
          </reference>
          <reference field="7" count="1" selected="0">
            <x v="17"/>
          </reference>
          <reference field="8" count="1" selected="0">
            <x v="67"/>
          </reference>
          <reference field="15" count="2">
            <x v="364"/>
            <x v="370"/>
          </reference>
        </references>
      </pivotArea>
    </format>
    <format dxfId="3742">
      <pivotArea dataOnly="0" labelOnly="1" fieldPosition="0">
        <references count="5">
          <reference field="4" count="1" selected="0">
            <x v="0"/>
          </reference>
          <reference field="6" count="1" selected="0">
            <x v="0"/>
          </reference>
          <reference field="7" count="1" selected="0">
            <x v="17"/>
          </reference>
          <reference field="8" count="1" selected="0">
            <x v="68"/>
          </reference>
          <reference field="15" count="1">
            <x v="79"/>
          </reference>
        </references>
      </pivotArea>
    </format>
    <format dxfId="3741">
      <pivotArea dataOnly="0" labelOnly="1" fieldPosition="0">
        <references count="5">
          <reference field="4" count="1" selected="0">
            <x v="0"/>
          </reference>
          <reference field="6" count="1" selected="0">
            <x v="0"/>
          </reference>
          <reference field="7" count="1" selected="0">
            <x v="17"/>
          </reference>
          <reference field="8" count="1" selected="0">
            <x v="69"/>
          </reference>
          <reference field="15" count="1">
            <x v="42"/>
          </reference>
        </references>
      </pivotArea>
    </format>
    <format dxfId="3740">
      <pivotArea dataOnly="0" labelOnly="1" fieldPosition="0">
        <references count="5">
          <reference field="4" count="1" selected="0">
            <x v="0"/>
          </reference>
          <reference field="6" count="1" selected="0">
            <x v="0"/>
          </reference>
          <reference field="7" count="1" selected="0">
            <x v="19"/>
          </reference>
          <reference field="8" count="1" selected="0">
            <x v="78"/>
          </reference>
          <reference field="15" count="1">
            <x v="236"/>
          </reference>
        </references>
      </pivotArea>
    </format>
    <format dxfId="3739">
      <pivotArea dataOnly="0" labelOnly="1" fieldPosition="0">
        <references count="5">
          <reference field="4" count="1" selected="0">
            <x v="0"/>
          </reference>
          <reference field="6" count="1" selected="0">
            <x v="0"/>
          </reference>
          <reference field="7" count="1" selected="0">
            <x v="19"/>
          </reference>
          <reference field="8" count="1" selected="0">
            <x v="79"/>
          </reference>
          <reference field="15" count="1">
            <x v="12"/>
          </reference>
        </references>
      </pivotArea>
    </format>
    <format dxfId="3738">
      <pivotArea dataOnly="0" labelOnly="1" fieldPosition="0">
        <references count="5">
          <reference field="4" count="1" selected="0">
            <x v="0"/>
          </reference>
          <reference field="6" count="1" selected="0">
            <x v="0"/>
          </reference>
          <reference field="7" count="1" selected="0">
            <x v="19"/>
          </reference>
          <reference field="8" count="1" selected="0">
            <x v="80"/>
          </reference>
          <reference field="15" count="2">
            <x v="10"/>
            <x v="11"/>
          </reference>
        </references>
      </pivotArea>
    </format>
    <format dxfId="3737">
      <pivotArea dataOnly="0" labelOnly="1" fieldPosition="0">
        <references count="5">
          <reference field="4" count="1" selected="0">
            <x v="0"/>
          </reference>
          <reference field="6" count="1" selected="0">
            <x v="1"/>
          </reference>
          <reference field="7" count="1" selected="0">
            <x v="23"/>
          </reference>
          <reference field="8" count="1" selected="0">
            <x v="95"/>
          </reference>
          <reference field="15" count="1">
            <x v="250"/>
          </reference>
        </references>
      </pivotArea>
    </format>
    <format dxfId="3736">
      <pivotArea dataOnly="0" labelOnly="1" fieldPosition="0">
        <references count="5">
          <reference field="4" count="1" selected="0">
            <x v="0"/>
          </reference>
          <reference field="6" count="1" selected="0">
            <x v="1"/>
          </reference>
          <reference field="7" count="1" selected="0">
            <x v="23"/>
          </reference>
          <reference field="8" count="1" selected="0">
            <x v="96"/>
          </reference>
          <reference field="15" count="2">
            <x v="251"/>
            <x v="358"/>
          </reference>
        </references>
      </pivotArea>
    </format>
    <format dxfId="3735">
      <pivotArea dataOnly="0" labelOnly="1" fieldPosition="0">
        <references count="5">
          <reference field="4" count="1" selected="0">
            <x v="0"/>
          </reference>
          <reference field="6" count="1" selected="0">
            <x v="1"/>
          </reference>
          <reference field="7" count="1" selected="0">
            <x v="23"/>
          </reference>
          <reference field="8" count="1" selected="0">
            <x v="97"/>
          </reference>
          <reference field="15" count="1">
            <x v="257"/>
          </reference>
        </references>
      </pivotArea>
    </format>
    <format dxfId="3734">
      <pivotArea dataOnly="0" labelOnly="1" fieldPosition="0">
        <references count="5">
          <reference field="4" count="1" selected="0">
            <x v="0"/>
          </reference>
          <reference field="6" count="1" selected="0">
            <x v="1"/>
          </reference>
          <reference field="7" count="1" selected="0">
            <x v="23"/>
          </reference>
          <reference field="8" count="1" selected="0">
            <x v="98"/>
          </reference>
          <reference field="15" count="1">
            <x v="43"/>
          </reference>
        </references>
      </pivotArea>
    </format>
    <format dxfId="3733">
      <pivotArea dataOnly="0" labelOnly="1" fieldPosition="0">
        <references count="5">
          <reference field="4" count="1" selected="0">
            <x v="0"/>
          </reference>
          <reference field="6" count="1" selected="0">
            <x v="1"/>
          </reference>
          <reference field="7" count="1" selected="0">
            <x v="23"/>
          </reference>
          <reference field="8" count="1" selected="0">
            <x v="99"/>
          </reference>
          <reference field="15" count="1">
            <x v="254"/>
          </reference>
        </references>
      </pivotArea>
    </format>
    <format dxfId="3732">
      <pivotArea dataOnly="0" labelOnly="1" fieldPosition="0">
        <references count="5">
          <reference field="4" count="1" selected="0">
            <x v="0"/>
          </reference>
          <reference field="6" count="1" selected="0">
            <x v="1"/>
          </reference>
          <reference field="7" count="1" selected="0">
            <x v="23"/>
          </reference>
          <reference field="8" count="1" selected="0">
            <x v="100"/>
          </reference>
          <reference field="15" count="1">
            <x v="253"/>
          </reference>
        </references>
      </pivotArea>
    </format>
    <format dxfId="3731">
      <pivotArea dataOnly="0" labelOnly="1" fieldPosition="0">
        <references count="5">
          <reference field="4" count="1" selected="0">
            <x v="0"/>
          </reference>
          <reference field="6" count="1" selected="0">
            <x v="1"/>
          </reference>
          <reference field="7" count="1" selected="0">
            <x v="23"/>
          </reference>
          <reference field="8" count="1" selected="0">
            <x v="101"/>
          </reference>
          <reference field="15" count="1">
            <x v="255"/>
          </reference>
        </references>
      </pivotArea>
    </format>
    <format dxfId="3730">
      <pivotArea dataOnly="0" labelOnly="1" fieldPosition="0">
        <references count="5">
          <reference field="4" count="1" selected="0">
            <x v="0"/>
          </reference>
          <reference field="6" count="1" selected="0">
            <x v="1"/>
          </reference>
          <reference field="7" count="1" selected="0">
            <x v="23"/>
          </reference>
          <reference field="8" count="1" selected="0">
            <x v="102"/>
          </reference>
          <reference field="15" count="1">
            <x v="40"/>
          </reference>
        </references>
      </pivotArea>
    </format>
    <format dxfId="3729">
      <pivotArea dataOnly="0" labelOnly="1" fieldPosition="0">
        <references count="5">
          <reference field="4" count="1" selected="0">
            <x v="0"/>
          </reference>
          <reference field="6" count="1" selected="0">
            <x v="1"/>
          </reference>
          <reference field="7" count="1" selected="0">
            <x v="23"/>
          </reference>
          <reference field="8" count="1" selected="0">
            <x v="103"/>
          </reference>
          <reference field="15" count="1">
            <x v="252"/>
          </reference>
        </references>
      </pivotArea>
    </format>
    <format dxfId="3728">
      <pivotArea dataOnly="0" labelOnly="1" fieldPosition="0">
        <references count="5">
          <reference field="4" count="1" selected="0">
            <x v="0"/>
          </reference>
          <reference field="6" count="1" selected="0">
            <x v="1"/>
          </reference>
          <reference field="7" count="1" selected="0">
            <x v="23"/>
          </reference>
          <reference field="8" count="1" selected="0">
            <x v="104"/>
          </reference>
          <reference field="15" count="1">
            <x v="256"/>
          </reference>
        </references>
      </pivotArea>
    </format>
    <format dxfId="3727">
      <pivotArea dataOnly="0" labelOnly="1" fieldPosition="0">
        <references count="5">
          <reference field="4" count="1" selected="0">
            <x v="0"/>
          </reference>
          <reference field="6" count="1" selected="0">
            <x v="1"/>
          </reference>
          <reference field="7" count="1" selected="0">
            <x v="26"/>
          </reference>
          <reference field="8" count="1" selected="0">
            <x v="131"/>
          </reference>
          <reference field="15" count="1">
            <x v="13"/>
          </reference>
        </references>
      </pivotArea>
    </format>
    <format dxfId="3726">
      <pivotArea dataOnly="0" labelOnly="1" fieldPosition="0">
        <references count="5">
          <reference field="4" count="1" selected="0">
            <x v="1"/>
          </reference>
          <reference field="6" count="1" selected="0">
            <x v="0"/>
          </reference>
          <reference field="7" count="1" selected="0">
            <x v="19"/>
          </reference>
          <reference field="8" count="1" selected="0">
            <x v="81"/>
          </reference>
          <reference field="15" count="1">
            <x v="231"/>
          </reference>
        </references>
      </pivotArea>
    </format>
    <format dxfId="3725">
      <pivotArea dataOnly="0" labelOnly="1" fieldPosition="0">
        <references count="5">
          <reference field="4" count="1" selected="0">
            <x v="1"/>
          </reference>
          <reference field="6" count="1" selected="0">
            <x v="3"/>
          </reference>
          <reference field="7" count="1" selected="0">
            <x v="2"/>
          </reference>
          <reference field="8" count="1" selected="0">
            <x v="7"/>
          </reference>
          <reference field="15" count="5">
            <x v="117"/>
            <x v="124"/>
            <x v="131"/>
            <x v="380"/>
            <x v="400"/>
          </reference>
        </references>
      </pivotArea>
    </format>
    <format dxfId="3724">
      <pivotArea dataOnly="0" labelOnly="1" fieldPosition="0">
        <references count="5">
          <reference field="4" count="1" selected="0">
            <x v="1"/>
          </reference>
          <reference field="6" count="1" selected="0">
            <x v="3"/>
          </reference>
          <reference field="7" count="1" selected="0">
            <x v="2"/>
          </reference>
          <reference field="8" count="1" selected="0">
            <x v="10"/>
          </reference>
          <reference field="15" count="2">
            <x v="17"/>
            <x v="18"/>
          </reference>
        </references>
      </pivotArea>
    </format>
    <format dxfId="3723">
      <pivotArea dataOnly="0" labelOnly="1" fieldPosition="0">
        <references count="5">
          <reference field="4" count="1" selected="0">
            <x v="1"/>
          </reference>
          <reference field="6" count="1" selected="0">
            <x v="3"/>
          </reference>
          <reference field="7" count="1" selected="0">
            <x v="2"/>
          </reference>
          <reference field="8" count="1" selected="0">
            <x v="11"/>
          </reference>
          <reference field="15" count="2">
            <x v="7"/>
            <x v="8"/>
          </reference>
        </references>
      </pivotArea>
    </format>
    <format dxfId="3722">
      <pivotArea dataOnly="0" labelOnly="1" fieldPosition="0">
        <references count="5">
          <reference field="4" count="1" selected="0">
            <x v="1"/>
          </reference>
          <reference field="6" count="1" selected="0">
            <x v="3"/>
          </reference>
          <reference field="7" count="1" selected="0">
            <x v="2"/>
          </reference>
          <reference field="8" count="1" selected="0">
            <x v="12"/>
          </reference>
          <reference field="15" count="1">
            <x v="107"/>
          </reference>
        </references>
      </pivotArea>
    </format>
    <format dxfId="3721">
      <pivotArea dataOnly="0" labelOnly="1" fieldPosition="0">
        <references count="5">
          <reference field="4" count="1" selected="0">
            <x v="1"/>
          </reference>
          <reference field="6" count="1" selected="0">
            <x v="3"/>
          </reference>
          <reference field="7" count="1" selected="0">
            <x v="2"/>
          </reference>
          <reference field="8" count="1" selected="0">
            <x v="13"/>
          </reference>
          <reference field="15" count="1">
            <x v="6"/>
          </reference>
        </references>
      </pivotArea>
    </format>
    <format dxfId="3720">
      <pivotArea dataOnly="0" labelOnly="1" fieldPosition="0">
        <references count="5">
          <reference field="4" count="1" selected="0">
            <x v="1"/>
          </reference>
          <reference field="6" count="1" selected="0">
            <x v="3"/>
          </reference>
          <reference field="7" count="1" selected="0">
            <x v="2"/>
          </reference>
          <reference field="8" count="1" selected="0">
            <x v="14"/>
          </reference>
          <reference field="15" count="2">
            <x v="46"/>
            <x v="47"/>
          </reference>
        </references>
      </pivotArea>
    </format>
    <format dxfId="3719">
      <pivotArea dataOnly="0" labelOnly="1" fieldPosition="0">
        <references count="5">
          <reference field="4" count="1" selected="0">
            <x v="1"/>
          </reference>
          <reference field="6" count="1" selected="0">
            <x v="3"/>
          </reference>
          <reference field="7" count="1" selected="0">
            <x v="2"/>
          </reference>
          <reference field="8" count="1" selected="0">
            <x v="15"/>
          </reference>
          <reference field="15" count="1">
            <x v="372"/>
          </reference>
        </references>
      </pivotArea>
    </format>
    <format dxfId="3718">
      <pivotArea dataOnly="0" labelOnly="1" fieldPosition="0">
        <references count="5">
          <reference field="4" count="1" selected="0">
            <x v="1"/>
          </reference>
          <reference field="6" count="1" selected="0">
            <x v="3"/>
          </reference>
          <reference field="7" count="1" selected="0">
            <x v="3"/>
          </reference>
          <reference field="8" count="1" selected="0">
            <x v="18"/>
          </reference>
          <reference field="15" count="1">
            <x v="232"/>
          </reference>
        </references>
      </pivotArea>
    </format>
    <format dxfId="3717">
      <pivotArea dataOnly="0" labelOnly="1" fieldPosition="0">
        <references count="5">
          <reference field="4" count="1" selected="0">
            <x v="1"/>
          </reference>
          <reference field="6" count="1" selected="0">
            <x v="3"/>
          </reference>
          <reference field="7" count="1" selected="0">
            <x v="3"/>
          </reference>
          <reference field="8" count="1" selected="0">
            <x v="19"/>
          </reference>
          <reference field="15" count="1">
            <x v="9"/>
          </reference>
        </references>
      </pivotArea>
    </format>
    <format dxfId="3716">
      <pivotArea dataOnly="0" labelOnly="1" fieldPosition="0">
        <references count="5">
          <reference field="4" count="1" selected="0">
            <x v="1"/>
          </reference>
          <reference field="6" count="1" selected="0">
            <x v="3"/>
          </reference>
          <reference field="7" count="1" selected="0">
            <x v="4"/>
          </reference>
          <reference field="8" count="1" selected="0">
            <x v="20"/>
          </reference>
          <reference field="15" count="1">
            <x v="34"/>
          </reference>
        </references>
      </pivotArea>
    </format>
    <format dxfId="3715">
      <pivotArea dataOnly="0" labelOnly="1" fieldPosition="0">
        <references count="5">
          <reference field="4" count="1" selected="0">
            <x v="1"/>
          </reference>
          <reference field="6" count="1" selected="0">
            <x v="3"/>
          </reference>
          <reference field="7" count="1" selected="0">
            <x v="4"/>
          </reference>
          <reference field="8" count="1" selected="0">
            <x v="21"/>
          </reference>
          <reference field="15" count="1">
            <x v="98"/>
          </reference>
        </references>
      </pivotArea>
    </format>
    <format dxfId="3714">
      <pivotArea dataOnly="0" labelOnly="1" fieldPosition="0">
        <references count="5">
          <reference field="4" count="1" selected="0">
            <x v="1"/>
          </reference>
          <reference field="6" count="1" selected="0">
            <x v="4"/>
          </reference>
          <reference field="7" count="1" selected="0">
            <x v="8"/>
          </reference>
          <reference field="8" count="1" selected="0">
            <x v="33"/>
          </reference>
          <reference field="15" count="1">
            <x v="237"/>
          </reference>
        </references>
      </pivotArea>
    </format>
    <format dxfId="3713">
      <pivotArea dataOnly="0" labelOnly="1" fieldPosition="0">
        <references count="5">
          <reference field="4" count="1" selected="0">
            <x v="1"/>
          </reference>
          <reference field="6" count="1" selected="0">
            <x v="4"/>
          </reference>
          <reference field="7" count="1" selected="0">
            <x v="8"/>
          </reference>
          <reference field="8" count="1" selected="0">
            <x v="34"/>
          </reference>
          <reference field="15" count="1">
            <x v="373"/>
          </reference>
        </references>
      </pivotArea>
    </format>
    <format dxfId="3712">
      <pivotArea dataOnly="0" labelOnly="1" fieldPosition="0">
        <references count="5">
          <reference field="4" count="1" selected="0">
            <x v="1"/>
          </reference>
          <reference field="6" count="1" selected="0">
            <x v="4"/>
          </reference>
          <reference field="7" count="1" selected="0">
            <x v="8"/>
          </reference>
          <reference field="8" count="1" selected="0">
            <x v="39"/>
          </reference>
          <reference field="15" count="2">
            <x v="233"/>
            <x v="234"/>
          </reference>
        </references>
      </pivotArea>
    </format>
    <format dxfId="3711">
      <pivotArea dataOnly="0" labelOnly="1" fieldPosition="0">
        <references count="5">
          <reference field="4" count="1" selected="0">
            <x v="2"/>
          </reference>
          <reference field="6" count="1" selected="0">
            <x v="2"/>
          </reference>
          <reference field="7" count="1" selected="0">
            <x v="29"/>
          </reference>
          <reference field="8" count="1" selected="0">
            <x v="145"/>
          </reference>
          <reference field="15" count="1">
            <x v="377"/>
          </reference>
        </references>
      </pivotArea>
    </format>
    <format dxfId="3710">
      <pivotArea dataOnly="0" labelOnly="1" fieldPosition="0">
        <references count="5">
          <reference field="4" count="1" selected="0">
            <x v="2"/>
          </reference>
          <reference field="6" count="1" selected="0">
            <x v="2"/>
          </reference>
          <reference field="7" count="1" selected="0">
            <x v="29"/>
          </reference>
          <reference field="8" count="1" selected="0">
            <x v="146"/>
          </reference>
          <reference field="15" count="1">
            <x v="139"/>
          </reference>
        </references>
      </pivotArea>
    </format>
    <format dxfId="3709">
      <pivotArea dataOnly="0" labelOnly="1" fieldPosition="0">
        <references count="5">
          <reference field="4" count="1" selected="0">
            <x v="2"/>
          </reference>
          <reference field="6" count="1" selected="0">
            <x v="2"/>
          </reference>
          <reference field="7" count="1" selected="0">
            <x v="29"/>
          </reference>
          <reference field="8" count="1" selected="0">
            <x v="147"/>
          </reference>
          <reference field="15" count="1">
            <x v="127"/>
          </reference>
        </references>
      </pivotArea>
    </format>
    <format dxfId="3708">
      <pivotArea dataOnly="0" labelOnly="1" fieldPosition="0">
        <references count="5">
          <reference field="4" count="1" selected="0">
            <x v="2"/>
          </reference>
          <reference field="6" count="1" selected="0">
            <x v="2"/>
          </reference>
          <reference field="7" count="1" selected="0">
            <x v="29"/>
          </reference>
          <reference field="8" count="1" selected="0">
            <x v="148"/>
          </reference>
          <reference field="15" count="1">
            <x v="142"/>
          </reference>
        </references>
      </pivotArea>
    </format>
    <format dxfId="3707">
      <pivotArea dataOnly="0" labelOnly="1" fieldPosition="0">
        <references count="5">
          <reference field="4" count="1" selected="0">
            <x v="2"/>
          </reference>
          <reference field="6" count="1" selected="0">
            <x v="2"/>
          </reference>
          <reference field="7" count="1" selected="0">
            <x v="29"/>
          </reference>
          <reference field="8" count="1" selected="0">
            <x v="149"/>
          </reference>
          <reference field="15" count="1">
            <x v="140"/>
          </reference>
        </references>
      </pivotArea>
    </format>
    <format dxfId="3706">
      <pivotArea dataOnly="0" labelOnly="1" fieldPosition="0">
        <references count="5">
          <reference field="4" count="1" selected="0">
            <x v="2"/>
          </reference>
          <reference field="6" count="1" selected="0">
            <x v="2"/>
          </reference>
          <reference field="7" count="1" selected="0">
            <x v="29"/>
          </reference>
          <reference field="8" count="1" selected="0">
            <x v="150"/>
          </reference>
          <reference field="15" count="1">
            <x v="144"/>
          </reference>
        </references>
      </pivotArea>
    </format>
    <format dxfId="3705">
      <pivotArea dataOnly="0" labelOnly="1" fieldPosition="0">
        <references count="5">
          <reference field="4" count="1" selected="0">
            <x v="2"/>
          </reference>
          <reference field="6" count="1" selected="0">
            <x v="2"/>
          </reference>
          <reference field="7" count="1" selected="0">
            <x v="30"/>
          </reference>
          <reference field="8" count="1" selected="0">
            <x v="152"/>
          </reference>
          <reference field="15" count="2">
            <x v="128"/>
            <x v="129"/>
          </reference>
        </references>
      </pivotArea>
    </format>
    <format dxfId="3704">
      <pivotArea dataOnly="0" labelOnly="1" fieldPosition="0">
        <references count="5">
          <reference field="4" count="1" selected="0">
            <x v="2"/>
          </reference>
          <reference field="6" count="1" selected="0">
            <x v="2"/>
          </reference>
          <reference field="7" count="1" selected="0">
            <x v="30"/>
          </reference>
          <reference field="8" count="1" selected="0">
            <x v="153"/>
          </reference>
          <reference field="15" count="1">
            <x v="141"/>
          </reference>
        </references>
      </pivotArea>
    </format>
    <format dxfId="3703">
      <pivotArea dataOnly="0" labelOnly="1" fieldPosition="0">
        <references count="5">
          <reference field="4" count="1" selected="0">
            <x v="2"/>
          </reference>
          <reference field="6" count="1" selected="0">
            <x v="3"/>
          </reference>
          <reference field="7" count="1" selected="0">
            <x v="5"/>
          </reference>
          <reference field="8" count="1" selected="0">
            <x v="24"/>
          </reference>
          <reference field="15" count="1">
            <x v="339"/>
          </reference>
        </references>
      </pivotArea>
    </format>
    <format dxfId="3702">
      <pivotArea dataOnly="0" labelOnly="1" fieldPosition="0">
        <references count="5">
          <reference field="4" count="1" selected="0">
            <x v="2"/>
          </reference>
          <reference field="6" count="1" selected="0">
            <x v="3"/>
          </reference>
          <reference field="7" count="1" selected="0">
            <x v="7"/>
          </reference>
          <reference field="8" count="1" selected="0">
            <x v="31"/>
          </reference>
          <reference field="15" count="2">
            <x v="391"/>
            <x v="392"/>
          </reference>
        </references>
      </pivotArea>
    </format>
    <format dxfId="3701">
      <pivotArea dataOnly="0" labelOnly="1" fieldPosition="0">
        <references count="5">
          <reference field="4" count="1" selected="0">
            <x v="2"/>
          </reference>
          <reference field="6" count="1" selected="0">
            <x v="3"/>
          </reference>
          <reference field="7" count="1" selected="0">
            <x v="7"/>
          </reference>
          <reference field="8" count="1" selected="0">
            <x v="32"/>
          </reference>
          <reference field="15" count="1">
            <x v="371"/>
          </reference>
        </references>
      </pivotArea>
    </format>
    <format dxfId="3700">
      <pivotArea dataOnly="0" labelOnly="1" fieldPosition="0">
        <references count="5">
          <reference field="4" count="1" selected="0">
            <x v="2"/>
          </reference>
          <reference field="6" count="1" selected="0">
            <x v="4"/>
          </reference>
          <reference field="7" count="1" selected="0">
            <x v="8"/>
          </reference>
          <reference field="8" count="1" selected="0">
            <x v="36"/>
          </reference>
          <reference field="15" count="1">
            <x v="379"/>
          </reference>
        </references>
      </pivotArea>
    </format>
    <format dxfId="3699">
      <pivotArea dataOnly="0" labelOnly="1" fieldPosition="0">
        <references count="5">
          <reference field="4" count="1" selected="0">
            <x v="2"/>
          </reference>
          <reference field="6" count="1" selected="0">
            <x v="4"/>
          </reference>
          <reference field="7" count="1" selected="0">
            <x v="8"/>
          </reference>
          <reference field="8" count="1" selected="0">
            <x v="39"/>
          </reference>
          <reference field="15" count="1">
            <x v="378"/>
          </reference>
        </references>
      </pivotArea>
    </format>
    <format dxfId="3698">
      <pivotArea dataOnly="0" labelOnly="1" fieldPosition="0">
        <references count="5">
          <reference field="4" count="1" selected="0">
            <x v="3"/>
          </reference>
          <reference field="6" count="1" selected="0">
            <x v="3"/>
          </reference>
          <reference field="7" count="1" selected="0">
            <x v="6"/>
          </reference>
          <reference field="8" count="1" selected="0">
            <x v="29"/>
          </reference>
          <reference field="15" count="41">
            <x v="0"/>
            <x v="1"/>
            <x v="167"/>
            <x v="175"/>
            <x v="176"/>
            <x v="177"/>
            <x v="178"/>
            <x v="179"/>
            <x v="180"/>
            <x v="181"/>
            <x v="182"/>
            <x v="201"/>
            <x v="202"/>
            <x v="205"/>
            <x v="206"/>
            <x v="207"/>
            <x v="208"/>
            <x v="209"/>
            <x v="210"/>
            <x v="211"/>
            <x v="212"/>
            <x v="213"/>
            <x v="214"/>
            <x v="215"/>
            <x v="216"/>
            <x v="217"/>
            <x v="218"/>
            <x v="219"/>
            <x v="220"/>
            <x v="221"/>
            <x v="224"/>
            <x v="225"/>
            <x v="226"/>
            <x v="227"/>
            <x v="228"/>
            <x v="393"/>
            <x v="394"/>
            <x v="396"/>
            <x v="397"/>
            <x v="398"/>
            <x v="399"/>
          </reference>
        </references>
      </pivotArea>
    </format>
    <format dxfId="3697">
      <pivotArea dataOnly="0" labelOnly="1" fieldPosition="0">
        <references count="5">
          <reference field="4" count="1" selected="0">
            <x v="4"/>
          </reference>
          <reference field="6" count="1" selected="0">
            <x v="0"/>
          </reference>
          <reference field="7" count="1" selected="0">
            <x v="21"/>
          </reference>
          <reference field="8" count="1" selected="0">
            <x v="87"/>
          </reference>
          <reference field="15" count="8">
            <x v="126"/>
            <x v="293"/>
            <x v="305"/>
            <x v="306"/>
            <x v="317"/>
            <x v="388"/>
            <x v="389"/>
            <x v="390"/>
          </reference>
        </references>
      </pivotArea>
    </format>
    <format dxfId="3696">
      <pivotArea dataOnly="0" labelOnly="1" fieldPosition="0">
        <references count="5">
          <reference field="4" count="1" selected="0">
            <x v="4"/>
          </reference>
          <reference field="6" count="1" selected="0">
            <x v="0"/>
          </reference>
          <reference field="7" count="1" selected="0">
            <x v="21"/>
          </reference>
          <reference field="8" count="1" selected="0">
            <x v="88"/>
          </reference>
          <reference field="15" count="3">
            <x v="291"/>
            <x v="292"/>
            <x v="301"/>
          </reference>
        </references>
      </pivotArea>
    </format>
    <format dxfId="3695">
      <pivotArea dataOnly="0" labelOnly="1" fieldPosition="0">
        <references count="5">
          <reference field="4" count="1" selected="0">
            <x v="4"/>
          </reference>
          <reference field="6" count="1" selected="0">
            <x v="0"/>
          </reference>
          <reference field="7" count="1" selected="0">
            <x v="21"/>
          </reference>
          <reference field="8" count="1" selected="0">
            <x v="89"/>
          </reference>
          <reference field="15" count="1">
            <x v="310"/>
          </reference>
        </references>
      </pivotArea>
    </format>
    <format dxfId="3694">
      <pivotArea dataOnly="0" labelOnly="1" fieldPosition="0">
        <references count="5">
          <reference field="4" count="1" selected="0">
            <x v="4"/>
          </reference>
          <reference field="6" count="1" selected="0">
            <x v="0"/>
          </reference>
          <reference field="7" count="1" selected="0">
            <x v="21"/>
          </reference>
          <reference field="8" count="1" selected="0">
            <x v="90"/>
          </reference>
          <reference field="15" count="1">
            <x v="385"/>
          </reference>
        </references>
      </pivotArea>
    </format>
    <format dxfId="3693">
      <pivotArea dataOnly="0" labelOnly="1" fieldPosition="0">
        <references count="5">
          <reference field="4" count="1" selected="0">
            <x v="4"/>
          </reference>
          <reference field="6" count="1" selected="0">
            <x v="0"/>
          </reference>
          <reference field="7" count="1" selected="0">
            <x v="21"/>
          </reference>
          <reference field="8" count="1" selected="0">
            <x v="91"/>
          </reference>
          <reference field="15" count="2">
            <x v="264"/>
            <x v="265"/>
          </reference>
        </references>
      </pivotArea>
    </format>
    <format dxfId="3692">
      <pivotArea dataOnly="0" labelOnly="1" fieldPosition="0">
        <references count="5">
          <reference field="4" count="1" selected="0">
            <x v="4"/>
          </reference>
          <reference field="6" count="1" selected="0">
            <x v="1"/>
          </reference>
          <reference field="7" count="1" selected="0">
            <x v="24"/>
          </reference>
          <reference field="8" count="1" selected="0">
            <x v="114"/>
          </reference>
          <reference field="15" count="1">
            <x v="263"/>
          </reference>
        </references>
      </pivotArea>
    </format>
    <format dxfId="3691">
      <pivotArea dataOnly="0" labelOnly="1" fieldPosition="0">
        <references count="5">
          <reference field="4" count="1" selected="0">
            <x v="4"/>
          </reference>
          <reference field="6" count="1" selected="0">
            <x v="2"/>
          </reference>
          <reference field="7" count="1" selected="0">
            <x v="29"/>
          </reference>
          <reference field="8" count="1" selected="0">
            <x v="142"/>
          </reference>
          <reference field="15" count="1">
            <x v="283"/>
          </reference>
        </references>
      </pivotArea>
    </format>
    <format dxfId="3690">
      <pivotArea dataOnly="0" labelOnly="1" fieldPosition="0">
        <references count="5">
          <reference field="4" count="1" selected="0">
            <x v="4"/>
          </reference>
          <reference field="6" count="1" selected="0">
            <x v="2"/>
          </reference>
          <reference field="7" count="1" selected="0">
            <x v="29"/>
          </reference>
          <reference field="8" count="1" selected="0">
            <x v="143"/>
          </reference>
          <reference field="15" count="2">
            <x v="289"/>
            <x v="314"/>
          </reference>
        </references>
      </pivotArea>
    </format>
    <format dxfId="3689">
      <pivotArea dataOnly="0" labelOnly="1" fieldPosition="0">
        <references count="5">
          <reference field="4" count="1" selected="0">
            <x v="4"/>
          </reference>
          <reference field="6" count="1" selected="0">
            <x v="2"/>
          </reference>
          <reference field="7" count="1" selected="0">
            <x v="29"/>
          </reference>
          <reference field="8" count="1" selected="0">
            <x v="151"/>
          </reference>
          <reference field="15" count="1">
            <x v="387"/>
          </reference>
        </references>
      </pivotArea>
    </format>
    <format dxfId="3688">
      <pivotArea dataOnly="0" labelOnly="1" fieldPosition="0">
        <references count="5">
          <reference field="4" count="1" selected="0">
            <x v="4"/>
          </reference>
          <reference field="6" count="1" selected="0">
            <x v="2"/>
          </reference>
          <reference field="7" count="1" selected="0">
            <x v="31"/>
          </reference>
          <reference field="8" count="1" selected="0">
            <x v="155"/>
          </reference>
          <reference field="15" count="4">
            <x v="235"/>
            <x v="303"/>
            <x v="374"/>
            <x v="386"/>
          </reference>
        </references>
      </pivotArea>
    </format>
    <format dxfId="3687">
      <pivotArea dataOnly="0" labelOnly="1" fieldPosition="0">
        <references count="5">
          <reference field="4" count="1" selected="0">
            <x v="4"/>
          </reference>
          <reference field="6" count="1" selected="0">
            <x v="2"/>
          </reference>
          <reference field="7" count="1" selected="0">
            <x v="31"/>
          </reference>
          <reference field="8" count="1" selected="0">
            <x v="156"/>
          </reference>
          <reference field="15" count="1">
            <x v="304"/>
          </reference>
        </references>
      </pivotArea>
    </format>
    <format dxfId="3686">
      <pivotArea dataOnly="0" labelOnly="1" fieldPosition="0">
        <references count="5">
          <reference field="4" count="1" selected="0">
            <x v="4"/>
          </reference>
          <reference field="6" count="1" selected="0">
            <x v="2"/>
          </reference>
          <reference field="7" count="1" selected="0">
            <x v="31"/>
          </reference>
          <reference field="8" count="1" selected="0">
            <x v="157"/>
          </reference>
          <reference field="15" count="1">
            <x v="302"/>
          </reference>
        </references>
      </pivotArea>
    </format>
    <format dxfId="3685">
      <pivotArea dataOnly="0" labelOnly="1" fieldPosition="0">
        <references count="5">
          <reference field="4" count="1" selected="0">
            <x v="4"/>
          </reference>
          <reference field="6" count="1" selected="0">
            <x v="3"/>
          </reference>
          <reference field="7" count="1" selected="0">
            <x v="0"/>
          </reference>
          <reference field="8" count="1" selected="0">
            <x v="0"/>
          </reference>
          <reference field="15" count="2">
            <x v="125"/>
            <x v="269"/>
          </reference>
        </references>
      </pivotArea>
    </format>
    <format dxfId="3684">
      <pivotArea dataOnly="0" labelOnly="1" fieldPosition="0">
        <references count="5">
          <reference field="4" count="1" selected="0">
            <x v="4"/>
          </reference>
          <reference field="6" count="1" selected="0">
            <x v="3"/>
          </reference>
          <reference field="7" count="1" selected="0">
            <x v="0"/>
          </reference>
          <reference field="8" count="1" selected="0">
            <x v="1"/>
          </reference>
          <reference field="15" count="1">
            <x v="382"/>
          </reference>
        </references>
      </pivotArea>
    </format>
    <format dxfId="3683">
      <pivotArea dataOnly="0" labelOnly="1" fieldPosition="0">
        <references count="5">
          <reference field="4" count="1" selected="0">
            <x v="4"/>
          </reference>
          <reference field="6" count="1" selected="0">
            <x v="3"/>
          </reference>
          <reference field="7" count="1" selected="0">
            <x v="1"/>
          </reference>
          <reference field="8" count="1" selected="0">
            <x v="2"/>
          </reference>
          <reference field="15" count="1">
            <x v="282"/>
          </reference>
        </references>
      </pivotArea>
    </format>
    <format dxfId="3682">
      <pivotArea dataOnly="0" labelOnly="1" fieldPosition="0">
        <references count="5">
          <reference field="4" count="1" selected="0">
            <x v="4"/>
          </reference>
          <reference field="6" count="1" selected="0">
            <x v="3"/>
          </reference>
          <reference field="7" count="1" selected="0">
            <x v="1"/>
          </reference>
          <reference field="8" count="1" selected="0">
            <x v="3"/>
          </reference>
          <reference field="15" count="1">
            <x v="384"/>
          </reference>
        </references>
      </pivotArea>
    </format>
    <format dxfId="3681">
      <pivotArea dataOnly="0" labelOnly="1" fieldPosition="0">
        <references count="5">
          <reference field="4" count="1" selected="0">
            <x v="4"/>
          </reference>
          <reference field="6" count="1" selected="0">
            <x v="3"/>
          </reference>
          <reference field="7" count="1" selected="0">
            <x v="1"/>
          </reference>
          <reference field="8" count="1" selected="0">
            <x v="4"/>
          </reference>
          <reference field="15" count="1">
            <x v="298"/>
          </reference>
        </references>
      </pivotArea>
    </format>
    <format dxfId="3680">
      <pivotArea dataOnly="0" labelOnly="1" fieldPosition="0">
        <references count="5">
          <reference field="4" count="1" selected="0">
            <x v="4"/>
          </reference>
          <reference field="6" count="1" selected="0">
            <x v="3"/>
          </reference>
          <reference field="7" count="1" selected="0">
            <x v="1"/>
          </reference>
          <reference field="8" count="1" selected="0">
            <x v="5"/>
          </reference>
          <reference field="15" count="2">
            <x v="381"/>
            <x v="383"/>
          </reference>
        </references>
      </pivotArea>
    </format>
    <format dxfId="3679">
      <pivotArea dataOnly="0" labelOnly="1" fieldPosition="0">
        <references count="5">
          <reference field="4" count="1" selected="0">
            <x v="5"/>
          </reference>
          <reference field="6" count="1" selected="0">
            <x v="0"/>
          </reference>
          <reference field="7" count="1" selected="0">
            <x v="18"/>
          </reference>
          <reference field="8" count="1" selected="0">
            <x v="73"/>
          </reference>
          <reference field="15" count="3">
            <x v="245"/>
            <x v="246"/>
            <x v="313"/>
          </reference>
        </references>
      </pivotArea>
    </format>
    <format dxfId="3678">
      <pivotArea dataOnly="0" labelOnly="1" fieldPosition="0">
        <references count="5">
          <reference field="4" count="1" selected="0">
            <x v="5"/>
          </reference>
          <reference field="6" count="1" selected="0">
            <x v="0"/>
          </reference>
          <reference field="7" count="1" selected="0">
            <x v="18"/>
          </reference>
          <reference field="8" count="1" selected="0">
            <x v="74"/>
          </reference>
          <reference field="15" count="1">
            <x v="230"/>
          </reference>
        </references>
      </pivotArea>
    </format>
    <format dxfId="3677">
      <pivotArea dataOnly="0" labelOnly="1" fieldPosition="0">
        <references count="5">
          <reference field="4" count="1" selected="0">
            <x v="5"/>
          </reference>
          <reference field="6" count="1" selected="0">
            <x v="0"/>
          </reference>
          <reference field="7" count="1" selected="0">
            <x v="18"/>
          </reference>
          <reference field="8" count="1" selected="0">
            <x v="77"/>
          </reference>
          <reference field="15" count="2">
            <x v="276"/>
            <x v="277"/>
          </reference>
        </references>
      </pivotArea>
    </format>
    <format dxfId="3676">
      <pivotArea dataOnly="0" labelOnly="1" fieldPosition="0">
        <references count="5">
          <reference field="4" count="1" selected="0">
            <x v="5"/>
          </reference>
          <reference field="6" count="1" selected="0">
            <x v="0"/>
          </reference>
          <reference field="7" count="1" selected="0">
            <x v="22"/>
          </reference>
          <reference field="8" count="1" selected="0">
            <x v="94"/>
          </reference>
          <reference field="15" count="1">
            <x v="164"/>
          </reference>
        </references>
      </pivotArea>
    </format>
    <format dxfId="3675">
      <pivotArea dataOnly="0" labelOnly="1" fieldPosition="0">
        <references count="5">
          <reference field="4" count="1" selected="0">
            <x v="5"/>
          </reference>
          <reference field="6" count="1" selected="0">
            <x v="4"/>
          </reference>
          <reference field="7" count="1" selected="0">
            <x v="8"/>
          </reference>
          <reference field="8" count="1" selected="0">
            <x v="37"/>
          </reference>
          <reference field="15" count="1">
            <x v="222"/>
          </reference>
        </references>
      </pivotArea>
    </format>
    <format dxfId="3674">
      <pivotArea dataOnly="0" labelOnly="1" fieldPosition="0">
        <references count="5">
          <reference field="4" count="1" selected="0">
            <x v="6"/>
          </reference>
          <reference field="6" count="1" selected="0">
            <x v="1"/>
          </reference>
          <reference field="7" count="1" selected="0">
            <x v="24"/>
          </reference>
          <reference field="8" count="1" selected="0">
            <x v="105"/>
          </reference>
          <reference field="15" count="13">
            <x v="24"/>
            <x v="25"/>
            <x v="31"/>
            <x v="37"/>
            <x v="44"/>
            <x v="45"/>
            <x v="48"/>
            <x v="49"/>
            <x v="50"/>
            <x v="56"/>
            <x v="66"/>
            <x v="100"/>
            <x v="101"/>
          </reference>
        </references>
      </pivotArea>
    </format>
    <format dxfId="3673">
      <pivotArea dataOnly="0" labelOnly="1" fieldPosition="0">
        <references count="5">
          <reference field="4" count="1" selected="0">
            <x v="6"/>
          </reference>
          <reference field="6" count="1" selected="0">
            <x v="1"/>
          </reference>
          <reference field="7" count="1" selected="0">
            <x v="24"/>
          </reference>
          <reference field="8" count="1" selected="0">
            <x v="107"/>
          </reference>
          <reference field="15" count="3">
            <x v="118"/>
            <x v="123"/>
            <x v="165"/>
          </reference>
        </references>
      </pivotArea>
    </format>
    <format dxfId="3672">
      <pivotArea dataOnly="0" labelOnly="1" fieldPosition="0">
        <references count="5">
          <reference field="4" count="1" selected="0">
            <x v="6"/>
          </reference>
          <reference field="6" count="1" selected="0">
            <x v="1"/>
          </reference>
          <reference field="7" count="1" selected="0">
            <x v="24"/>
          </reference>
          <reference field="8" count="1" selected="0">
            <x v="108"/>
          </reference>
          <reference field="15" count="2">
            <x v="97"/>
            <x v="119"/>
          </reference>
        </references>
      </pivotArea>
    </format>
    <format dxfId="3671">
      <pivotArea dataOnly="0" labelOnly="1" fieldPosition="0">
        <references count="5">
          <reference field="4" count="1" selected="0">
            <x v="6"/>
          </reference>
          <reference field="6" count="1" selected="0">
            <x v="1"/>
          </reference>
          <reference field="7" count="1" selected="0">
            <x v="24"/>
          </reference>
          <reference field="8" count="1" selected="0">
            <x v="109"/>
          </reference>
          <reference field="15" count="2">
            <x v="96"/>
            <x v="327"/>
          </reference>
        </references>
      </pivotArea>
    </format>
    <format dxfId="3670">
      <pivotArea dataOnly="0" labelOnly="1" fieldPosition="0">
        <references count="5">
          <reference field="4" count="1" selected="0">
            <x v="6"/>
          </reference>
          <reference field="6" count="1" selected="0">
            <x v="1"/>
          </reference>
          <reference field="7" count="1" selected="0">
            <x v="24"/>
          </reference>
          <reference field="8" count="1" selected="0">
            <x v="110"/>
          </reference>
          <reference field="15" count="2">
            <x v="115"/>
            <x v="324"/>
          </reference>
        </references>
      </pivotArea>
    </format>
    <format dxfId="3669">
      <pivotArea dataOnly="0" labelOnly="1" fieldPosition="0">
        <references count="5">
          <reference field="4" count="1" selected="0">
            <x v="6"/>
          </reference>
          <reference field="6" count="1" selected="0">
            <x v="1"/>
          </reference>
          <reference field="7" count="1" selected="0">
            <x v="24"/>
          </reference>
          <reference field="8" count="1" selected="0">
            <x v="111"/>
          </reference>
          <reference field="15" count="1">
            <x v="326"/>
          </reference>
        </references>
      </pivotArea>
    </format>
    <format dxfId="3668">
      <pivotArea dataOnly="0" labelOnly="1" fieldPosition="0">
        <references count="5">
          <reference field="4" count="1" selected="0">
            <x v="6"/>
          </reference>
          <reference field="6" count="1" selected="0">
            <x v="1"/>
          </reference>
          <reference field="7" count="1" selected="0">
            <x v="24"/>
          </reference>
          <reference field="8" count="1" selected="0">
            <x v="112"/>
          </reference>
          <reference field="15" count="5">
            <x v="80"/>
            <x v="120"/>
            <x v="121"/>
            <x v="122"/>
            <x v="135"/>
          </reference>
        </references>
      </pivotArea>
    </format>
    <format dxfId="3667">
      <pivotArea dataOnly="0" labelOnly="1" fieldPosition="0">
        <references count="5">
          <reference field="4" count="1" selected="0">
            <x v="6"/>
          </reference>
          <reference field="6" count="1" selected="0">
            <x v="1"/>
          </reference>
          <reference field="7" count="1" selected="0">
            <x v="24"/>
          </reference>
          <reference field="8" count="1" selected="0">
            <x v="113"/>
          </reference>
          <reference field="15" count="3">
            <x v="67"/>
            <x v="84"/>
            <x v="166"/>
          </reference>
        </references>
      </pivotArea>
    </format>
    <format dxfId="3666">
      <pivotArea dataOnly="0" labelOnly="1" fieldPosition="0">
        <references count="5">
          <reference field="4" count="1" selected="0">
            <x v="7"/>
          </reference>
          <reference field="6" count="1" selected="0">
            <x v="0"/>
          </reference>
          <reference field="7" count="1" selected="0">
            <x v="16"/>
          </reference>
          <reference field="8" count="1" selected="0">
            <x v="64"/>
          </reference>
          <reference field="15" count="3">
            <x v="274"/>
            <x v="278"/>
            <x v="325"/>
          </reference>
        </references>
      </pivotArea>
    </format>
    <format dxfId="3665">
      <pivotArea dataOnly="0" labelOnly="1" fieldPosition="0">
        <references count="5">
          <reference field="4" count="1" selected="0">
            <x v="7"/>
          </reference>
          <reference field="6" count="1" selected="0">
            <x v="2"/>
          </reference>
          <reference field="7" count="1" selected="0">
            <x v="29"/>
          </reference>
          <reference field="8" count="1" selected="0">
            <x v="140"/>
          </reference>
          <reference field="15" count="1">
            <x v="53"/>
          </reference>
        </references>
      </pivotArea>
    </format>
    <format dxfId="3664">
      <pivotArea dataOnly="0" labelOnly="1" fieldPosition="0">
        <references count="5">
          <reference field="4" count="1" selected="0">
            <x v="7"/>
          </reference>
          <reference field="6" count="1" selected="0">
            <x v="2"/>
          </reference>
          <reference field="7" count="1" selected="0">
            <x v="29"/>
          </reference>
          <reference field="8" count="1" selected="0">
            <x v="141"/>
          </reference>
          <reference field="15" count="1">
            <x v="279"/>
          </reference>
        </references>
      </pivotArea>
    </format>
    <format dxfId="3663">
      <pivotArea dataOnly="0" labelOnly="1" fieldPosition="0">
        <references count="5">
          <reference field="4" count="1" selected="0">
            <x v="7"/>
          </reference>
          <reference field="6" count="1" selected="0">
            <x v="2"/>
          </reference>
          <reference field="7" count="1" selected="0">
            <x v="29"/>
          </reference>
          <reference field="8" count="1" selected="0">
            <x v="144"/>
          </reference>
          <reference field="15" count="1">
            <x v="52"/>
          </reference>
        </references>
      </pivotArea>
    </format>
    <format dxfId="3662">
      <pivotArea dataOnly="0" labelOnly="1" fieldPosition="0">
        <references count="5">
          <reference field="4" count="1" selected="0">
            <x v="7"/>
          </reference>
          <reference field="6" count="1" selected="0">
            <x v="2"/>
          </reference>
          <reference field="7" count="1" selected="0">
            <x v="29"/>
          </reference>
          <reference field="8" count="1" selected="0">
            <x v="145"/>
          </reference>
          <reference field="15" count="1">
            <x v="51"/>
          </reference>
        </references>
      </pivotArea>
    </format>
    <format dxfId="3661">
      <pivotArea dataOnly="0" labelOnly="1" fieldPosition="0">
        <references count="5">
          <reference field="4" count="1" selected="0">
            <x v="7"/>
          </reference>
          <reference field="6" count="1" selected="0">
            <x v="2"/>
          </reference>
          <reference field="7" count="1" selected="0">
            <x v="30"/>
          </reference>
          <reference field="8" count="1" selected="0">
            <x v="154"/>
          </reference>
          <reference field="15" count="1">
            <x v="275"/>
          </reference>
        </references>
      </pivotArea>
    </format>
    <format dxfId="3660">
      <pivotArea dataOnly="0" labelOnly="1" fieldPosition="0">
        <references count="5">
          <reference field="4" count="1" selected="0">
            <x v="7"/>
          </reference>
          <reference field="6" count="1" selected="0">
            <x v="3"/>
          </reference>
          <reference field="7" count="1" selected="0">
            <x v="6"/>
          </reference>
          <reference field="8" count="1" selected="0">
            <x v="28"/>
          </reference>
          <reference field="15" count="3">
            <x v="318"/>
            <x v="319"/>
            <x v="320"/>
          </reference>
        </references>
      </pivotArea>
    </format>
    <format dxfId="3659">
      <pivotArea dataOnly="0" labelOnly="1" fieldPosition="0">
        <references count="5">
          <reference field="4" count="1" selected="0">
            <x v="7"/>
          </reference>
          <reference field="6" count="1" selected="0">
            <x v="4"/>
          </reference>
          <reference field="7" count="1" selected="0">
            <x v="8"/>
          </reference>
          <reference field="8" count="1" selected="0">
            <x v="35"/>
          </reference>
          <reference field="15" count="1">
            <x v="337"/>
          </reference>
        </references>
      </pivotArea>
    </format>
    <format dxfId="3658">
      <pivotArea dataOnly="0" labelOnly="1" fieldPosition="0">
        <references count="5">
          <reference field="4" count="1" selected="0">
            <x v="7"/>
          </reference>
          <reference field="6" count="1" selected="0">
            <x v="4"/>
          </reference>
          <reference field="7" count="1" selected="0">
            <x v="8"/>
          </reference>
          <reference field="8" count="1" selected="0">
            <x v="36"/>
          </reference>
          <reference field="15" count="1">
            <x v="280"/>
          </reference>
        </references>
      </pivotArea>
    </format>
    <format dxfId="3657">
      <pivotArea dataOnly="0" labelOnly="1" fieldPosition="0">
        <references count="5">
          <reference field="4" count="1" selected="0">
            <x v="7"/>
          </reference>
          <reference field="6" count="1" selected="0">
            <x v="4"/>
          </reference>
          <reference field="7" count="1" selected="0">
            <x v="9"/>
          </reference>
          <reference field="8" count="1" selected="0">
            <x v="40"/>
          </reference>
          <reference field="15" count="3">
            <x v="311"/>
            <x v="312"/>
            <x v="334"/>
          </reference>
        </references>
      </pivotArea>
    </format>
    <format dxfId="3656">
      <pivotArea dataOnly="0" labelOnly="1" fieldPosition="0">
        <references count="5">
          <reference field="4" count="1" selected="0">
            <x v="7"/>
          </reference>
          <reference field="6" count="1" selected="0">
            <x v="4"/>
          </reference>
          <reference field="7" count="1" selected="0">
            <x v="9"/>
          </reference>
          <reference field="8" count="1" selected="0">
            <x v="41"/>
          </reference>
          <reference field="15" count="1">
            <x v="328"/>
          </reference>
        </references>
      </pivotArea>
    </format>
    <format dxfId="3655">
      <pivotArea dataOnly="0" labelOnly="1" fieldPosition="0">
        <references count="5">
          <reference field="4" count="1" selected="0">
            <x v="7"/>
          </reference>
          <reference field="6" count="1" selected="0">
            <x v="4"/>
          </reference>
          <reference field="7" count="1" selected="0">
            <x v="9"/>
          </reference>
          <reference field="8" count="1" selected="0">
            <x v="42"/>
          </reference>
          <reference field="15" count="1">
            <x v="329"/>
          </reference>
        </references>
      </pivotArea>
    </format>
    <format dxfId="3654">
      <pivotArea dataOnly="0" labelOnly="1" fieldPosition="0">
        <references count="5">
          <reference field="4" count="1" selected="0">
            <x v="7"/>
          </reference>
          <reference field="6" count="1" selected="0">
            <x v="4"/>
          </reference>
          <reference field="7" count="1" selected="0">
            <x v="9"/>
          </reference>
          <reference field="8" count="1" selected="0">
            <x v="43"/>
          </reference>
          <reference field="15" count="1">
            <x v="321"/>
          </reference>
        </references>
      </pivotArea>
    </format>
    <format dxfId="3653">
      <pivotArea dataOnly="0" labelOnly="1" fieldPosition="0">
        <references count="5">
          <reference field="4" count="1" selected="0">
            <x v="7"/>
          </reference>
          <reference field="6" count="1" selected="0">
            <x v="4"/>
          </reference>
          <reference field="7" count="1" selected="0">
            <x v="10"/>
          </reference>
          <reference field="8" count="1" selected="0">
            <x v="44"/>
          </reference>
          <reference field="15" count="2">
            <x v="57"/>
            <x v="58"/>
          </reference>
        </references>
      </pivotArea>
    </format>
    <format dxfId="3652">
      <pivotArea dataOnly="0" labelOnly="1" fieldPosition="0">
        <references count="5">
          <reference field="4" count="1" selected="0">
            <x v="7"/>
          </reference>
          <reference field="6" count="1" selected="0">
            <x v="4"/>
          </reference>
          <reference field="7" count="1" selected="0">
            <x v="10"/>
          </reference>
          <reference field="8" count="1" selected="0">
            <x v="45"/>
          </reference>
          <reference field="15" count="1">
            <x v="55"/>
          </reference>
        </references>
      </pivotArea>
    </format>
    <format dxfId="3651">
      <pivotArea dataOnly="0" labelOnly="1" fieldPosition="0">
        <references count="5">
          <reference field="4" count="1" selected="0">
            <x v="7"/>
          </reference>
          <reference field="6" count="1" selected="0">
            <x v="4"/>
          </reference>
          <reference field="7" count="1" selected="0">
            <x v="10"/>
          </reference>
          <reference field="8" count="1" selected="0">
            <x v="46"/>
          </reference>
          <reference field="15" count="1">
            <x v="59"/>
          </reference>
        </references>
      </pivotArea>
    </format>
    <format dxfId="3650">
      <pivotArea dataOnly="0" labelOnly="1" fieldPosition="0">
        <references count="5">
          <reference field="4" count="1" selected="0">
            <x v="7"/>
          </reference>
          <reference field="6" count="1" selected="0">
            <x v="4"/>
          </reference>
          <reference field="7" count="1" selected="0">
            <x v="10"/>
          </reference>
          <reference field="8" count="1" selected="0">
            <x v="47"/>
          </reference>
          <reference field="15" count="1">
            <x v="54"/>
          </reference>
        </references>
      </pivotArea>
    </format>
    <format dxfId="3649">
      <pivotArea dataOnly="0" labelOnly="1" fieldPosition="0">
        <references count="5">
          <reference field="4" count="1" selected="0">
            <x v="7"/>
          </reference>
          <reference field="6" count="1" selected="0">
            <x v="4"/>
          </reference>
          <reference field="7" count="1" selected="0">
            <x v="11"/>
          </reference>
          <reference field="8" count="1" selected="0">
            <x v="48"/>
          </reference>
          <reference field="15" count="1">
            <x v="88"/>
          </reference>
        </references>
      </pivotArea>
    </format>
    <format dxfId="3648">
      <pivotArea dataOnly="0" labelOnly="1" fieldPosition="0">
        <references count="5">
          <reference field="4" count="1" selected="0">
            <x v="7"/>
          </reference>
          <reference field="6" count="1" selected="0">
            <x v="4"/>
          </reference>
          <reference field="7" count="1" selected="0">
            <x v="11"/>
          </reference>
          <reference field="8" count="1" selected="0">
            <x v="49"/>
          </reference>
          <reference field="15" count="1">
            <x v="86"/>
          </reference>
        </references>
      </pivotArea>
    </format>
    <format dxfId="3647">
      <pivotArea dataOnly="0" labelOnly="1" fieldPosition="0">
        <references count="5">
          <reference field="4" count="1" selected="0">
            <x v="7"/>
          </reference>
          <reference field="6" count="1" selected="0">
            <x v="4"/>
          </reference>
          <reference field="7" count="1" selected="0">
            <x v="12"/>
          </reference>
          <reference field="8" count="1" selected="0">
            <x v="50"/>
          </reference>
          <reference field="15" count="3">
            <x v="64"/>
            <x v="65"/>
            <x v="136"/>
          </reference>
        </references>
      </pivotArea>
    </format>
    <format dxfId="3646">
      <pivotArea dataOnly="0" labelOnly="1" fieldPosition="0">
        <references count="5">
          <reference field="4" count="1" selected="0">
            <x v="7"/>
          </reference>
          <reference field="6" count="1" selected="0">
            <x v="4"/>
          </reference>
          <reference field="7" count="1" selected="0">
            <x v="13"/>
          </reference>
          <reference field="8" count="1" selected="0">
            <x v="51"/>
          </reference>
          <reference field="15" count="1">
            <x v="307"/>
          </reference>
        </references>
      </pivotArea>
    </format>
    <format dxfId="3645">
      <pivotArea dataOnly="0" labelOnly="1" fieldPosition="0">
        <references count="5">
          <reference field="4" count="1" selected="0">
            <x v="7"/>
          </reference>
          <reference field="6" count="1" selected="0">
            <x v="4"/>
          </reference>
          <reference field="7" count="1" selected="0">
            <x v="13"/>
          </reference>
          <reference field="8" count="1" selected="0">
            <x v="52"/>
          </reference>
          <reference field="15" count="1">
            <x v="309"/>
          </reference>
        </references>
      </pivotArea>
    </format>
    <format dxfId="3644">
      <pivotArea dataOnly="0" labelOnly="1" fieldPosition="0">
        <references count="5">
          <reference field="4" count="1" selected="0">
            <x v="7"/>
          </reference>
          <reference field="6" count="1" selected="0">
            <x v="4"/>
          </reference>
          <reference field="7" count="1" selected="0">
            <x v="13"/>
          </reference>
          <reference field="8" count="1" selected="0">
            <x v="53"/>
          </reference>
          <reference field="15" count="1">
            <x v="308"/>
          </reference>
        </references>
      </pivotArea>
    </format>
    <format dxfId="3643">
      <pivotArea dataOnly="0" labelOnly="1" fieldPosition="0">
        <references count="5">
          <reference field="4" count="1" selected="0">
            <x v="7"/>
          </reference>
          <reference field="6" count="1" selected="0">
            <x v="4"/>
          </reference>
          <reference field="7" count="1" selected="0">
            <x v="14"/>
          </reference>
          <reference field="8" count="1" selected="0">
            <x v="54"/>
          </reference>
          <reference field="15" count="1">
            <x v="281"/>
          </reference>
        </references>
      </pivotArea>
    </format>
    <format dxfId="3642">
      <pivotArea dataOnly="0" labelOnly="1" fieldPosition="0">
        <references count="5">
          <reference field="4" count="1" selected="0">
            <x v="7"/>
          </reference>
          <reference field="6" count="1" selected="0">
            <x v="4"/>
          </reference>
          <reference field="7" count="1" selected="0">
            <x v="14"/>
          </reference>
          <reference field="8" count="1" selected="0">
            <x v="55"/>
          </reference>
          <reference field="15" count="1">
            <x v="138"/>
          </reference>
        </references>
      </pivotArea>
    </format>
    <format dxfId="3641">
      <pivotArea dataOnly="0" labelOnly="1" fieldPosition="0">
        <references count="5">
          <reference field="4" count="1" selected="0">
            <x v="7"/>
          </reference>
          <reference field="6" count="1" selected="0">
            <x v="4"/>
          </reference>
          <reference field="7" count="1" selected="0">
            <x v="15"/>
          </reference>
          <reference field="8" count="1" selected="0">
            <x v="56"/>
          </reference>
          <reference field="15" count="2">
            <x v="335"/>
            <x v="336"/>
          </reference>
        </references>
      </pivotArea>
    </format>
    <format dxfId="3640">
      <pivotArea dataOnly="0" labelOnly="1" fieldPosition="0">
        <references count="5">
          <reference field="4" count="1" selected="0">
            <x v="8"/>
          </reference>
          <reference field="6" count="1" selected="0">
            <x v="0"/>
          </reference>
          <reference field="7" count="1" selected="0">
            <x v="18"/>
          </reference>
          <reference field="8" count="1" selected="0">
            <x v="77"/>
          </reference>
          <reference field="15" count="1">
            <x v="290"/>
          </reference>
        </references>
      </pivotArea>
    </format>
    <format dxfId="3639">
      <pivotArea dataOnly="0" labelOnly="1" fieldPosition="0">
        <references count="5">
          <reference field="4" count="1" selected="0">
            <x v="8"/>
          </reference>
          <reference field="6" count="1" selected="0">
            <x v="0"/>
          </reference>
          <reference field="7" count="1" selected="0">
            <x v="22"/>
          </reference>
          <reference field="8" count="1" selected="0">
            <x v="92"/>
          </reference>
          <reference field="15" count="4">
            <x v="130"/>
            <x v="359"/>
            <x v="360"/>
            <x v="361"/>
          </reference>
        </references>
      </pivotArea>
    </format>
    <format dxfId="3638">
      <pivotArea dataOnly="0" labelOnly="1" fieldPosition="0">
        <references count="5">
          <reference field="4" count="1" selected="0">
            <x v="8"/>
          </reference>
          <reference field="6" count="1" selected="0">
            <x v="0"/>
          </reference>
          <reference field="7" count="1" selected="0">
            <x v="22"/>
          </reference>
          <reference field="8" count="1" selected="0">
            <x v="93"/>
          </reference>
          <reference field="15" count="1">
            <x v="369"/>
          </reference>
        </references>
      </pivotArea>
    </format>
    <format dxfId="3637">
      <pivotArea dataOnly="0" labelOnly="1" fieldPosition="0">
        <references count="5">
          <reference field="4" count="1" selected="0">
            <x v="8"/>
          </reference>
          <reference field="6" count="1" selected="0">
            <x v="0"/>
          </reference>
          <reference field="7" count="1" selected="0">
            <x v="22"/>
          </reference>
          <reference field="8" count="1" selected="0">
            <x v="94"/>
          </reference>
          <reference field="15" count="1">
            <x v="273"/>
          </reference>
        </references>
      </pivotArea>
    </format>
    <format dxfId="3636">
      <pivotArea dataOnly="0" labelOnly="1" fieldPosition="0">
        <references count="5">
          <reference field="4" count="1" selected="0">
            <x v="8"/>
          </reference>
          <reference field="6" count="1" selected="0">
            <x v="1"/>
          </reference>
          <reference field="7" count="1" selected="0">
            <x v="28"/>
          </reference>
          <reference field="8" count="1" selected="0">
            <x v="138"/>
          </reference>
          <reference field="15" count="3">
            <x v="270"/>
            <x v="343"/>
            <x v="355"/>
          </reference>
        </references>
      </pivotArea>
    </format>
    <format dxfId="3635">
      <pivotArea dataOnly="0" labelOnly="1" fieldPosition="0">
        <references count="5">
          <reference field="4" count="1" selected="0">
            <x v="8"/>
          </reference>
          <reference field="6" count="1" selected="0">
            <x v="1"/>
          </reference>
          <reference field="7" count="1" selected="0">
            <x v="28"/>
          </reference>
          <reference field="8" count="1" selected="0">
            <x v="139"/>
          </reference>
          <reference field="15" count="1">
            <x v="147"/>
          </reference>
        </references>
      </pivotArea>
    </format>
    <format dxfId="3634">
      <pivotArea dataOnly="0" labelOnly="1" fieldPosition="0">
        <references count="5">
          <reference field="4" count="1" selected="0">
            <x v="8"/>
          </reference>
          <reference field="6" count="1" selected="0">
            <x v="2"/>
          </reference>
          <reference field="7" count="1" selected="0">
            <x v="32"/>
          </reference>
          <reference field="8" count="1" selected="0">
            <x v="158"/>
          </reference>
          <reference field="15" count="1">
            <x v="344"/>
          </reference>
        </references>
      </pivotArea>
    </format>
    <format dxfId="3633">
      <pivotArea dataOnly="0" labelOnly="1" fieldPosition="0">
        <references count="5">
          <reference field="4" count="1" selected="0">
            <x v="8"/>
          </reference>
          <reference field="6" count="1" selected="0">
            <x v="2"/>
          </reference>
          <reference field="7" count="1" selected="0">
            <x v="32"/>
          </reference>
          <reference field="8" count="1" selected="0">
            <x v="159"/>
          </reference>
          <reference field="15" count="1">
            <x v="137"/>
          </reference>
        </references>
      </pivotArea>
    </format>
    <format dxfId="3632">
      <pivotArea dataOnly="0" labelOnly="1" fieldPosition="0">
        <references count="5">
          <reference field="4" count="1" selected="0">
            <x v="8"/>
          </reference>
          <reference field="6" count="1" selected="0">
            <x v="3"/>
          </reference>
          <reference field="7" count="1" selected="0">
            <x v="6"/>
          </reference>
          <reference field="8" count="1" selected="0">
            <x v="29"/>
          </reference>
          <reference field="15" count="4">
            <x v="145"/>
            <x v="146"/>
            <x v="356"/>
            <x v="357"/>
          </reference>
        </references>
      </pivotArea>
    </format>
    <format dxfId="3631">
      <pivotArea dataOnly="0" labelOnly="1" fieldPosition="0">
        <references count="5">
          <reference field="4" count="1" selected="0">
            <x v="8"/>
          </reference>
          <reference field="6" count="1" selected="0">
            <x v="3"/>
          </reference>
          <reference field="7" count="1" selected="0">
            <x v="6"/>
          </reference>
          <reference field="8" count="1" selected="0">
            <x v="30"/>
          </reference>
          <reference field="15" count="2">
            <x v="267"/>
            <x v="268"/>
          </reference>
        </references>
      </pivotArea>
    </format>
    <format dxfId="3630">
      <pivotArea dataOnly="0" labelOnly="1" fieldPosition="0">
        <references count="5">
          <reference field="4" count="1" selected="0">
            <x v="9"/>
          </reference>
          <reference field="6" count="1" selected="0">
            <x v="1"/>
          </reference>
          <reference field="7" count="1" selected="0">
            <x v="25"/>
          </reference>
          <reference field="8" count="1" selected="0">
            <x v="115"/>
          </reference>
          <reference field="15" count="13">
            <x v="35"/>
            <x v="36"/>
            <x v="63"/>
            <x v="72"/>
            <x v="77"/>
            <x v="238"/>
            <x v="241"/>
            <x v="242"/>
            <x v="243"/>
            <x v="247"/>
            <x v="248"/>
            <x v="260"/>
            <x v="262"/>
          </reference>
        </references>
      </pivotArea>
    </format>
    <format dxfId="3629">
      <pivotArea dataOnly="0" labelOnly="1" fieldPosition="0">
        <references count="5">
          <reference field="4" count="1" selected="0">
            <x v="9"/>
          </reference>
          <reference field="6" count="1" selected="0">
            <x v="1"/>
          </reference>
          <reference field="7" count="1" selected="0">
            <x v="25"/>
          </reference>
          <reference field="8" count="1" selected="0">
            <x v="116"/>
          </reference>
          <reference field="15" count="1">
            <x v="61"/>
          </reference>
        </references>
      </pivotArea>
    </format>
    <format dxfId="3628">
      <pivotArea dataOnly="0" labelOnly="1" fieldPosition="0">
        <references count="5">
          <reference field="4" count="1" selected="0">
            <x v="9"/>
          </reference>
          <reference field="6" count="1" selected="0">
            <x v="1"/>
          </reference>
          <reference field="7" count="1" selected="0">
            <x v="25"/>
          </reference>
          <reference field="8" count="1" selected="0">
            <x v="117"/>
          </reference>
          <reference field="15" count="2">
            <x v="92"/>
            <x v="249"/>
          </reference>
        </references>
      </pivotArea>
    </format>
    <format dxfId="3627">
      <pivotArea dataOnly="0" labelOnly="1" fieldPosition="0">
        <references count="5">
          <reference field="4" count="1" selected="0">
            <x v="9"/>
          </reference>
          <reference field="6" count="1" selected="0">
            <x v="1"/>
          </reference>
          <reference field="7" count="1" selected="0">
            <x v="25"/>
          </reference>
          <reference field="8" count="1" selected="0">
            <x v="118"/>
          </reference>
          <reference field="15" count="3">
            <x v="71"/>
            <x v="87"/>
            <x v="91"/>
          </reference>
        </references>
      </pivotArea>
    </format>
    <format dxfId="3626">
      <pivotArea dataOnly="0" labelOnly="1" fieldPosition="0">
        <references count="5">
          <reference field="4" count="1" selected="0">
            <x v="9"/>
          </reference>
          <reference field="6" count="1" selected="0">
            <x v="1"/>
          </reference>
          <reference field="7" count="1" selected="0">
            <x v="25"/>
          </reference>
          <reference field="8" count="1" selected="0">
            <x v="119"/>
          </reference>
          <reference field="15" count="4">
            <x v="62"/>
            <x v="68"/>
            <x v="69"/>
            <x v="70"/>
          </reference>
        </references>
      </pivotArea>
    </format>
    <format dxfId="3625">
      <pivotArea dataOnly="0" labelOnly="1" fieldPosition="0">
        <references count="5">
          <reference field="4" count="1" selected="0">
            <x v="9"/>
          </reference>
          <reference field="6" count="1" selected="0">
            <x v="1"/>
          </reference>
          <reference field="7" count="1" selected="0">
            <x v="25"/>
          </reference>
          <reference field="8" count="1" selected="0">
            <x v="120"/>
          </reference>
          <reference field="15" count="1">
            <x v="85"/>
          </reference>
        </references>
      </pivotArea>
    </format>
    <format dxfId="3624">
      <pivotArea dataOnly="0" labelOnly="1" fieldPosition="0">
        <references count="5">
          <reference field="4" count="1" selected="0">
            <x v="9"/>
          </reference>
          <reference field="6" count="1" selected="0">
            <x v="1"/>
          </reference>
          <reference field="7" count="1" selected="0">
            <x v="25"/>
          </reference>
          <reference field="8" count="1" selected="0">
            <x v="121"/>
          </reference>
          <reference field="15" count="2">
            <x v="41"/>
            <x v="78"/>
          </reference>
        </references>
      </pivotArea>
    </format>
    <format dxfId="3623">
      <pivotArea dataOnly="0" labelOnly="1" fieldPosition="0">
        <references count="5">
          <reference field="4" count="1" selected="0">
            <x v="9"/>
          </reference>
          <reference field="6" count="1" selected="0">
            <x v="1"/>
          </reference>
          <reference field="7" count="1" selected="0">
            <x v="25"/>
          </reference>
          <reference field="8" count="1" selected="0">
            <x v="122"/>
          </reference>
          <reference field="15" count="2">
            <x v="38"/>
            <x v="39"/>
          </reference>
        </references>
      </pivotArea>
    </format>
    <format dxfId="3622">
      <pivotArea dataOnly="0" labelOnly="1" fieldPosition="0">
        <references count="5">
          <reference field="4" count="1" selected="0">
            <x v="9"/>
          </reference>
          <reference field="6" count="1" selected="0">
            <x v="1"/>
          </reference>
          <reference field="7" count="1" selected="0">
            <x v="25"/>
          </reference>
          <reference field="8" count="1" selected="0">
            <x v="123"/>
          </reference>
          <reference field="15" count="7">
            <x v="32"/>
            <x v="33"/>
            <x v="60"/>
            <x v="82"/>
            <x v="83"/>
            <x v="89"/>
            <x v="90"/>
          </reference>
        </references>
      </pivotArea>
    </format>
    <format dxfId="3621">
      <pivotArea dataOnly="0" labelOnly="1" fieldPosition="0">
        <references count="5">
          <reference field="4" count="1" selected="0">
            <x v="9"/>
          </reference>
          <reference field="6" count="1" selected="0">
            <x v="1"/>
          </reference>
          <reference field="7" count="1" selected="0">
            <x v="25"/>
          </reference>
          <reference field="8" count="1" selected="0">
            <x v="124"/>
          </reference>
          <reference field="15" count="1">
            <x v="261"/>
          </reference>
        </references>
      </pivotArea>
    </format>
    <format dxfId="3620">
      <pivotArea dataOnly="0" labelOnly="1" fieldPosition="0">
        <references count="5">
          <reference field="4" count="1" selected="0">
            <x v="10"/>
          </reference>
          <reference field="6" count="1" selected="0">
            <x v="3"/>
          </reference>
          <reference field="7" count="1" selected="0">
            <x v="6"/>
          </reference>
          <reference field="8" count="1" selected="0">
            <x v="29"/>
          </reference>
          <reference field="15" count="21">
            <x v="2"/>
            <x v="3"/>
            <x v="5"/>
            <x v="152"/>
            <x v="153"/>
            <x v="154"/>
            <x v="155"/>
            <x v="156"/>
            <x v="157"/>
            <x v="158"/>
            <x v="159"/>
            <x v="160"/>
            <x v="161"/>
            <x v="162"/>
            <x v="163"/>
            <x v="189"/>
            <x v="190"/>
            <x v="191"/>
            <x v="192"/>
            <x v="193"/>
            <x v="395"/>
          </reference>
        </references>
      </pivotArea>
    </format>
    <format dxfId="3619">
      <pivotArea dataOnly="0" labelOnly="1" fieldPosition="0">
        <references count="5">
          <reference field="4" count="1" selected="0">
            <x v="11"/>
          </reference>
          <reference field="6" count="1" selected="0">
            <x v="0"/>
          </reference>
          <reference field="7" count="1" selected="0">
            <x v="17"/>
          </reference>
          <reference field="8" count="1" selected="0">
            <x v="70"/>
          </reference>
          <reference field="15" count="4">
            <x v="345"/>
            <x v="346"/>
            <x v="347"/>
            <x v="351"/>
          </reference>
        </references>
      </pivotArea>
    </format>
    <format dxfId="3618">
      <pivotArea dataOnly="0" labelOnly="1" fieldPosition="0">
        <references count="5">
          <reference field="4" count="1" selected="0">
            <x v="11"/>
          </reference>
          <reference field="6" count="1" selected="0">
            <x v="0"/>
          </reference>
          <reference field="7" count="1" selected="0">
            <x v="17"/>
          </reference>
          <reference field="8" count="1" selected="0">
            <x v="71"/>
          </reference>
          <reference field="15" count="3">
            <x v="348"/>
            <x v="352"/>
            <x v="353"/>
          </reference>
        </references>
      </pivotArea>
    </format>
    <format dxfId="3617">
      <pivotArea dataOnly="0" labelOnly="1" fieldPosition="0">
        <references count="5">
          <reference field="4" count="1" selected="0">
            <x v="11"/>
          </reference>
          <reference field="6" count="1" selected="0">
            <x v="0"/>
          </reference>
          <reference field="7" count="1" selected="0">
            <x v="17"/>
          </reference>
          <reference field="8" count="1" selected="0">
            <x v="72"/>
          </reference>
          <reference field="15" count="3">
            <x v="143"/>
            <x v="349"/>
            <x v="350"/>
          </reference>
        </references>
      </pivotArea>
    </format>
    <format dxfId="3616">
      <pivotArea dataOnly="0" labelOnly="1" fieldPosition="0">
        <references count="5">
          <reference field="4" count="1" selected="0">
            <x v="12"/>
          </reference>
          <reference field="6" count="1" selected="0">
            <x v="0"/>
          </reference>
          <reference field="7" count="1" selected="0">
            <x v="18"/>
          </reference>
          <reference field="8" count="1" selected="0">
            <x v="74"/>
          </reference>
          <reference field="15" count="2">
            <x v="113"/>
            <x v="114"/>
          </reference>
        </references>
      </pivotArea>
    </format>
    <format dxfId="3615">
      <pivotArea dataOnly="0" labelOnly="1" fieldPosition="0">
        <references count="5">
          <reference field="4" count="1" selected="0">
            <x v="12"/>
          </reference>
          <reference field="6" count="1" selected="0">
            <x v="0"/>
          </reference>
          <reference field="7" count="1" selected="0">
            <x v="18"/>
          </reference>
          <reference field="8" count="1" selected="0">
            <x v="75"/>
          </reference>
          <reference field="15" count="1">
            <x v="116"/>
          </reference>
        </references>
      </pivotArea>
    </format>
    <format dxfId="3614">
      <pivotArea dataOnly="0" labelOnly="1" fieldPosition="0">
        <references count="5">
          <reference field="4" count="1" selected="0">
            <x v="12"/>
          </reference>
          <reference field="6" count="1" selected="0">
            <x v="0"/>
          </reference>
          <reference field="7" count="1" selected="0">
            <x v="18"/>
          </reference>
          <reference field="8" count="1" selected="0">
            <x v="76"/>
          </reference>
          <reference field="15" count="1">
            <x v="244"/>
          </reference>
        </references>
      </pivotArea>
    </format>
    <format dxfId="3613">
      <pivotArea dataOnly="0" labelOnly="1" fieldPosition="0">
        <references count="5">
          <reference field="4" count="1" selected="0">
            <x v="13"/>
          </reference>
          <reference field="6" count="1" selected="0">
            <x v="3"/>
          </reference>
          <reference field="7" count="1" selected="0">
            <x v="1"/>
          </reference>
          <reference field="8" count="1" selected="0">
            <x v="6"/>
          </reference>
          <reference field="15" count="1">
            <x v="340"/>
          </reference>
        </references>
      </pivotArea>
    </format>
    <format dxfId="3612">
      <pivotArea dataOnly="0" labelOnly="1" fieldPosition="0">
        <references count="5">
          <reference field="4" count="1" selected="0">
            <x v="13"/>
          </reference>
          <reference field="6" count="1" selected="0">
            <x v="3"/>
          </reference>
          <reference field="7" count="1" selected="0">
            <x v="5"/>
          </reference>
          <reference field="8" count="1" selected="0">
            <x v="22"/>
          </reference>
          <reference field="15" count="1">
            <x v="333"/>
          </reference>
        </references>
      </pivotArea>
    </format>
    <format dxfId="3611">
      <pivotArea dataOnly="0" labelOnly="1" fieldPosition="0">
        <references count="5">
          <reference field="4" count="1" selected="0">
            <x v="13"/>
          </reference>
          <reference field="6" count="1" selected="0">
            <x v="3"/>
          </reference>
          <reference field="7" count="1" selected="0">
            <x v="5"/>
          </reference>
          <reference field="8" count="1" selected="0">
            <x v="23"/>
          </reference>
          <reference field="15" count="1">
            <x v="332"/>
          </reference>
        </references>
      </pivotArea>
    </format>
    <format dxfId="3610">
      <pivotArea dataOnly="0" labelOnly="1" fieldPosition="0">
        <references count="5">
          <reference field="4" count="1" selected="0">
            <x v="13"/>
          </reference>
          <reference field="6" count="1" selected="0">
            <x v="3"/>
          </reference>
          <reference field="7" count="1" selected="0">
            <x v="5"/>
          </reference>
          <reference field="8" count="1" selected="0">
            <x v="24"/>
          </reference>
          <reference field="15" count="1">
            <x v="339"/>
          </reference>
        </references>
      </pivotArea>
    </format>
    <format dxfId="3609">
      <pivotArea dataOnly="0" labelOnly="1" fieldPosition="0">
        <references count="5">
          <reference field="4" count="1" selected="0">
            <x v="13"/>
          </reference>
          <reference field="6" count="1" selected="0">
            <x v="3"/>
          </reference>
          <reference field="7" count="1" selected="0">
            <x v="5"/>
          </reference>
          <reference field="8" count="1" selected="0">
            <x v="25"/>
          </reference>
          <reference field="15" count="1">
            <x v="342"/>
          </reference>
        </references>
      </pivotArea>
    </format>
    <format dxfId="3608">
      <pivotArea dataOnly="0" labelOnly="1" fieldPosition="0">
        <references count="5">
          <reference field="4" count="1" selected="0">
            <x v="13"/>
          </reference>
          <reference field="6" count="1" selected="0">
            <x v="3"/>
          </reference>
          <reference field="7" count="1" selected="0">
            <x v="5"/>
          </reference>
          <reference field="8" count="1" selected="0">
            <x v="26"/>
          </reference>
          <reference field="15" count="1">
            <x v="338"/>
          </reference>
        </references>
      </pivotArea>
    </format>
    <format dxfId="3607">
      <pivotArea dataOnly="0" labelOnly="1" fieldPosition="0">
        <references count="5">
          <reference field="4" count="1" selected="0">
            <x v="13"/>
          </reference>
          <reference field="6" count="1" selected="0">
            <x v="3"/>
          </reference>
          <reference field="7" count="1" selected="0">
            <x v="5"/>
          </reference>
          <reference field="8" count="1" selected="0">
            <x v="27"/>
          </reference>
          <reference field="15" count="1">
            <x v="341"/>
          </reference>
        </references>
      </pivotArea>
    </format>
    <format dxfId="3606">
      <pivotArea dataOnly="0" labelOnly="1" fieldPosition="0">
        <references count="5">
          <reference field="4" count="1" selected="0">
            <x v="14"/>
          </reference>
          <reference field="6" count="1" selected="0">
            <x v="1"/>
          </reference>
          <reference field="7" count="1" selected="0">
            <x v="26"/>
          </reference>
          <reference field="8" count="1" selected="0">
            <x v="125"/>
          </reference>
          <reference field="15" count="4">
            <x v="26"/>
            <x v="27"/>
            <x v="28"/>
            <x v="99"/>
          </reference>
        </references>
      </pivotArea>
    </format>
    <format dxfId="3605">
      <pivotArea dataOnly="0" labelOnly="1" fieldPosition="0">
        <references count="5">
          <reference field="4" count="1" selected="0">
            <x v="14"/>
          </reference>
          <reference field="6" count="1" selected="0">
            <x v="1"/>
          </reference>
          <reference field="7" count="1" selected="0">
            <x v="26"/>
          </reference>
          <reference field="8" count="1" selected="0">
            <x v="126"/>
          </reference>
          <reference field="15" count="1">
            <x v="19"/>
          </reference>
        </references>
      </pivotArea>
    </format>
    <format dxfId="3604">
      <pivotArea dataOnly="0" labelOnly="1" fieldPosition="0">
        <references count="5">
          <reference field="4" count="1" selected="0">
            <x v="14"/>
          </reference>
          <reference field="6" count="1" selected="0">
            <x v="1"/>
          </reference>
          <reference field="7" count="1" selected="0">
            <x v="26"/>
          </reference>
          <reference field="8" count="1" selected="0">
            <x v="127"/>
          </reference>
          <reference field="15" count="2">
            <x v="150"/>
            <x v="151"/>
          </reference>
        </references>
      </pivotArea>
    </format>
    <format dxfId="3603">
      <pivotArea dataOnly="0" labelOnly="1" fieldPosition="0">
        <references count="5">
          <reference field="4" count="1" selected="0">
            <x v="14"/>
          </reference>
          <reference field="6" count="1" selected="0">
            <x v="1"/>
          </reference>
          <reference field="7" count="1" selected="0">
            <x v="26"/>
          </reference>
          <reference field="8" count="1" selected="0">
            <x v="128"/>
          </reference>
          <reference field="15" count="2">
            <x v="29"/>
            <x v="30"/>
          </reference>
        </references>
      </pivotArea>
    </format>
    <format dxfId="3602">
      <pivotArea dataOnly="0" labelOnly="1" fieldPosition="0">
        <references count="5">
          <reference field="4" count="1" selected="0">
            <x v="14"/>
          </reference>
          <reference field="6" count="1" selected="0">
            <x v="1"/>
          </reference>
          <reference field="7" count="1" selected="0">
            <x v="26"/>
          </reference>
          <reference field="8" count="1" selected="0">
            <x v="129"/>
          </reference>
          <reference field="15" count="2">
            <x v="330"/>
            <x v="331"/>
          </reference>
        </references>
      </pivotArea>
    </format>
    <format dxfId="3601">
      <pivotArea dataOnly="0" labelOnly="1" fieldPosition="0">
        <references count="5">
          <reference field="4" count="1" selected="0">
            <x v="14"/>
          </reference>
          <reference field="6" count="1" selected="0">
            <x v="1"/>
          </reference>
          <reference field="7" count="1" selected="0">
            <x v="26"/>
          </reference>
          <reference field="8" count="1" selected="0">
            <x v="130"/>
          </reference>
          <reference field="15" count="2">
            <x v="367"/>
            <x v="368"/>
          </reference>
        </references>
      </pivotArea>
    </format>
    <format dxfId="3600">
      <pivotArea dataOnly="0" labelOnly="1" fieldPosition="0">
        <references count="5">
          <reference field="4" count="1" selected="0">
            <x v="14"/>
          </reference>
          <reference field="6" count="1" selected="0">
            <x v="1"/>
          </reference>
          <reference field="7" count="1" selected="0">
            <x v="26"/>
          </reference>
          <reference field="8" count="1" selected="0">
            <x v="131"/>
          </reference>
          <reference field="15" count="3">
            <x v="14"/>
            <x v="15"/>
            <x v="16"/>
          </reference>
        </references>
      </pivotArea>
    </format>
    <format dxfId="3599">
      <pivotArea dataOnly="0" labelOnly="1" fieldPosition="0">
        <references count="5">
          <reference field="4" count="1" selected="0">
            <x v="15"/>
          </reference>
          <reference field="6" count="1" selected="0">
            <x v="0"/>
          </reference>
          <reference field="7" count="1" selected="0">
            <x v="20"/>
          </reference>
          <reference field="8" count="1" selected="0">
            <x v="82"/>
          </reference>
          <reference field="15" count="2">
            <x v="73"/>
            <x v="74"/>
          </reference>
        </references>
      </pivotArea>
    </format>
    <format dxfId="3598">
      <pivotArea dataOnly="0" labelOnly="1" fieldPosition="0">
        <references count="5">
          <reference field="4" count="1" selected="0">
            <x v="15"/>
          </reference>
          <reference field="6" count="1" selected="0">
            <x v="0"/>
          </reference>
          <reference field="7" count="1" selected="0">
            <x v="20"/>
          </reference>
          <reference field="8" count="1" selected="0">
            <x v="83"/>
          </reference>
          <reference field="15" count="1">
            <x v="75"/>
          </reference>
        </references>
      </pivotArea>
    </format>
    <format dxfId="3597">
      <pivotArea dataOnly="0" labelOnly="1" fieldPosition="0">
        <references count="5">
          <reference field="4" count="1" selected="0">
            <x v="15"/>
          </reference>
          <reference field="6" count="1" selected="0">
            <x v="0"/>
          </reference>
          <reference field="7" count="1" selected="0">
            <x v="20"/>
          </reference>
          <reference field="8" count="1" selected="0">
            <x v="84"/>
          </reference>
          <reference field="15" count="1">
            <x v="76"/>
          </reference>
        </references>
      </pivotArea>
    </format>
    <format dxfId="3596">
      <pivotArea dataOnly="0" labelOnly="1" fieldPosition="0">
        <references count="5">
          <reference field="4" count="1" selected="0">
            <x v="15"/>
          </reference>
          <reference field="6" count="1" selected="0">
            <x v="0"/>
          </reference>
          <reference field="7" count="1" selected="0">
            <x v="20"/>
          </reference>
          <reference field="8" count="1" selected="0">
            <x v="85"/>
          </reference>
          <reference field="15" count="1">
            <x v="259"/>
          </reference>
        </references>
      </pivotArea>
    </format>
    <format dxfId="3595">
      <pivotArea dataOnly="0" labelOnly="1" fieldPosition="0">
        <references count="5">
          <reference field="4" count="1" selected="0">
            <x v="15"/>
          </reference>
          <reference field="6" count="1" selected="0">
            <x v="0"/>
          </reference>
          <reference field="7" count="1" selected="0">
            <x v="20"/>
          </reference>
          <reference field="8" count="1" selected="0">
            <x v="86"/>
          </reference>
          <reference field="15" count="3">
            <x v="132"/>
            <x v="133"/>
            <x v="134"/>
          </reference>
        </references>
      </pivotArea>
    </format>
    <format dxfId="3594">
      <pivotArea dataOnly="0" labelOnly="1" fieldPosition="0">
        <references count="5">
          <reference field="4" count="1" selected="0">
            <x v="16"/>
          </reference>
          <reference field="6" count="1" selected="0">
            <x v="1"/>
          </reference>
          <reference field="7" count="1" selected="0">
            <x v="27"/>
          </reference>
          <reference field="8" count="1" selected="0">
            <x v="132"/>
          </reference>
          <reference field="15" count="1">
            <x v="20"/>
          </reference>
        </references>
      </pivotArea>
    </format>
    <format dxfId="3593">
      <pivotArea dataOnly="0" labelOnly="1" fieldPosition="0">
        <references count="5">
          <reference field="4" count="1" selected="0">
            <x v="16"/>
          </reference>
          <reference field="6" count="1" selected="0">
            <x v="1"/>
          </reference>
          <reference field="7" count="1" selected="0">
            <x v="27"/>
          </reference>
          <reference field="8" count="1" selected="0">
            <x v="133"/>
          </reference>
          <reference field="15" count="3">
            <x v="21"/>
            <x v="22"/>
            <x v="23"/>
          </reference>
        </references>
      </pivotArea>
    </format>
    <format dxfId="3592">
      <pivotArea dataOnly="0" labelOnly="1" fieldPosition="0">
        <references count="5">
          <reference field="4" count="1" selected="0">
            <x v="16"/>
          </reference>
          <reference field="6" count="1" selected="0">
            <x v="1"/>
          </reference>
          <reference field="7" count="1" selected="0">
            <x v="27"/>
          </reference>
          <reference field="8" count="1" selected="0">
            <x v="134"/>
          </reference>
          <reference field="15" count="2">
            <x v="149"/>
            <x v="354"/>
          </reference>
        </references>
      </pivotArea>
    </format>
    <format dxfId="3591">
      <pivotArea dataOnly="0" labelOnly="1" fieldPosition="0">
        <references count="5">
          <reference field="4" count="1" selected="0">
            <x v="16"/>
          </reference>
          <reference field="6" count="1" selected="0">
            <x v="1"/>
          </reference>
          <reference field="7" count="1" selected="0">
            <x v="27"/>
          </reference>
          <reference field="8" count="1" selected="0">
            <x v="135"/>
          </reference>
          <reference field="15" count="2">
            <x v="109"/>
            <x v="363"/>
          </reference>
        </references>
      </pivotArea>
    </format>
    <format dxfId="3590">
      <pivotArea dataOnly="0" labelOnly="1" fieldPosition="0">
        <references count="5">
          <reference field="4" count="1" selected="0">
            <x v="16"/>
          </reference>
          <reference field="6" count="1" selected="0">
            <x v="1"/>
          </reference>
          <reference field="7" count="1" selected="0">
            <x v="27"/>
          </reference>
          <reference field="8" count="1" selected="0">
            <x v="136"/>
          </reference>
          <reference field="15" count="2">
            <x v="81"/>
            <x v="148"/>
          </reference>
        </references>
      </pivotArea>
    </format>
    <format dxfId="3589">
      <pivotArea dataOnly="0" labelOnly="1" fieldPosition="0">
        <references count="5">
          <reference field="4" count="1" selected="0">
            <x v="16"/>
          </reference>
          <reference field="6" count="1" selected="0">
            <x v="1"/>
          </reference>
          <reference field="7" count="1" selected="0">
            <x v="27"/>
          </reference>
          <reference field="8" count="1" selected="0">
            <x v="137"/>
          </reference>
          <reference field="15" count="2">
            <x v="111"/>
            <x v="112"/>
          </reference>
        </references>
      </pivotArea>
    </format>
    <format dxfId="3588">
      <pivotArea dataOnly="0" labelOnly="1" fieldPosition="0">
        <references count="5">
          <reference field="4" count="1" selected="0">
            <x v="16"/>
          </reference>
          <reference field="6" count="1" selected="0">
            <x v="3"/>
          </reference>
          <reference field="7" count="1" selected="0">
            <x v="1"/>
          </reference>
          <reference field="8" count="1" selected="0">
            <x v="6"/>
          </reference>
          <reference field="15" count="1">
            <x v="362"/>
          </reference>
        </references>
      </pivotArea>
    </format>
    <format dxfId="3587">
      <pivotArea dataOnly="0" labelOnly="1" fieldPosition="0">
        <references count="5">
          <reference field="4" count="1" selected="0">
            <x v="16"/>
          </reference>
          <reference field="6" count="1" selected="0">
            <x v="4"/>
          </reference>
          <reference field="7" count="1" selected="0">
            <x v="8"/>
          </reference>
          <reference field="8" count="1" selected="0">
            <x v="38"/>
          </reference>
          <reference field="15" count="1">
            <x v="229"/>
          </reference>
        </references>
      </pivotArea>
    </format>
    <format dxfId="3586">
      <pivotArea dataOnly="0" labelOnly="1" fieldPosition="0">
        <references count="5">
          <reference field="4" count="1" selected="0">
            <x v="16"/>
          </reference>
          <reference field="6" count="1" selected="0">
            <x v="4"/>
          </reference>
          <reference field="7" count="1" selected="0">
            <x v="11"/>
          </reference>
          <reference field="8" count="1" selected="0">
            <x v="48"/>
          </reference>
          <reference field="15" count="1">
            <x v="200"/>
          </reference>
        </references>
      </pivotArea>
    </format>
    <format dxfId="3585">
      <pivotArea dataOnly="0" labelOnly="1" fieldPosition="0">
        <references count="5">
          <reference field="4" count="1" selected="0">
            <x v="17"/>
          </reference>
          <reference field="6" count="1" selected="0">
            <x v="0"/>
          </reference>
          <reference field="7" count="1" selected="0">
            <x v="16"/>
          </reference>
          <reference field="8" count="1" selected="0">
            <x v="57"/>
          </reference>
          <reference field="15" count="5">
            <x v="110"/>
            <x v="284"/>
            <x v="285"/>
            <x v="294"/>
            <x v="295"/>
          </reference>
        </references>
      </pivotArea>
    </format>
    <format dxfId="3584">
      <pivotArea dataOnly="0" labelOnly="1" fieldPosition="0">
        <references count="5">
          <reference field="4" count="1" selected="0">
            <x v="17"/>
          </reference>
          <reference field="6" count="1" selected="0">
            <x v="0"/>
          </reference>
          <reference field="7" count="1" selected="0">
            <x v="16"/>
          </reference>
          <reference field="8" count="1" selected="0">
            <x v="58"/>
          </reference>
          <reference field="15" count="2">
            <x v="299"/>
            <x v="300"/>
          </reference>
        </references>
      </pivotArea>
    </format>
    <format dxfId="3583">
      <pivotArea dataOnly="0" labelOnly="1" fieldPosition="0">
        <references count="5">
          <reference field="4" count="1" selected="0">
            <x v="17"/>
          </reference>
          <reference field="6" count="1" selected="0">
            <x v="0"/>
          </reference>
          <reference field="7" count="1" selected="0">
            <x v="16"/>
          </reference>
          <reference field="8" count="1" selected="0">
            <x v="59"/>
          </reference>
          <reference field="15" count="2">
            <x v="94"/>
            <x v="95"/>
          </reference>
        </references>
      </pivotArea>
    </format>
    <format dxfId="3582">
      <pivotArea dataOnly="0" labelOnly="1" fieldPosition="0">
        <references count="5">
          <reference field="4" count="1" selected="0">
            <x v="17"/>
          </reference>
          <reference field="6" count="1" selected="0">
            <x v="0"/>
          </reference>
          <reference field="7" count="1" selected="0">
            <x v="16"/>
          </reference>
          <reference field="8" count="1" selected="0">
            <x v="60"/>
          </reference>
          <reference field="15" count="5">
            <x v="102"/>
            <x v="103"/>
            <x v="104"/>
            <x v="322"/>
            <x v="323"/>
          </reference>
        </references>
      </pivotArea>
    </format>
    <format dxfId="3581">
      <pivotArea dataOnly="0" labelOnly="1" fieldPosition="0">
        <references count="5">
          <reference field="4" count="1" selected="0">
            <x v="17"/>
          </reference>
          <reference field="6" count="1" selected="0">
            <x v="0"/>
          </reference>
          <reference field="7" count="1" selected="0">
            <x v="16"/>
          </reference>
          <reference field="8" count="1" selected="0">
            <x v="61"/>
          </reference>
          <reference field="15" count="2">
            <x v="296"/>
            <x v="297"/>
          </reference>
        </references>
      </pivotArea>
    </format>
    <format dxfId="3580">
      <pivotArea dataOnly="0" labelOnly="1" fieldPosition="0">
        <references count="5">
          <reference field="4" count="1" selected="0">
            <x v="17"/>
          </reference>
          <reference field="6" count="1" selected="0">
            <x v="0"/>
          </reference>
          <reference field="7" count="1" selected="0">
            <x v="16"/>
          </reference>
          <reference field="8" count="1" selected="0">
            <x v="62"/>
          </reference>
          <reference field="15" count="1">
            <x v="93"/>
          </reference>
        </references>
      </pivotArea>
    </format>
    <format dxfId="3579">
      <pivotArea dataOnly="0" labelOnly="1" fieldPosition="0">
        <references count="5">
          <reference field="4" count="1" selected="0">
            <x v="17"/>
          </reference>
          <reference field="6" count="1" selected="0">
            <x v="0"/>
          </reference>
          <reference field="7" count="1" selected="0">
            <x v="16"/>
          </reference>
          <reference field="8" count="1" selected="0">
            <x v="63"/>
          </reference>
          <reference field="15" count="2">
            <x v="315"/>
            <x v="316"/>
          </reference>
        </references>
      </pivotArea>
    </format>
    <format dxfId="3578">
      <pivotArea dataOnly="0" labelOnly="1" fieldPosition="0">
        <references count="5">
          <reference field="4" count="1" selected="0">
            <x v="17"/>
          </reference>
          <reference field="6" count="1" selected="0">
            <x v="0"/>
          </reference>
          <reference field="7" count="1" selected="0">
            <x v="22"/>
          </reference>
          <reference field="8" count="1" selected="0">
            <x v="94"/>
          </reference>
          <reference field="15" count="2">
            <x v="105"/>
            <x v="106"/>
          </reference>
        </references>
      </pivotArea>
    </format>
    <format dxfId="3577">
      <pivotArea dataOnly="0" labelOnly="1" fieldPosition="0">
        <references count="5">
          <reference field="4" count="1" selected="0">
            <x v="18"/>
          </reference>
          <reference field="6" count="1" selected="0">
            <x v="3"/>
          </reference>
          <reference field="7" count="1" selected="0">
            <x v="2"/>
          </reference>
          <reference field="8" count="1" selected="0">
            <x v="8"/>
          </reference>
          <reference field="15" count="2">
            <x v="375"/>
            <x v="376"/>
          </reference>
        </references>
      </pivotArea>
    </format>
    <format dxfId="3576">
      <pivotArea dataOnly="0" labelOnly="1" fieldPosition="0">
        <references count="5">
          <reference field="4" count="1" selected="0">
            <x v="18"/>
          </reference>
          <reference field="6" count="1" selected="0">
            <x v="3"/>
          </reference>
          <reference field="7" count="1" selected="0">
            <x v="2"/>
          </reference>
          <reference field="8" count="1" selected="0">
            <x v="9"/>
          </reference>
          <reference field="15" count="1">
            <x v="266"/>
          </reference>
        </references>
      </pivotArea>
    </format>
    <format dxfId="3575">
      <pivotArea dataOnly="0" labelOnly="1" fieldPosition="0">
        <references count="5">
          <reference field="4" count="1" selected="0">
            <x v="18"/>
          </reference>
          <reference field="6" count="1" selected="0">
            <x v="3"/>
          </reference>
          <reference field="7" count="1" selected="0">
            <x v="2"/>
          </reference>
          <reference field="8" count="1" selected="0">
            <x v="16"/>
          </reference>
          <reference field="15" count="2">
            <x v="271"/>
            <x v="272"/>
          </reference>
        </references>
      </pivotArea>
    </format>
    <format dxfId="3574">
      <pivotArea dataOnly="0" labelOnly="1" fieldPosition="0">
        <references count="5">
          <reference field="4" count="1" selected="0">
            <x v="18"/>
          </reference>
          <reference field="6" count="1" selected="0">
            <x v="3"/>
          </reference>
          <reference field="7" count="1" selected="0">
            <x v="2"/>
          </reference>
          <reference field="8" count="1" selected="0">
            <x v="17"/>
          </reference>
          <reference field="15" count="3">
            <x v="286"/>
            <x v="287"/>
            <x v="288"/>
          </reference>
        </references>
      </pivotArea>
    </format>
    <format dxfId="3573">
      <pivotArea dataOnly="0" labelOnly="1" fieldPosition="0">
        <references count="5">
          <reference field="4" count="1" selected="0">
            <x v="19"/>
          </reference>
          <reference field="6" count="1" selected="0">
            <x v="3"/>
          </reference>
          <reference field="7" count="1" selected="0">
            <x v="6"/>
          </reference>
          <reference field="8" count="1" selected="0">
            <x v="29"/>
          </reference>
          <reference field="15" count="24">
            <x v="4"/>
            <x v="168"/>
            <x v="169"/>
            <x v="170"/>
            <x v="171"/>
            <x v="172"/>
            <x v="173"/>
            <x v="174"/>
            <x v="183"/>
            <x v="184"/>
            <x v="185"/>
            <x v="186"/>
            <x v="187"/>
            <x v="188"/>
            <x v="194"/>
            <x v="195"/>
            <x v="196"/>
            <x v="197"/>
            <x v="198"/>
            <x v="199"/>
            <x v="203"/>
            <x v="204"/>
            <x v="223"/>
            <x v="258"/>
          </reference>
        </references>
      </pivotArea>
    </format>
    <format dxfId="3572">
      <pivotArea dataOnly="0" labelOnly="1" fieldPosition="0">
        <references count="5">
          <reference field="4" count="1" selected="0">
            <x v="20"/>
          </reference>
          <reference field="6" count="1" selected="0">
            <x v="1"/>
          </reference>
          <reference field="7" count="1" selected="0">
            <x v="24"/>
          </reference>
          <reference field="8" count="1" selected="0">
            <x v="106"/>
          </reference>
          <reference field="15" count="2">
            <x v="239"/>
            <x v="240"/>
          </reference>
        </references>
      </pivotArea>
    </format>
    <format dxfId="3571">
      <pivotArea dataOnly="0" labelOnly="1" outline="0" fieldPosition="0">
        <references count="1">
          <reference field="4294967294" count="2">
            <x v="7"/>
            <x v="8"/>
          </reference>
        </references>
      </pivotArea>
    </format>
    <format dxfId="3570">
      <pivotArea outline="0" collapsedLevelsAreSubtotals="1" fieldPosition="0"/>
    </format>
    <format dxfId="3569">
      <pivotArea dataOnly="0" labelOnly="1" outline="0" fieldPosition="0">
        <references count="1">
          <reference field="2" count="0"/>
        </references>
      </pivotArea>
    </format>
    <format dxfId="3568">
      <pivotArea dataOnly="0" labelOnly="1" outline="0" fieldPosition="0">
        <references count="1">
          <reference field="4294967294" count="9">
            <x v="0"/>
            <x v="1"/>
            <x v="2"/>
            <x v="3"/>
            <x v="4"/>
            <x v="5"/>
            <x v="6"/>
            <x v="7"/>
            <x v="8"/>
          </reference>
        </references>
      </pivotArea>
    </format>
    <format dxfId="3567">
      <pivotArea outline="0" collapsedLevelsAreSubtotals="1" fieldPosition="0">
        <references count="1">
          <reference field="4294967294" count="2" selected="0">
            <x v="7"/>
            <x v="8"/>
          </reference>
        </references>
      </pivotArea>
    </format>
    <format dxfId="3566">
      <pivotArea dataOnly="0" labelOnly="1" outline="0" fieldPosition="0">
        <references count="1">
          <reference field="4294967294" count="2">
            <x v="7"/>
            <x v="8"/>
          </reference>
        </references>
      </pivotArea>
    </format>
    <format dxfId="3565">
      <pivotArea field="2" type="button" dataOnly="0" labelOnly="1" outline="0" axis="axisPage" fieldPosition="0"/>
    </format>
    <format dxfId="3564">
      <pivotArea field="4" type="button" dataOnly="0" labelOnly="1" outline="0" axis="axisRow" fieldPosition="0"/>
    </format>
    <format dxfId="3563">
      <pivotArea dataOnly="0" labelOnly="1" fieldPosition="0">
        <references count="1">
          <reference field="4" count="1">
            <x v="10"/>
          </reference>
        </references>
      </pivotArea>
    </format>
    <format dxfId="3562">
      <pivotArea dataOnly="0" labelOnly="1" grandRow="1" outline="0" fieldPosition="0"/>
    </format>
    <format dxfId="3561">
      <pivotArea dataOnly="0" labelOnly="1" fieldPosition="0">
        <references count="2">
          <reference field="4" count="1" selected="0">
            <x v="10"/>
          </reference>
          <reference field="6" count="1">
            <x v="3"/>
          </reference>
        </references>
      </pivotArea>
    </format>
    <format dxfId="3560">
      <pivotArea dataOnly="0" labelOnly="1" fieldPosition="0">
        <references count="3">
          <reference field="4" count="1" selected="0">
            <x v="10"/>
          </reference>
          <reference field="6" count="1" selected="0">
            <x v="3"/>
          </reference>
          <reference field="7" count="1">
            <x v="6"/>
          </reference>
        </references>
      </pivotArea>
    </format>
    <format dxfId="3559">
      <pivotArea dataOnly="0" labelOnly="1" fieldPosition="0">
        <references count="4">
          <reference field="4" count="1" selected="0">
            <x v="10"/>
          </reference>
          <reference field="6" count="1" selected="0">
            <x v="3"/>
          </reference>
          <reference field="7" count="1" selected="0">
            <x v="6"/>
          </reference>
          <reference field="8" count="1">
            <x v="29"/>
          </reference>
        </references>
      </pivotArea>
    </format>
    <format dxfId="3558">
      <pivotArea dataOnly="0" labelOnly="1" fieldPosition="0">
        <references count="5">
          <reference field="4" count="1" selected="0">
            <x v="10"/>
          </reference>
          <reference field="6" count="1" selected="0">
            <x v="3"/>
          </reference>
          <reference field="7" count="1" selected="0">
            <x v="6"/>
          </reference>
          <reference field="8" count="1" selected="0">
            <x v="29"/>
          </reference>
          <reference field="15" count="21">
            <x v="2"/>
            <x v="3"/>
            <x v="5"/>
            <x v="152"/>
            <x v="153"/>
            <x v="154"/>
            <x v="155"/>
            <x v="156"/>
            <x v="157"/>
            <x v="158"/>
            <x v="159"/>
            <x v="160"/>
            <x v="161"/>
            <x v="162"/>
            <x v="163"/>
            <x v="189"/>
            <x v="190"/>
            <x v="191"/>
            <x v="192"/>
            <x v="193"/>
            <x v="39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0" cacheId="2" applyNumberFormats="0" applyBorderFormats="0" applyFontFormats="0" applyPatternFormats="0" applyAlignmentFormats="0" applyWidthHeightFormats="1" dataCaption="Valores" grandTotalCaption="TOTAL " updatedVersion="8" minRefreshableVersion="3" useAutoFormatting="1" itemPrintTitles="1" createdVersion="8" indent="0" outline="1" outlineData="1" multipleFieldFilters="0" rowHeaderCaption="UNIDAD EJECUTORA">
  <location ref="A3:J20" firstHeaderRow="0" firstDataRow="1" firstDataCol="1" rowPageCount="1" colPageCount="1"/>
  <pivotFields count="33">
    <pivotField showAll="0"/>
    <pivotField showAll="0"/>
    <pivotField axis="axisPage" showAll="0">
      <items count="22">
        <item x="4"/>
        <item x="3"/>
        <item x="14"/>
        <item x="0"/>
        <item x="13"/>
        <item x="17"/>
        <item x="7"/>
        <item x="9"/>
        <item x="15"/>
        <item x="8"/>
        <item x="1"/>
        <item x="16"/>
        <item x="12"/>
        <item x="20"/>
        <item x="5"/>
        <item x="10"/>
        <item x="6"/>
        <item x="11"/>
        <item x="19"/>
        <item x="2"/>
        <item x="18"/>
        <item t="default"/>
      </items>
    </pivotField>
    <pivotField showAll="0"/>
    <pivotField axis="axisRow" showAll="0">
      <items count="22">
        <item x="4"/>
        <item x="3"/>
        <item x="14"/>
        <item x="0"/>
        <item x="13"/>
        <item x="17"/>
        <item x="7"/>
        <item x="9"/>
        <item x="15"/>
        <item x="8"/>
        <item x="1"/>
        <item x="16"/>
        <item x="12"/>
        <item x="20"/>
        <item x="5"/>
        <item x="10"/>
        <item x="6"/>
        <item x="11"/>
        <item x="19"/>
        <item x="2"/>
        <item x="18"/>
        <item t="default"/>
      </items>
    </pivotField>
    <pivotField numFmtId="1" showAll="0"/>
    <pivotField axis="axisRow" showAll="0">
      <items count="6">
        <item x="1"/>
        <item x="2"/>
        <item x="3"/>
        <item x="0"/>
        <item x="4"/>
        <item t="default"/>
      </items>
    </pivotField>
    <pivotField axis="axisRow" showAll="0">
      <items count="34">
        <item x="19"/>
        <item x="27"/>
        <item x="1"/>
        <item x="2"/>
        <item x="8"/>
        <item x="30"/>
        <item x="0"/>
        <item x="32"/>
        <item x="25"/>
        <item x="29"/>
        <item x="12"/>
        <item x="15"/>
        <item x="13"/>
        <item x="28"/>
        <item x="23"/>
        <item x="31"/>
        <item x="16"/>
        <item x="10"/>
        <item x="18"/>
        <item x="3"/>
        <item x="14"/>
        <item x="20"/>
        <item x="17"/>
        <item x="9"/>
        <item x="6"/>
        <item x="7"/>
        <item x="4"/>
        <item x="5"/>
        <item x="24"/>
        <item x="11"/>
        <item x="21"/>
        <item x="26"/>
        <item x="22"/>
        <item t="default"/>
      </items>
    </pivotField>
    <pivotField axis="axisRow" showAll="0">
      <items count="161">
        <item x="62"/>
        <item x="155"/>
        <item x="112"/>
        <item x="156"/>
        <item x="118"/>
        <item x="154"/>
        <item x="140"/>
        <item x="60"/>
        <item x="153"/>
        <item x="102"/>
        <item x="7"/>
        <item x="2"/>
        <item x="52"/>
        <item x="1"/>
        <item x="22"/>
        <item x="151"/>
        <item x="105"/>
        <item x="114"/>
        <item x="82"/>
        <item x="3"/>
        <item x="15"/>
        <item x="49"/>
        <item x="135"/>
        <item x="134"/>
        <item x="139"/>
        <item x="142"/>
        <item x="138"/>
        <item x="141"/>
        <item x="128"/>
        <item x="0"/>
        <item x="103"/>
        <item x="159"/>
        <item x="150"/>
        <item x="86"/>
        <item x="152"/>
        <item x="137"/>
        <item x="110"/>
        <item x="79"/>
        <item x="80"/>
        <item x="83"/>
        <item x="126"/>
        <item x="131"/>
        <item x="132"/>
        <item x="129"/>
        <item x="28"/>
        <item x="27"/>
        <item x="29"/>
        <item x="26"/>
        <item x="43"/>
        <item x="42"/>
        <item x="32"/>
        <item x="122"/>
        <item x="124"/>
        <item x="123"/>
        <item x="111"/>
        <item x="69"/>
        <item x="136"/>
        <item x="55"/>
        <item x="119"/>
        <item x="46"/>
        <item x="50"/>
        <item x="117"/>
        <item x="45"/>
        <item x="127"/>
        <item x="106"/>
        <item x="53"/>
        <item x="147"/>
        <item x="146"/>
        <item x="38"/>
        <item x="20"/>
        <item x="144"/>
        <item x="145"/>
        <item x="74"/>
        <item x="89"/>
        <item x="57"/>
        <item x="59"/>
        <item x="88"/>
        <item x="108"/>
        <item x="85"/>
        <item x="5"/>
        <item x="4"/>
        <item x="81"/>
        <item x="35"/>
        <item x="36"/>
        <item x="37"/>
        <item x="98"/>
        <item x="67"/>
        <item x="63"/>
        <item x="116"/>
        <item x="125"/>
        <item x="157"/>
        <item x="101"/>
        <item x="66"/>
        <item x="149"/>
        <item x="51"/>
        <item x="90"/>
        <item x="91"/>
        <item x="97"/>
        <item x="21"/>
        <item x="94"/>
        <item x="93"/>
        <item x="95"/>
        <item x="18"/>
        <item x="92"/>
        <item x="96"/>
        <item x="11"/>
        <item x="87"/>
        <item x="61"/>
        <item x="48"/>
        <item x="47"/>
        <item x="58"/>
        <item x="130"/>
        <item x="39"/>
        <item x="33"/>
        <item x="100"/>
        <item x="16"/>
        <item x="30"/>
        <item x="44"/>
        <item x="34"/>
        <item x="31"/>
        <item x="41"/>
        <item x="19"/>
        <item x="17"/>
        <item x="14"/>
        <item x="99"/>
        <item x="12"/>
        <item x="8"/>
        <item x="78"/>
        <item x="13"/>
        <item x="133"/>
        <item x="148"/>
        <item x="6"/>
        <item x="9"/>
        <item x="10"/>
        <item x="77"/>
        <item x="54"/>
        <item x="40"/>
        <item x="56"/>
        <item x="104"/>
        <item x="76"/>
        <item x="25"/>
        <item x="109"/>
        <item x="113"/>
        <item x="115"/>
        <item x="24"/>
        <item x="23"/>
        <item x="70"/>
        <item x="64"/>
        <item x="73"/>
        <item x="71"/>
        <item x="75"/>
        <item x="158"/>
        <item x="65"/>
        <item x="72"/>
        <item x="107"/>
        <item x="84"/>
        <item x="121"/>
        <item x="120"/>
        <item x="143"/>
        <item x="68"/>
        <item t="default"/>
      </items>
    </pivotField>
    <pivotField showAll="0"/>
    <pivotField showAll="0"/>
    <pivotField showAll="0"/>
    <pivotField showAll="0"/>
    <pivotField showAll="0"/>
    <pivotField showAll="0"/>
    <pivotField axis="axisRow" showAll="0">
      <items count="402">
        <item x="1"/>
        <item x="0"/>
        <item x="3"/>
        <item x="2"/>
        <item x="4"/>
        <item x="5"/>
        <item x="6"/>
        <item x="8"/>
        <item x="7"/>
        <item x="9"/>
        <item x="11"/>
        <item x="10"/>
        <item x="12"/>
        <item x="13"/>
        <item x="16"/>
        <item x="15"/>
        <item x="14"/>
        <item x="18"/>
        <item x="17"/>
        <item x="19"/>
        <item x="20"/>
        <item x="21"/>
        <item x="22"/>
        <item x="23"/>
        <item x="25"/>
        <item x="24"/>
        <item x="27"/>
        <item x="26"/>
        <item x="28"/>
        <item x="29"/>
        <item x="30"/>
        <item x="31"/>
        <item x="32"/>
        <item x="33"/>
        <item x="34"/>
        <item x="35"/>
        <item x="36"/>
        <item x="37"/>
        <item x="38"/>
        <item x="39"/>
        <item x="40"/>
        <item x="41"/>
        <item x="42"/>
        <item x="43"/>
        <item x="44"/>
        <item x="45"/>
        <item x="46"/>
        <item x="47"/>
        <item x="48"/>
        <item x="49"/>
        <item x="50"/>
        <item x="51"/>
        <item x="52"/>
        <item x="53"/>
        <item x="54"/>
        <item x="55"/>
        <item x="56"/>
        <item x="58"/>
        <item x="57"/>
        <item x="59"/>
        <item x="60"/>
        <item x="61"/>
        <item x="62"/>
        <item x="63"/>
        <item x="65"/>
        <item x="64"/>
        <item x="66"/>
        <item x="67"/>
        <item x="68"/>
        <item x="69"/>
        <item x="70"/>
        <item x="71"/>
        <item x="72"/>
        <item x="74"/>
        <item x="73"/>
        <item x="75"/>
        <item x="76"/>
        <item x="77"/>
        <item x="78"/>
        <item x="79"/>
        <item x="80"/>
        <item x="81"/>
        <item x="82"/>
        <item x="83"/>
        <item x="84"/>
        <item x="85"/>
        <item x="86"/>
        <item x="87"/>
        <item x="88"/>
        <item x="89"/>
        <item x="90"/>
        <item x="91"/>
        <item x="92"/>
        <item x="93"/>
        <item x="95"/>
        <item x="94"/>
        <item x="96"/>
        <item x="97"/>
        <item x="98"/>
        <item x="99"/>
        <item x="101"/>
        <item x="100"/>
        <item x="103"/>
        <item x="102"/>
        <item x="104"/>
        <item x="105"/>
        <item x="106"/>
        <item x="107"/>
        <item x="108"/>
        <item x="109"/>
        <item x="110"/>
        <item x="111"/>
        <item x="112"/>
        <item x="114"/>
        <item x="113"/>
        <item x="115"/>
        <item x="116"/>
        <item x="117"/>
        <item x="118"/>
        <item x="119"/>
        <item x="122"/>
        <item x="120"/>
        <item x="121"/>
        <item x="123"/>
        <item x="124"/>
        <item x="125"/>
        <item x="126"/>
        <item x="127"/>
        <item x="129"/>
        <item x="128"/>
        <item x="130"/>
        <item x="131"/>
        <item x="132"/>
        <item x="133"/>
        <item x="134"/>
        <item x="135"/>
        <item x="136"/>
        <item x="137"/>
        <item x="138"/>
        <item x="139"/>
        <item x="140"/>
        <item x="141"/>
        <item x="142"/>
        <item x="143"/>
        <item x="144"/>
        <item x="145"/>
        <item x="146"/>
        <item x="147"/>
        <item x="148"/>
        <item x="149"/>
        <item x="151"/>
        <item x="150"/>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3"/>
        <item x="192"/>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4"/>
        <item x="233"/>
        <item x="235"/>
        <item x="236"/>
        <item x="237"/>
        <item x="238"/>
        <item x="239"/>
        <item x="240"/>
        <item x="241"/>
        <item x="242"/>
        <item x="243"/>
        <item x="244"/>
        <item x="246"/>
        <item x="245"/>
        <item x="247"/>
        <item x="248"/>
        <item x="249"/>
        <item x="250"/>
        <item x="251"/>
        <item x="252"/>
        <item x="253"/>
        <item x="254"/>
        <item x="255"/>
        <item x="256"/>
        <item x="257"/>
        <item x="258"/>
        <item x="259"/>
        <item x="260"/>
        <item x="261"/>
        <item x="262"/>
        <item x="263"/>
        <item x="264"/>
        <item x="265"/>
        <item x="266"/>
        <item x="268"/>
        <item x="267"/>
        <item x="269"/>
        <item x="270"/>
        <item x="271"/>
        <item x="272"/>
        <item x="273"/>
        <item x="274"/>
        <item x="275"/>
        <item x="277"/>
        <item x="276"/>
        <item x="278"/>
        <item x="279"/>
        <item x="280"/>
        <item x="281"/>
        <item x="282"/>
        <item x="283"/>
        <item x="285"/>
        <item x="284"/>
        <item x="288"/>
        <item x="286"/>
        <item x="287"/>
        <item x="289"/>
        <item x="290"/>
        <item x="291"/>
        <item x="292"/>
        <item x="293"/>
        <item x="294"/>
        <item x="295"/>
        <item x="297"/>
        <item x="296"/>
        <item x="298"/>
        <item x="299"/>
        <item x="300"/>
        <item x="301"/>
        <item x="302"/>
        <item x="303"/>
        <item x="304"/>
        <item x="305"/>
        <item x="306"/>
        <item x="307"/>
        <item x="308"/>
        <item x="309"/>
        <item x="310"/>
        <item x="311"/>
        <item x="312"/>
        <item x="313"/>
        <item x="314"/>
        <item x="316"/>
        <item x="315"/>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7"/>
        <item x="346"/>
        <item x="348"/>
        <item x="349"/>
        <item x="350"/>
        <item x="351"/>
        <item x="352"/>
        <item x="353"/>
        <item x="354"/>
        <item x="355"/>
        <item x="357"/>
        <item x="356"/>
        <item x="358"/>
        <item x="360"/>
        <item x="359"/>
        <item x="361"/>
        <item x="362"/>
        <item x="363"/>
        <item x="364"/>
        <item x="365"/>
        <item x="366"/>
        <item x="368"/>
        <item x="367"/>
        <item x="369"/>
        <item x="370"/>
        <item x="371"/>
        <item x="372"/>
        <item x="373"/>
        <item x="374"/>
        <item x="376"/>
        <item x="375"/>
        <item x="377"/>
        <item x="378"/>
        <item x="379"/>
        <item x="380"/>
        <item x="381"/>
        <item x="382"/>
        <item x="383"/>
        <item x="384"/>
        <item x="385"/>
        <item x="386"/>
        <item x="387"/>
        <item x="389"/>
        <item x="388"/>
        <item x="390"/>
        <item x="391"/>
        <item x="392"/>
        <item x="393"/>
        <item x="394"/>
        <item x="395"/>
        <item x="396"/>
        <item x="397"/>
        <item x="398"/>
        <item x="399"/>
        <item x="400"/>
        <item t="default"/>
      </items>
    </pivotField>
    <pivotField showAll="0"/>
    <pivotField showAll="0"/>
    <pivotField dataField="1" numFmtId="43" showAll="0"/>
    <pivotField numFmtId="43" showAll="0"/>
    <pivotField dataField="1" numFmtId="43" showAll="0"/>
    <pivotField numFmtId="43" showAll="0"/>
    <pivotField numFmtId="43" showAll="0"/>
    <pivotField dataField="1" numFmtId="43" showAll="0"/>
    <pivotField numFmtId="43" showAll="0"/>
    <pivotField dataField="1" numFmtId="43" showAll="0"/>
    <pivotField numFmtId="43" showAll="0"/>
    <pivotField numFmtId="43" showAll="0"/>
    <pivotField dataField="1" numFmtId="43" showAl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5">
    <field x="4"/>
    <field x="6"/>
    <field x="7"/>
    <field x="8"/>
    <field x="15"/>
  </rowFields>
  <rowItems count="17">
    <i>
      <x v="11"/>
    </i>
    <i r="1">
      <x/>
    </i>
    <i r="2">
      <x v="17"/>
    </i>
    <i r="3">
      <x v="70"/>
    </i>
    <i r="4">
      <x v="345"/>
    </i>
    <i r="4">
      <x v="346"/>
    </i>
    <i r="4">
      <x v="347"/>
    </i>
    <i r="4">
      <x v="351"/>
    </i>
    <i r="3">
      <x v="71"/>
    </i>
    <i r="4">
      <x v="348"/>
    </i>
    <i r="4">
      <x v="352"/>
    </i>
    <i r="4">
      <x v="353"/>
    </i>
    <i r="3">
      <x v="72"/>
    </i>
    <i r="4">
      <x v="143"/>
    </i>
    <i r="4">
      <x v="349"/>
    </i>
    <i r="4">
      <x v="350"/>
    </i>
    <i t="grand">
      <x/>
    </i>
  </rowItems>
  <colFields count="1">
    <field x="-2"/>
  </colFields>
  <colItems count="9">
    <i>
      <x/>
    </i>
    <i i="1">
      <x v="1"/>
    </i>
    <i i="2">
      <x v="2"/>
    </i>
    <i i="3">
      <x v="3"/>
    </i>
    <i i="4">
      <x v="4"/>
    </i>
    <i i="5">
      <x v="5"/>
    </i>
    <i i="6">
      <x v="6"/>
    </i>
    <i i="7">
      <x v="7"/>
    </i>
    <i i="8">
      <x v="8"/>
    </i>
  </colItems>
  <pageFields count="1">
    <pageField fld="2" item="11" hier="-1"/>
  </pageFields>
  <dataFields count="9">
    <dataField name="PPTO INICIAL" fld="18" baseField="4" baseItem="0"/>
    <dataField name="PPTO VIGENTE" fld="20" baseField="4" baseItem="0"/>
    <dataField name="COMPROMISOS." fld="23" baseField="4" baseItem="0"/>
    <dataField name="GIROS." fld="25" baseField="4" baseItem="0"/>
    <dataField name="PAGOS " fld="28" baseField="4" baseItem="0"/>
    <dataField name=" SALDO APROPIACIÓN CDP" fld="29" baseField="4" baseItem="0" numFmtId="43"/>
    <dataField name="SALDO APROPIACIÓN RP" fld="30" baseField="4" baseItem="0" numFmtId="43"/>
    <dataField name="Suma de % CDP" fld="31" baseField="0" baseItem="0" numFmtId="43"/>
    <dataField name="Suma de % RP" fld="32" baseField="0" baseItem="0" numFmtId="43"/>
  </dataFields>
  <formats count="328">
    <format dxfId="3557">
      <pivotArea dataOnly="0" labelOnly="1" fieldPosition="0">
        <references count="1">
          <reference field="4" count="0"/>
        </references>
      </pivotArea>
    </format>
    <format dxfId="3556">
      <pivotArea dataOnly="0" labelOnly="1" fieldPosition="0">
        <references count="1">
          <reference field="4" count="1">
            <x v="0"/>
          </reference>
        </references>
      </pivotArea>
    </format>
    <format dxfId="3555">
      <pivotArea dataOnly="0" labelOnly="1" fieldPosition="0">
        <references count="1">
          <reference field="6" count="0"/>
        </references>
      </pivotArea>
    </format>
    <format dxfId="3554">
      <pivotArea dataOnly="0" labelOnly="1" fieldPosition="0">
        <references count="1">
          <reference field="7" count="0"/>
        </references>
      </pivotArea>
    </format>
    <format dxfId="3553">
      <pivotArea dataOnly="0" labelOnly="1" fieldPosition="0">
        <references count="1">
          <reference field="7" count="0"/>
        </references>
      </pivotArea>
    </format>
    <format dxfId="3552">
      <pivotArea dataOnly="0" labelOnly="1" fieldPosition="0">
        <references count="1">
          <reference field="8" count="0"/>
        </references>
      </pivotArea>
    </format>
    <format dxfId="3551">
      <pivotArea outline="0" collapsedLevelsAreSubtotals="1" fieldPosition="0"/>
    </format>
    <format dxfId="3550">
      <pivotArea dataOnly="0" labelOnly="1" outline="0" fieldPosition="0">
        <references count="1">
          <reference field="2" count="0"/>
        </references>
      </pivotArea>
    </format>
    <format dxfId="3549">
      <pivotArea dataOnly="0" labelOnly="1" outline="0" fieldPosition="0">
        <references count="1">
          <reference field="4294967294" count="9">
            <x v="0"/>
            <x v="1"/>
            <x v="2"/>
            <x v="3"/>
            <x v="4"/>
            <x v="5"/>
            <x v="6"/>
            <x v="7"/>
            <x v="8"/>
          </reference>
        </references>
      </pivotArea>
    </format>
    <format dxfId="3548">
      <pivotArea field="2" type="button" dataOnly="0" labelOnly="1" outline="0" axis="axisPage" fieldPosition="0"/>
    </format>
    <format dxfId="3547">
      <pivotArea field="4" type="button" dataOnly="0" labelOnly="1" outline="0" axis="axisRow" fieldPosition="0"/>
    </format>
    <format dxfId="3546">
      <pivotArea dataOnly="0" labelOnly="1" fieldPosition="0">
        <references count="1">
          <reference field="4" count="0"/>
        </references>
      </pivotArea>
    </format>
    <format dxfId="3545">
      <pivotArea dataOnly="0" labelOnly="1" grandRow="1" outline="0" fieldPosition="0"/>
    </format>
    <format dxfId="3544">
      <pivotArea dataOnly="0" labelOnly="1" fieldPosition="0">
        <references count="2">
          <reference field="4" count="1" selected="0">
            <x v="0"/>
          </reference>
          <reference field="6" count="2">
            <x v="0"/>
            <x v="1"/>
          </reference>
        </references>
      </pivotArea>
    </format>
    <format dxfId="3543">
      <pivotArea dataOnly="0" labelOnly="1" fieldPosition="0">
        <references count="2">
          <reference field="4" count="1" selected="0">
            <x v="1"/>
          </reference>
          <reference field="6" count="3">
            <x v="0"/>
            <x v="3"/>
            <x v="4"/>
          </reference>
        </references>
      </pivotArea>
    </format>
    <format dxfId="3542">
      <pivotArea dataOnly="0" labelOnly="1" fieldPosition="0">
        <references count="2">
          <reference field="4" count="1" selected="0">
            <x v="2"/>
          </reference>
          <reference field="6" count="3">
            <x v="2"/>
            <x v="3"/>
            <x v="4"/>
          </reference>
        </references>
      </pivotArea>
    </format>
    <format dxfId="3541">
      <pivotArea dataOnly="0" labelOnly="1" fieldPosition="0">
        <references count="2">
          <reference field="4" count="1" selected="0">
            <x v="3"/>
          </reference>
          <reference field="6" count="1">
            <x v="3"/>
          </reference>
        </references>
      </pivotArea>
    </format>
    <format dxfId="3540">
      <pivotArea dataOnly="0" labelOnly="1" fieldPosition="0">
        <references count="2">
          <reference field="4" count="1" selected="0">
            <x v="4"/>
          </reference>
          <reference field="6" count="4">
            <x v="0"/>
            <x v="1"/>
            <x v="2"/>
            <x v="3"/>
          </reference>
        </references>
      </pivotArea>
    </format>
    <format dxfId="3539">
      <pivotArea dataOnly="0" labelOnly="1" fieldPosition="0">
        <references count="2">
          <reference field="4" count="1" selected="0">
            <x v="5"/>
          </reference>
          <reference field="6" count="2">
            <x v="0"/>
            <x v="4"/>
          </reference>
        </references>
      </pivotArea>
    </format>
    <format dxfId="3538">
      <pivotArea dataOnly="0" labelOnly="1" fieldPosition="0">
        <references count="2">
          <reference field="4" count="1" selected="0">
            <x v="6"/>
          </reference>
          <reference field="6" count="1">
            <x v="1"/>
          </reference>
        </references>
      </pivotArea>
    </format>
    <format dxfId="3537">
      <pivotArea dataOnly="0" labelOnly="1" fieldPosition="0">
        <references count="2">
          <reference field="4" count="1" selected="0">
            <x v="7"/>
          </reference>
          <reference field="6" count="4">
            <x v="0"/>
            <x v="2"/>
            <x v="3"/>
            <x v="4"/>
          </reference>
        </references>
      </pivotArea>
    </format>
    <format dxfId="3536">
      <pivotArea dataOnly="0" labelOnly="1" fieldPosition="0">
        <references count="2">
          <reference field="4" count="1" selected="0">
            <x v="8"/>
          </reference>
          <reference field="6" count="4">
            <x v="0"/>
            <x v="1"/>
            <x v="2"/>
            <x v="3"/>
          </reference>
        </references>
      </pivotArea>
    </format>
    <format dxfId="3535">
      <pivotArea dataOnly="0" labelOnly="1" fieldPosition="0">
        <references count="2">
          <reference field="4" count="1" selected="0">
            <x v="9"/>
          </reference>
          <reference field="6" count="1">
            <x v="1"/>
          </reference>
        </references>
      </pivotArea>
    </format>
    <format dxfId="3534">
      <pivotArea dataOnly="0" labelOnly="1" fieldPosition="0">
        <references count="2">
          <reference field="4" count="1" selected="0">
            <x v="10"/>
          </reference>
          <reference field="6" count="1">
            <x v="3"/>
          </reference>
        </references>
      </pivotArea>
    </format>
    <format dxfId="3533">
      <pivotArea dataOnly="0" labelOnly="1" fieldPosition="0">
        <references count="2">
          <reference field="4" count="1" selected="0">
            <x v="11"/>
          </reference>
          <reference field="6" count="1">
            <x v="0"/>
          </reference>
        </references>
      </pivotArea>
    </format>
    <format dxfId="3532">
      <pivotArea dataOnly="0" labelOnly="1" fieldPosition="0">
        <references count="2">
          <reference field="4" count="1" selected="0">
            <x v="12"/>
          </reference>
          <reference field="6" count="1">
            <x v="0"/>
          </reference>
        </references>
      </pivotArea>
    </format>
    <format dxfId="3531">
      <pivotArea dataOnly="0" labelOnly="1" fieldPosition="0">
        <references count="2">
          <reference field="4" count="1" selected="0">
            <x v="13"/>
          </reference>
          <reference field="6" count="1">
            <x v="3"/>
          </reference>
        </references>
      </pivotArea>
    </format>
    <format dxfId="3530">
      <pivotArea dataOnly="0" labelOnly="1" fieldPosition="0">
        <references count="2">
          <reference field="4" count="1" selected="0">
            <x v="14"/>
          </reference>
          <reference field="6" count="1">
            <x v="1"/>
          </reference>
        </references>
      </pivotArea>
    </format>
    <format dxfId="3529">
      <pivotArea dataOnly="0" labelOnly="1" fieldPosition="0">
        <references count="2">
          <reference field="4" count="1" selected="0">
            <x v="15"/>
          </reference>
          <reference field="6" count="1">
            <x v="0"/>
          </reference>
        </references>
      </pivotArea>
    </format>
    <format dxfId="3528">
      <pivotArea dataOnly="0" labelOnly="1" fieldPosition="0">
        <references count="2">
          <reference field="4" count="1" selected="0">
            <x v="16"/>
          </reference>
          <reference field="6" count="3">
            <x v="1"/>
            <x v="3"/>
            <x v="4"/>
          </reference>
        </references>
      </pivotArea>
    </format>
    <format dxfId="3527">
      <pivotArea dataOnly="0" labelOnly="1" fieldPosition="0">
        <references count="2">
          <reference field="4" count="1" selected="0">
            <x v="17"/>
          </reference>
          <reference field="6" count="1">
            <x v="0"/>
          </reference>
        </references>
      </pivotArea>
    </format>
    <format dxfId="3526">
      <pivotArea dataOnly="0" labelOnly="1" fieldPosition="0">
        <references count="2">
          <reference field="4" count="1" selected="0">
            <x v="18"/>
          </reference>
          <reference field="6" count="1">
            <x v="3"/>
          </reference>
        </references>
      </pivotArea>
    </format>
    <format dxfId="3525">
      <pivotArea dataOnly="0" labelOnly="1" fieldPosition="0">
        <references count="2">
          <reference field="4" count="1" selected="0">
            <x v="19"/>
          </reference>
          <reference field="6" count="1">
            <x v="3"/>
          </reference>
        </references>
      </pivotArea>
    </format>
    <format dxfId="3524">
      <pivotArea dataOnly="0" labelOnly="1" fieldPosition="0">
        <references count="2">
          <reference field="4" count="1" selected="0">
            <x v="20"/>
          </reference>
          <reference field="6" count="1">
            <x v="1"/>
          </reference>
        </references>
      </pivotArea>
    </format>
    <format dxfId="3523">
      <pivotArea dataOnly="0" labelOnly="1" fieldPosition="0">
        <references count="3">
          <reference field="4" count="1" selected="0">
            <x v="0"/>
          </reference>
          <reference field="6" count="1" selected="0">
            <x v="0"/>
          </reference>
          <reference field="7" count="2">
            <x v="17"/>
            <x v="19"/>
          </reference>
        </references>
      </pivotArea>
    </format>
    <format dxfId="3522">
      <pivotArea dataOnly="0" labelOnly="1" fieldPosition="0">
        <references count="3">
          <reference field="4" count="1" selected="0">
            <x v="0"/>
          </reference>
          <reference field="6" count="1" selected="0">
            <x v="1"/>
          </reference>
          <reference field="7" count="2">
            <x v="23"/>
            <x v="26"/>
          </reference>
        </references>
      </pivotArea>
    </format>
    <format dxfId="3521">
      <pivotArea dataOnly="0" labelOnly="1" fieldPosition="0">
        <references count="3">
          <reference field="4" count="1" selected="0">
            <x v="1"/>
          </reference>
          <reference field="6" count="1" selected="0">
            <x v="0"/>
          </reference>
          <reference field="7" count="1">
            <x v="19"/>
          </reference>
        </references>
      </pivotArea>
    </format>
    <format dxfId="3520">
      <pivotArea dataOnly="0" labelOnly="1" fieldPosition="0">
        <references count="3">
          <reference field="4" count="1" selected="0">
            <x v="1"/>
          </reference>
          <reference field="6" count="1" selected="0">
            <x v="3"/>
          </reference>
          <reference field="7" count="3">
            <x v="2"/>
            <x v="3"/>
            <x v="4"/>
          </reference>
        </references>
      </pivotArea>
    </format>
    <format dxfId="3519">
      <pivotArea dataOnly="0" labelOnly="1" fieldPosition="0">
        <references count="3">
          <reference field="4" count="1" selected="0">
            <x v="1"/>
          </reference>
          <reference field="6" count="1" selected="0">
            <x v="4"/>
          </reference>
          <reference field="7" count="1">
            <x v="8"/>
          </reference>
        </references>
      </pivotArea>
    </format>
    <format dxfId="3518">
      <pivotArea dataOnly="0" labelOnly="1" fieldPosition="0">
        <references count="3">
          <reference field="4" count="1" selected="0">
            <x v="2"/>
          </reference>
          <reference field="6" count="1" selected="0">
            <x v="2"/>
          </reference>
          <reference field="7" count="2">
            <x v="29"/>
            <x v="30"/>
          </reference>
        </references>
      </pivotArea>
    </format>
    <format dxfId="3517">
      <pivotArea dataOnly="0" labelOnly="1" fieldPosition="0">
        <references count="3">
          <reference field="4" count="1" selected="0">
            <x v="2"/>
          </reference>
          <reference field="6" count="1" selected="0">
            <x v="3"/>
          </reference>
          <reference field="7" count="2">
            <x v="5"/>
            <x v="7"/>
          </reference>
        </references>
      </pivotArea>
    </format>
    <format dxfId="3516">
      <pivotArea dataOnly="0" labelOnly="1" fieldPosition="0">
        <references count="3">
          <reference field="4" count="1" selected="0">
            <x v="2"/>
          </reference>
          <reference field="6" count="1" selected="0">
            <x v="4"/>
          </reference>
          <reference field="7" count="1">
            <x v="8"/>
          </reference>
        </references>
      </pivotArea>
    </format>
    <format dxfId="3515">
      <pivotArea dataOnly="0" labelOnly="1" fieldPosition="0">
        <references count="3">
          <reference field="4" count="1" selected="0">
            <x v="3"/>
          </reference>
          <reference field="6" count="1" selected="0">
            <x v="3"/>
          </reference>
          <reference field="7" count="1">
            <x v="6"/>
          </reference>
        </references>
      </pivotArea>
    </format>
    <format dxfId="3514">
      <pivotArea dataOnly="0" labelOnly="1" fieldPosition="0">
        <references count="3">
          <reference field="4" count="1" selected="0">
            <x v="4"/>
          </reference>
          <reference field="6" count="1" selected="0">
            <x v="0"/>
          </reference>
          <reference field="7" count="1">
            <x v="21"/>
          </reference>
        </references>
      </pivotArea>
    </format>
    <format dxfId="3513">
      <pivotArea dataOnly="0" labelOnly="1" fieldPosition="0">
        <references count="3">
          <reference field="4" count="1" selected="0">
            <x v="4"/>
          </reference>
          <reference field="6" count="1" selected="0">
            <x v="1"/>
          </reference>
          <reference field="7" count="1">
            <x v="24"/>
          </reference>
        </references>
      </pivotArea>
    </format>
    <format dxfId="3512">
      <pivotArea dataOnly="0" labelOnly="1" fieldPosition="0">
        <references count="3">
          <reference field="4" count="1" selected="0">
            <x v="4"/>
          </reference>
          <reference field="6" count="1" selected="0">
            <x v="2"/>
          </reference>
          <reference field="7" count="2">
            <x v="29"/>
            <x v="31"/>
          </reference>
        </references>
      </pivotArea>
    </format>
    <format dxfId="3511">
      <pivotArea dataOnly="0" labelOnly="1" fieldPosition="0">
        <references count="3">
          <reference field="4" count="1" selected="0">
            <x v="4"/>
          </reference>
          <reference field="6" count="1" selected="0">
            <x v="3"/>
          </reference>
          <reference field="7" count="2">
            <x v="0"/>
            <x v="1"/>
          </reference>
        </references>
      </pivotArea>
    </format>
    <format dxfId="3510">
      <pivotArea dataOnly="0" labelOnly="1" fieldPosition="0">
        <references count="3">
          <reference field="4" count="1" selected="0">
            <x v="5"/>
          </reference>
          <reference field="6" count="1" selected="0">
            <x v="0"/>
          </reference>
          <reference field="7" count="2">
            <x v="18"/>
            <x v="22"/>
          </reference>
        </references>
      </pivotArea>
    </format>
    <format dxfId="3509">
      <pivotArea dataOnly="0" labelOnly="1" fieldPosition="0">
        <references count="3">
          <reference field="4" count="1" selected="0">
            <x v="5"/>
          </reference>
          <reference field="6" count="1" selected="0">
            <x v="4"/>
          </reference>
          <reference field="7" count="1">
            <x v="8"/>
          </reference>
        </references>
      </pivotArea>
    </format>
    <format dxfId="3508">
      <pivotArea dataOnly="0" labelOnly="1" fieldPosition="0">
        <references count="3">
          <reference field="4" count="1" selected="0">
            <x v="6"/>
          </reference>
          <reference field="6" count="1" selected="0">
            <x v="1"/>
          </reference>
          <reference field="7" count="1">
            <x v="24"/>
          </reference>
        </references>
      </pivotArea>
    </format>
    <format dxfId="3507">
      <pivotArea dataOnly="0" labelOnly="1" fieldPosition="0">
        <references count="3">
          <reference field="4" count="1" selected="0">
            <x v="7"/>
          </reference>
          <reference field="6" count="1" selected="0">
            <x v="0"/>
          </reference>
          <reference field="7" count="1">
            <x v="16"/>
          </reference>
        </references>
      </pivotArea>
    </format>
    <format dxfId="3506">
      <pivotArea dataOnly="0" labelOnly="1" fieldPosition="0">
        <references count="3">
          <reference field="4" count="1" selected="0">
            <x v="7"/>
          </reference>
          <reference field="6" count="1" selected="0">
            <x v="2"/>
          </reference>
          <reference field="7" count="2">
            <x v="29"/>
            <x v="30"/>
          </reference>
        </references>
      </pivotArea>
    </format>
    <format dxfId="3505">
      <pivotArea dataOnly="0" labelOnly="1" fieldPosition="0">
        <references count="3">
          <reference field="4" count="1" selected="0">
            <x v="7"/>
          </reference>
          <reference field="6" count="1" selected="0">
            <x v="3"/>
          </reference>
          <reference field="7" count="1">
            <x v="6"/>
          </reference>
        </references>
      </pivotArea>
    </format>
    <format dxfId="3504">
      <pivotArea dataOnly="0" labelOnly="1" fieldPosition="0">
        <references count="3">
          <reference field="4" count="1" selected="0">
            <x v="7"/>
          </reference>
          <reference field="6" count="1" selected="0">
            <x v="4"/>
          </reference>
          <reference field="7" count="8">
            <x v="8"/>
            <x v="9"/>
            <x v="10"/>
            <x v="11"/>
            <x v="12"/>
            <x v="13"/>
            <x v="14"/>
            <x v="15"/>
          </reference>
        </references>
      </pivotArea>
    </format>
    <format dxfId="3503">
      <pivotArea dataOnly="0" labelOnly="1" fieldPosition="0">
        <references count="3">
          <reference field="4" count="1" selected="0">
            <x v="8"/>
          </reference>
          <reference field="6" count="1" selected="0">
            <x v="0"/>
          </reference>
          <reference field="7" count="2">
            <x v="18"/>
            <x v="22"/>
          </reference>
        </references>
      </pivotArea>
    </format>
    <format dxfId="3502">
      <pivotArea dataOnly="0" labelOnly="1" fieldPosition="0">
        <references count="3">
          <reference field="4" count="1" selected="0">
            <x v="8"/>
          </reference>
          <reference field="6" count="1" selected="0">
            <x v="1"/>
          </reference>
          <reference field="7" count="1">
            <x v="28"/>
          </reference>
        </references>
      </pivotArea>
    </format>
    <format dxfId="3501">
      <pivotArea dataOnly="0" labelOnly="1" fieldPosition="0">
        <references count="3">
          <reference field="4" count="1" selected="0">
            <x v="8"/>
          </reference>
          <reference field="6" count="1" selected="0">
            <x v="2"/>
          </reference>
          <reference field="7" count="1">
            <x v="32"/>
          </reference>
        </references>
      </pivotArea>
    </format>
    <format dxfId="3500">
      <pivotArea dataOnly="0" labelOnly="1" fieldPosition="0">
        <references count="3">
          <reference field="4" count="1" selected="0">
            <x v="8"/>
          </reference>
          <reference field="6" count="1" selected="0">
            <x v="3"/>
          </reference>
          <reference field="7" count="1">
            <x v="6"/>
          </reference>
        </references>
      </pivotArea>
    </format>
    <format dxfId="3499">
      <pivotArea dataOnly="0" labelOnly="1" fieldPosition="0">
        <references count="3">
          <reference field="4" count="1" selected="0">
            <x v="9"/>
          </reference>
          <reference field="6" count="1" selected="0">
            <x v="1"/>
          </reference>
          <reference field="7" count="1">
            <x v="25"/>
          </reference>
        </references>
      </pivotArea>
    </format>
    <format dxfId="3498">
      <pivotArea dataOnly="0" labelOnly="1" fieldPosition="0">
        <references count="3">
          <reference field="4" count="1" selected="0">
            <x v="10"/>
          </reference>
          <reference field="6" count="1" selected="0">
            <x v="3"/>
          </reference>
          <reference field="7" count="1">
            <x v="6"/>
          </reference>
        </references>
      </pivotArea>
    </format>
    <format dxfId="3497">
      <pivotArea dataOnly="0" labelOnly="1" fieldPosition="0">
        <references count="3">
          <reference field="4" count="1" selected="0">
            <x v="11"/>
          </reference>
          <reference field="6" count="1" selected="0">
            <x v="0"/>
          </reference>
          <reference field="7" count="1">
            <x v="17"/>
          </reference>
        </references>
      </pivotArea>
    </format>
    <format dxfId="3496">
      <pivotArea dataOnly="0" labelOnly="1" fieldPosition="0">
        <references count="3">
          <reference field="4" count="1" selected="0">
            <x v="12"/>
          </reference>
          <reference field="6" count="1" selected="0">
            <x v="0"/>
          </reference>
          <reference field="7" count="1">
            <x v="18"/>
          </reference>
        </references>
      </pivotArea>
    </format>
    <format dxfId="3495">
      <pivotArea dataOnly="0" labelOnly="1" fieldPosition="0">
        <references count="3">
          <reference field="4" count="1" selected="0">
            <x v="13"/>
          </reference>
          <reference field="6" count="1" selected="0">
            <x v="3"/>
          </reference>
          <reference field="7" count="2">
            <x v="1"/>
            <x v="5"/>
          </reference>
        </references>
      </pivotArea>
    </format>
    <format dxfId="3494">
      <pivotArea dataOnly="0" labelOnly="1" fieldPosition="0">
        <references count="3">
          <reference field="4" count="1" selected="0">
            <x v="14"/>
          </reference>
          <reference field="6" count="1" selected="0">
            <x v="1"/>
          </reference>
          <reference field="7" count="1">
            <x v="26"/>
          </reference>
        </references>
      </pivotArea>
    </format>
    <format dxfId="3493">
      <pivotArea dataOnly="0" labelOnly="1" fieldPosition="0">
        <references count="3">
          <reference field="4" count="1" selected="0">
            <x v="15"/>
          </reference>
          <reference field="6" count="1" selected="0">
            <x v="0"/>
          </reference>
          <reference field="7" count="1">
            <x v="20"/>
          </reference>
        </references>
      </pivotArea>
    </format>
    <format dxfId="3492">
      <pivotArea dataOnly="0" labelOnly="1" fieldPosition="0">
        <references count="3">
          <reference field="4" count="1" selected="0">
            <x v="16"/>
          </reference>
          <reference field="6" count="1" selected="0">
            <x v="1"/>
          </reference>
          <reference field="7" count="1">
            <x v="27"/>
          </reference>
        </references>
      </pivotArea>
    </format>
    <format dxfId="3491">
      <pivotArea dataOnly="0" labelOnly="1" fieldPosition="0">
        <references count="3">
          <reference field="4" count="1" selected="0">
            <x v="16"/>
          </reference>
          <reference field="6" count="1" selected="0">
            <x v="3"/>
          </reference>
          <reference field="7" count="1">
            <x v="1"/>
          </reference>
        </references>
      </pivotArea>
    </format>
    <format dxfId="3490">
      <pivotArea dataOnly="0" labelOnly="1" fieldPosition="0">
        <references count="3">
          <reference field="4" count="1" selected="0">
            <x v="16"/>
          </reference>
          <reference field="6" count="1" selected="0">
            <x v="4"/>
          </reference>
          <reference field="7" count="2">
            <x v="8"/>
            <x v="11"/>
          </reference>
        </references>
      </pivotArea>
    </format>
    <format dxfId="3489">
      <pivotArea dataOnly="0" labelOnly="1" fieldPosition="0">
        <references count="3">
          <reference field="4" count="1" selected="0">
            <x v="17"/>
          </reference>
          <reference field="6" count="1" selected="0">
            <x v="0"/>
          </reference>
          <reference field="7" count="2">
            <x v="16"/>
            <x v="22"/>
          </reference>
        </references>
      </pivotArea>
    </format>
    <format dxfId="3488">
      <pivotArea dataOnly="0" labelOnly="1" fieldPosition="0">
        <references count="3">
          <reference field="4" count="1" selected="0">
            <x v="18"/>
          </reference>
          <reference field="6" count="1" selected="0">
            <x v="3"/>
          </reference>
          <reference field="7" count="1">
            <x v="2"/>
          </reference>
        </references>
      </pivotArea>
    </format>
    <format dxfId="3487">
      <pivotArea dataOnly="0" labelOnly="1" fieldPosition="0">
        <references count="3">
          <reference field="4" count="1" selected="0">
            <x v="19"/>
          </reference>
          <reference field="6" count="1" selected="0">
            <x v="3"/>
          </reference>
          <reference field="7" count="1">
            <x v="6"/>
          </reference>
        </references>
      </pivotArea>
    </format>
    <format dxfId="3486">
      <pivotArea dataOnly="0" labelOnly="1" fieldPosition="0">
        <references count="3">
          <reference field="4" count="1" selected="0">
            <x v="20"/>
          </reference>
          <reference field="6" count="1" selected="0">
            <x v="1"/>
          </reference>
          <reference field="7" count="1">
            <x v="24"/>
          </reference>
        </references>
      </pivotArea>
    </format>
    <format dxfId="3485">
      <pivotArea dataOnly="0" labelOnly="1" fieldPosition="0">
        <references count="4">
          <reference field="4" count="1" selected="0">
            <x v="0"/>
          </reference>
          <reference field="6" count="1" selected="0">
            <x v="0"/>
          </reference>
          <reference field="7" count="1" selected="0">
            <x v="17"/>
          </reference>
          <reference field="8" count="5">
            <x v="65"/>
            <x v="66"/>
            <x v="67"/>
            <x v="68"/>
            <x v="69"/>
          </reference>
        </references>
      </pivotArea>
    </format>
    <format dxfId="3484">
      <pivotArea dataOnly="0" labelOnly="1" fieldPosition="0">
        <references count="4">
          <reference field="4" count="1" selected="0">
            <x v="0"/>
          </reference>
          <reference field="6" count="1" selected="0">
            <x v="0"/>
          </reference>
          <reference field="7" count="1" selected="0">
            <x v="19"/>
          </reference>
          <reference field="8" count="3">
            <x v="78"/>
            <x v="79"/>
            <x v="80"/>
          </reference>
        </references>
      </pivotArea>
    </format>
    <format dxfId="3483">
      <pivotArea dataOnly="0" labelOnly="1" fieldPosition="0">
        <references count="4">
          <reference field="4" count="1" selected="0">
            <x v="0"/>
          </reference>
          <reference field="6" count="1" selected="0">
            <x v="1"/>
          </reference>
          <reference field="7" count="1" selected="0">
            <x v="23"/>
          </reference>
          <reference field="8" count="10">
            <x v="95"/>
            <x v="96"/>
            <x v="97"/>
            <x v="98"/>
            <x v="99"/>
            <x v="100"/>
            <x v="101"/>
            <x v="102"/>
            <x v="103"/>
            <x v="104"/>
          </reference>
        </references>
      </pivotArea>
    </format>
    <format dxfId="3482">
      <pivotArea dataOnly="0" labelOnly="1" fieldPosition="0">
        <references count="4">
          <reference field="4" count="1" selected="0">
            <x v="0"/>
          </reference>
          <reference field="6" count="1" selected="0">
            <x v="1"/>
          </reference>
          <reference field="7" count="1" selected="0">
            <x v="26"/>
          </reference>
          <reference field="8" count="1">
            <x v="131"/>
          </reference>
        </references>
      </pivotArea>
    </format>
    <format dxfId="3481">
      <pivotArea dataOnly="0" labelOnly="1" fieldPosition="0">
        <references count="4">
          <reference field="4" count="1" selected="0">
            <x v="1"/>
          </reference>
          <reference field="6" count="1" selected="0">
            <x v="0"/>
          </reference>
          <reference field="7" count="1" selected="0">
            <x v="19"/>
          </reference>
          <reference field="8" count="1">
            <x v="81"/>
          </reference>
        </references>
      </pivotArea>
    </format>
    <format dxfId="3480">
      <pivotArea dataOnly="0" labelOnly="1" fieldPosition="0">
        <references count="4">
          <reference field="4" count="1" selected="0">
            <x v="1"/>
          </reference>
          <reference field="6" count="1" selected="0">
            <x v="3"/>
          </reference>
          <reference field="7" count="1" selected="0">
            <x v="2"/>
          </reference>
          <reference field="8" count="7">
            <x v="7"/>
            <x v="10"/>
            <x v="11"/>
            <x v="12"/>
            <x v="13"/>
            <x v="14"/>
            <x v="15"/>
          </reference>
        </references>
      </pivotArea>
    </format>
    <format dxfId="3479">
      <pivotArea dataOnly="0" labelOnly="1" fieldPosition="0">
        <references count="4">
          <reference field="4" count="1" selected="0">
            <x v="1"/>
          </reference>
          <reference field="6" count="1" selected="0">
            <x v="3"/>
          </reference>
          <reference field="7" count="1" selected="0">
            <x v="3"/>
          </reference>
          <reference field="8" count="2">
            <x v="18"/>
            <x v="19"/>
          </reference>
        </references>
      </pivotArea>
    </format>
    <format dxfId="3478">
      <pivotArea dataOnly="0" labelOnly="1" fieldPosition="0">
        <references count="4">
          <reference field="4" count="1" selected="0">
            <x v="1"/>
          </reference>
          <reference field="6" count="1" selected="0">
            <x v="3"/>
          </reference>
          <reference field="7" count="1" selected="0">
            <x v="4"/>
          </reference>
          <reference field="8" count="2">
            <x v="20"/>
            <x v="21"/>
          </reference>
        </references>
      </pivotArea>
    </format>
    <format dxfId="3477">
      <pivotArea dataOnly="0" labelOnly="1" fieldPosition="0">
        <references count="4">
          <reference field="4" count="1" selected="0">
            <x v="1"/>
          </reference>
          <reference field="6" count="1" selected="0">
            <x v="4"/>
          </reference>
          <reference field="7" count="1" selected="0">
            <x v="8"/>
          </reference>
          <reference field="8" count="3">
            <x v="33"/>
            <x v="34"/>
            <x v="39"/>
          </reference>
        </references>
      </pivotArea>
    </format>
    <format dxfId="3476">
      <pivotArea dataOnly="0" labelOnly="1" fieldPosition="0">
        <references count="4">
          <reference field="4" count="1" selected="0">
            <x v="2"/>
          </reference>
          <reference field="6" count="1" selected="0">
            <x v="2"/>
          </reference>
          <reference field="7" count="1" selected="0">
            <x v="29"/>
          </reference>
          <reference field="8" count="6">
            <x v="145"/>
            <x v="146"/>
            <x v="147"/>
            <x v="148"/>
            <x v="149"/>
            <x v="150"/>
          </reference>
        </references>
      </pivotArea>
    </format>
    <format dxfId="3475">
      <pivotArea dataOnly="0" labelOnly="1" fieldPosition="0">
        <references count="4">
          <reference field="4" count="1" selected="0">
            <x v="2"/>
          </reference>
          <reference field="6" count="1" selected="0">
            <x v="2"/>
          </reference>
          <reference field="7" count="1" selected="0">
            <x v="30"/>
          </reference>
          <reference field="8" count="2">
            <x v="152"/>
            <x v="153"/>
          </reference>
        </references>
      </pivotArea>
    </format>
    <format dxfId="3474">
      <pivotArea dataOnly="0" labelOnly="1" fieldPosition="0">
        <references count="4">
          <reference field="4" count="1" selected="0">
            <x v="2"/>
          </reference>
          <reference field="6" count="1" selected="0">
            <x v="3"/>
          </reference>
          <reference field="7" count="1" selected="0">
            <x v="5"/>
          </reference>
          <reference field="8" count="1">
            <x v="24"/>
          </reference>
        </references>
      </pivotArea>
    </format>
    <format dxfId="3473">
      <pivotArea dataOnly="0" labelOnly="1" fieldPosition="0">
        <references count="4">
          <reference field="4" count="1" selected="0">
            <x v="2"/>
          </reference>
          <reference field="6" count="1" selected="0">
            <x v="3"/>
          </reference>
          <reference field="7" count="1" selected="0">
            <x v="7"/>
          </reference>
          <reference field="8" count="2">
            <x v="31"/>
            <x v="32"/>
          </reference>
        </references>
      </pivotArea>
    </format>
    <format dxfId="3472">
      <pivotArea dataOnly="0" labelOnly="1" fieldPosition="0">
        <references count="4">
          <reference field="4" count="1" selected="0">
            <x v="2"/>
          </reference>
          <reference field="6" count="1" selected="0">
            <x v="4"/>
          </reference>
          <reference field="7" count="1" selected="0">
            <x v="8"/>
          </reference>
          <reference field="8" count="2">
            <x v="36"/>
            <x v="39"/>
          </reference>
        </references>
      </pivotArea>
    </format>
    <format dxfId="3471">
      <pivotArea dataOnly="0" labelOnly="1" fieldPosition="0">
        <references count="4">
          <reference field="4" count="1" selected="0">
            <x v="3"/>
          </reference>
          <reference field="6" count="1" selected="0">
            <x v="3"/>
          </reference>
          <reference field="7" count="1" selected="0">
            <x v="6"/>
          </reference>
          <reference field="8" count="1">
            <x v="29"/>
          </reference>
        </references>
      </pivotArea>
    </format>
    <format dxfId="3470">
      <pivotArea dataOnly="0" labelOnly="1" fieldPosition="0">
        <references count="4">
          <reference field="4" count="1" selected="0">
            <x v="4"/>
          </reference>
          <reference field="6" count="1" selected="0">
            <x v="0"/>
          </reference>
          <reference field="7" count="1" selected="0">
            <x v="21"/>
          </reference>
          <reference field="8" count="5">
            <x v="87"/>
            <x v="88"/>
            <x v="89"/>
            <x v="90"/>
            <x v="91"/>
          </reference>
        </references>
      </pivotArea>
    </format>
    <format dxfId="3469">
      <pivotArea dataOnly="0" labelOnly="1" fieldPosition="0">
        <references count="4">
          <reference field="4" count="1" selected="0">
            <x v="4"/>
          </reference>
          <reference field="6" count="1" selected="0">
            <x v="1"/>
          </reference>
          <reference field="7" count="1" selected="0">
            <x v="24"/>
          </reference>
          <reference field="8" count="1">
            <x v="114"/>
          </reference>
        </references>
      </pivotArea>
    </format>
    <format dxfId="3468">
      <pivotArea dataOnly="0" labelOnly="1" fieldPosition="0">
        <references count="4">
          <reference field="4" count="1" selected="0">
            <x v="4"/>
          </reference>
          <reference field="6" count="1" selected="0">
            <x v="2"/>
          </reference>
          <reference field="7" count="1" selected="0">
            <x v="29"/>
          </reference>
          <reference field="8" count="3">
            <x v="142"/>
            <x v="143"/>
            <x v="151"/>
          </reference>
        </references>
      </pivotArea>
    </format>
    <format dxfId="3467">
      <pivotArea dataOnly="0" labelOnly="1" fieldPosition="0">
        <references count="4">
          <reference field="4" count="1" selected="0">
            <x v="4"/>
          </reference>
          <reference field="6" count="1" selected="0">
            <x v="2"/>
          </reference>
          <reference field="7" count="1" selected="0">
            <x v="31"/>
          </reference>
          <reference field="8" count="3">
            <x v="155"/>
            <x v="156"/>
            <x v="157"/>
          </reference>
        </references>
      </pivotArea>
    </format>
    <format dxfId="3466">
      <pivotArea dataOnly="0" labelOnly="1" fieldPosition="0">
        <references count="4">
          <reference field="4" count="1" selected="0">
            <x v="4"/>
          </reference>
          <reference field="6" count="1" selected="0">
            <x v="3"/>
          </reference>
          <reference field="7" count="1" selected="0">
            <x v="0"/>
          </reference>
          <reference field="8" count="2">
            <x v="0"/>
            <x v="1"/>
          </reference>
        </references>
      </pivotArea>
    </format>
    <format dxfId="3465">
      <pivotArea dataOnly="0" labelOnly="1" fieldPosition="0">
        <references count="4">
          <reference field="4" count="1" selected="0">
            <x v="4"/>
          </reference>
          <reference field="6" count="1" selected="0">
            <x v="3"/>
          </reference>
          <reference field="7" count="1" selected="0">
            <x v="1"/>
          </reference>
          <reference field="8" count="4">
            <x v="2"/>
            <x v="3"/>
            <x v="4"/>
            <x v="5"/>
          </reference>
        </references>
      </pivotArea>
    </format>
    <format dxfId="3464">
      <pivotArea dataOnly="0" labelOnly="1" fieldPosition="0">
        <references count="4">
          <reference field="4" count="1" selected="0">
            <x v="5"/>
          </reference>
          <reference field="6" count="1" selected="0">
            <x v="0"/>
          </reference>
          <reference field="7" count="1" selected="0">
            <x v="18"/>
          </reference>
          <reference field="8" count="3">
            <x v="73"/>
            <x v="74"/>
            <x v="77"/>
          </reference>
        </references>
      </pivotArea>
    </format>
    <format dxfId="3463">
      <pivotArea dataOnly="0" labelOnly="1" fieldPosition="0">
        <references count="4">
          <reference field="4" count="1" selected="0">
            <x v="5"/>
          </reference>
          <reference field="6" count="1" selected="0">
            <x v="0"/>
          </reference>
          <reference field="7" count="1" selected="0">
            <x v="22"/>
          </reference>
          <reference field="8" count="1">
            <x v="94"/>
          </reference>
        </references>
      </pivotArea>
    </format>
    <format dxfId="3462">
      <pivotArea dataOnly="0" labelOnly="1" fieldPosition="0">
        <references count="4">
          <reference field="4" count="1" selected="0">
            <x v="5"/>
          </reference>
          <reference field="6" count="1" selected="0">
            <x v="4"/>
          </reference>
          <reference field="7" count="1" selected="0">
            <x v="8"/>
          </reference>
          <reference field="8" count="1">
            <x v="37"/>
          </reference>
        </references>
      </pivotArea>
    </format>
    <format dxfId="3461">
      <pivotArea dataOnly="0" labelOnly="1" fieldPosition="0">
        <references count="4">
          <reference field="4" count="1" selected="0">
            <x v="6"/>
          </reference>
          <reference field="6" count="1" selected="0">
            <x v="1"/>
          </reference>
          <reference field="7" count="1" selected="0">
            <x v="24"/>
          </reference>
          <reference field="8" count="8">
            <x v="105"/>
            <x v="107"/>
            <x v="108"/>
            <x v="109"/>
            <x v="110"/>
            <x v="111"/>
            <x v="112"/>
            <x v="113"/>
          </reference>
        </references>
      </pivotArea>
    </format>
    <format dxfId="3460">
      <pivotArea dataOnly="0" labelOnly="1" fieldPosition="0">
        <references count="4">
          <reference field="4" count="1" selected="0">
            <x v="7"/>
          </reference>
          <reference field="6" count="1" selected="0">
            <x v="0"/>
          </reference>
          <reference field="7" count="1" selected="0">
            <x v="16"/>
          </reference>
          <reference field="8" count="1">
            <x v="64"/>
          </reference>
        </references>
      </pivotArea>
    </format>
    <format dxfId="3459">
      <pivotArea dataOnly="0" labelOnly="1" fieldPosition="0">
        <references count="4">
          <reference field="4" count="1" selected="0">
            <x v="7"/>
          </reference>
          <reference field="6" count="1" selected="0">
            <x v="2"/>
          </reference>
          <reference field="7" count="1" selected="0">
            <x v="29"/>
          </reference>
          <reference field="8" count="4">
            <x v="140"/>
            <x v="141"/>
            <x v="144"/>
            <x v="145"/>
          </reference>
        </references>
      </pivotArea>
    </format>
    <format dxfId="3458">
      <pivotArea dataOnly="0" labelOnly="1" fieldPosition="0">
        <references count="4">
          <reference field="4" count="1" selected="0">
            <x v="7"/>
          </reference>
          <reference field="6" count="1" selected="0">
            <x v="2"/>
          </reference>
          <reference field="7" count="1" selected="0">
            <x v="30"/>
          </reference>
          <reference field="8" count="1">
            <x v="154"/>
          </reference>
        </references>
      </pivotArea>
    </format>
    <format dxfId="3457">
      <pivotArea dataOnly="0" labelOnly="1" fieldPosition="0">
        <references count="4">
          <reference field="4" count="1" selected="0">
            <x v="7"/>
          </reference>
          <reference field="6" count="1" selected="0">
            <x v="3"/>
          </reference>
          <reference field="7" count="1" selected="0">
            <x v="6"/>
          </reference>
          <reference field="8" count="1">
            <x v="28"/>
          </reference>
        </references>
      </pivotArea>
    </format>
    <format dxfId="3456">
      <pivotArea dataOnly="0" labelOnly="1" fieldPosition="0">
        <references count="4">
          <reference field="4" count="1" selected="0">
            <x v="7"/>
          </reference>
          <reference field="6" count="1" selected="0">
            <x v="4"/>
          </reference>
          <reference field="7" count="1" selected="0">
            <x v="8"/>
          </reference>
          <reference field="8" count="2">
            <x v="35"/>
            <x v="36"/>
          </reference>
        </references>
      </pivotArea>
    </format>
    <format dxfId="3455">
      <pivotArea dataOnly="0" labelOnly="1" fieldPosition="0">
        <references count="4">
          <reference field="4" count="1" selected="0">
            <x v="7"/>
          </reference>
          <reference field="6" count="1" selected="0">
            <x v="4"/>
          </reference>
          <reference field="7" count="1" selected="0">
            <x v="9"/>
          </reference>
          <reference field="8" count="4">
            <x v="40"/>
            <x v="41"/>
            <x v="42"/>
            <x v="43"/>
          </reference>
        </references>
      </pivotArea>
    </format>
    <format dxfId="3454">
      <pivotArea dataOnly="0" labelOnly="1" fieldPosition="0">
        <references count="4">
          <reference field="4" count="1" selected="0">
            <x v="7"/>
          </reference>
          <reference field="6" count="1" selected="0">
            <x v="4"/>
          </reference>
          <reference field="7" count="1" selected="0">
            <x v="10"/>
          </reference>
          <reference field="8" count="4">
            <x v="44"/>
            <x v="45"/>
            <x v="46"/>
            <x v="47"/>
          </reference>
        </references>
      </pivotArea>
    </format>
    <format dxfId="3453">
      <pivotArea dataOnly="0" labelOnly="1" fieldPosition="0">
        <references count="4">
          <reference field="4" count="1" selected="0">
            <x v="7"/>
          </reference>
          <reference field="6" count="1" selected="0">
            <x v="4"/>
          </reference>
          <reference field="7" count="1" selected="0">
            <x v="11"/>
          </reference>
          <reference field="8" count="2">
            <x v="48"/>
            <x v="49"/>
          </reference>
        </references>
      </pivotArea>
    </format>
    <format dxfId="3452">
      <pivotArea dataOnly="0" labelOnly="1" fieldPosition="0">
        <references count="4">
          <reference field="4" count="1" selected="0">
            <x v="7"/>
          </reference>
          <reference field="6" count="1" selected="0">
            <x v="4"/>
          </reference>
          <reference field="7" count="1" selected="0">
            <x v="12"/>
          </reference>
          <reference field="8" count="1">
            <x v="50"/>
          </reference>
        </references>
      </pivotArea>
    </format>
    <format dxfId="3451">
      <pivotArea dataOnly="0" labelOnly="1" fieldPosition="0">
        <references count="4">
          <reference field="4" count="1" selected="0">
            <x v="7"/>
          </reference>
          <reference field="6" count="1" selected="0">
            <x v="4"/>
          </reference>
          <reference field="7" count="1" selected="0">
            <x v="13"/>
          </reference>
          <reference field="8" count="3">
            <x v="51"/>
            <x v="52"/>
            <x v="53"/>
          </reference>
        </references>
      </pivotArea>
    </format>
    <format dxfId="3450">
      <pivotArea dataOnly="0" labelOnly="1" fieldPosition="0">
        <references count="4">
          <reference field="4" count="1" selected="0">
            <x v="7"/>
          </reference>
          <reference field="6" count="1" selected="0">
            <x v="4"/>
          </reference>
          <reference field="7" count="1" selected="0">
            <x v="14"/>
          </reference>
          <reference field="8" count="2">
            <x v="54"/>
            <x v="55"/>
          </reference>
        </references>
      </pivotArea>
    </format>
    <format dxfId="3449">
      <pivotArea dataOnly="0" labelOnly="1" fieldPosition="0">
        <references count="4">
          <reference field="4" count="1" selected="0">
            <x v="7"/>
          </reference>
          <reference field="6" count="1" selected="0">
            <x v="4"/>
          </reference>
          <reference field="7" count="1" selected="0">
            <x v="15"/>
          </reference>
          <reference field="8" count="1">
            <x v="56"/>
          </reference>
        </references>
      </pivotArea>
    </format>
    <format dxfId="3448">
      <pivotArea dataOnly="0" labelOnly="1" fieldPosition="0">
        <references count="4">
          <reference field="4" count="1" selected="0">
            <x v="8"/>
          </reference>
          <reference field="6" count="1" selected="0">
            <x v="0"/>
          </reference>
          <reference field="7" count="1" selected="0">
            <x v="18"/>
          </reference>
          <reference field="8" count="1">
            <x v="77"/>
          </reference>
        </references>
      </pivotArea>
    </format>
    <format dxfId="3447">
      <pivotArea dataOnly="0" labelOnly="1" fieldPosition="0">
        <references count="4">
          <reference field="4" count="1" selected="0">
            <x v="8"/>
          </reference>
          <reference field="6" count="1" selected="0">
            <x v="0"/>
          </reference>
          <reference field="7" count="1" selected="0">
            <x v="22"/>
          </reference>
          <reference field="8" count="3">
            <x v="92"/>
            <x v="93"/>
            <x v="94"/>
          </reference>
        </references>
      </pivotArea>
    </format>
    <format dxfId="3446">
      <pivotArea dataOnly="0" labelOnly="1" fieldPosition="0">
        <references count="4">
          <reference field="4" count="1" selected="0">
            <x v="8"/>
          </reference>
          <reference field="6" count="1" selected="0">
            <x v="1"/>
          </reference>
          <reference field="7" count="1" selected="0">
            <x v="28"/>
          </reference>
          <reference field="8" count="2">
            <x v="138"/>
            <x v="139"/>
          </reference>
        </references>
      </pivotArea>
    </format>
    <format dxfId="3445">
      <pivotArea dataOnly="0" labelOnly="1" fieldPosition="0">
        <references count="4">
          <reference field="4" count="1" selected="0">
            <x v="8"/>
          </reference>
          <reference field="6" count="1" selected="0">
            <x v="2"/>
          </reference>
          <reference field="7" count="1" selected="0">
            <x v="32"/>
          </reference>
          <reference field="8" count="2">
            <x v="158"/>
            <x v="159"/>
          </reference>
        </references>
      </pivotArea>
    </format>
    <format dxfId="3444">
      <pivotArea dataOnly="0" labelOnly="1" fieldPosition="0">
        <references count="4">
          <reference field="4" count="1" selected="0">
            <x v="8"/>
          </reference>
          <reference field="6" count="1" selected="0">
            <x v="3"/>
          </reference>
          <reference field="7" count="1" selected="0">
            <x v="6"/>
          </reference>
          <reference field="8" count="2">
            <x v="29"/>
            <x v="30"/>
          </reference>
        </references>
      </pivotArea>
    </format>
    <format dxfId="3443">
      <pivotArea dataOnly="0" labelOnly="1" fieldPosition="0">
        <references count="4">
          <reference field="4" count="1" selected="0">
            <x v="9"/>
          </reference>
          <reference field="6" count="1" selected="0">
            <x v="1"/>
          </reference>
          <reference field="7" count="1" selected="0">
            <x v="25"/>
          </reference>
          <reference field="8" count="10">
            <x v="115"/>
            <x v="116"/>
            <x v="117"/>
            <x v="118"/>
            <x v="119"/>
            <x v="120"/>
            <x v="121"/>
            <x v="122"/>
            <x v="123"/>
            <x v="124"/>
          </reference>
        </references>
      </pivotArea>
    </format>
    <format dxfId="3442">
      <pivotArea dataOnly="0" labelOnly="1" fieldPosition="0">
        <references count="4">
          <reference field="4" count="1" selected="0">
            <x v="10"/>
          </reference>
          <reference field="6" count="1" selected="0">
            <x v="3"/>
          </reference>
          <reference field="7" count="1" selected="0">
            <x v="6"/>
          </reference>
          <reference field="8" count="1">
            <x v="29"/>
          </reference>
        </references>
      </pivotArea>
    </format>
    <format dxfId="3441">
      <pivotArea dataOnly="0" labelOnly="1" fieldPosition="0">
        <references count="4">
          <reference field="4" count="1" selected="0">
            <x v="11"/>
          </reference>
          <reference field="6" count="1" selected="0">
            <x v="0"/>
          </reference>
          <reference field="7" count="1" selected="0">
            <x v="17"/>
          </reference>
          <reference field="8" count="3">
            <x v="70"/>
            <x v="71"/>
            <x v="72"/>
          </reference>
        </references>
      </pivotArea>
    </format>
    <format dxfId="3440">
      <pivotArea dataOnly="0" labelOnly="1" fieldPosition="0">
        <references count="4">
          <reference field="4" count="1" selected="0">
            <x v="12"/>
          </reference>
          <reference field="6" count="1" selected="0">
            <x v="0"/>
          </reference>
          <reference field="7" count="1" selected="0">
            <x v="18"/>
          </reference>
          <reference field="8" count="3">
            <x v="74"/>
            <x v="75"/>
            <x v="76"/>
          </reference>
        </references>
      </pivotArea>
    </format>
    <format dxfId="3439">
      <pivotArea dataOnly="0" labelOnly="1" fieldPosition="0">
        <references count="4">
          <reference field="4" count="1" selected="0">
            <x v="13"/>
          </reference>
          <reference field="6" count="1" selected="0">
            <x v="3"/>
          </reference>
          <reference field="7" count="1" selected="0">
            <x v="1"/>
          </reference>
          <reference field="8" count="1">
            <x v="6"/>
          </reference>
        </references>
      </pivotArea>
    </format>
    <format dxfId="3438">
      <pivotArea dataOnly="0" labelOnly="1" fieldPosition="0">
        <references count="4">
          <reference field="4" count="1" selected="0">
            <x v="13"/>
          </reference>
          <reference field="6" count="1" selected="0">
            <x v="3"/>
          </reference>
          <reference field="7" count="1" selected="0">
            <x v="5"/>
          </reference>
          <reference field="8" count="6">
            <x v="22"/>
            <x v="23"/>
            <x v="24"/>
            <x v="25"/>
            <x v="26"/>
            <x v="27"/>
          </reference>
        </references>
      </pivotArea>
    </format>
    <format dxfId="3437">
      <pivotArea dataOnly="0" labelOnly="1" fieldPosition="0">
        <references count="4">
          <reference field="4" count="1" selected="0">
            <x v="14"/>
          </reference>
          <reference field="6" count="1" selected="0">
            <x v="1"/>
          </reference>
          <reference field="7" count="1" selected="0">
            <x v="26"/>
          </reference>
          <reference field="8" count="7">
            <x v="125"/>
            <x v="126"/>
            <x v="127"/>
            <x v="128"/>
            <x v="129"/>
            <x v="130"/>
            <x v="131"/>
          </reference>
        </references>
      </pivotArea>
    </format>
    <format dxfId="3436">
      <pivotArea dataOnly="0" labelOnly="1" fieldPosition="0">
        <references count="4">
          <reference field="4" count="1" selected="0">
            <x v="15"/>
          </reference>
          <reference field="6" count="1" selected="0">
            <x v="0"/>
          </reference>
          <reference field="7" count="1" selected="0">
            <x v="20"/>
          </reference>
          <reference field="8" count="5">
            <x v="82"/>
            <x v="83"/>
            <x v="84"/>
            <x v="85"/>
            <x v="86"/>
          </reference>
        </references>
      </pivotArea>
    </format>
    <format dxfId="3435">
      <pivotArea dataOnly="0" labelOnly="1" fieldPosition="0">
        <references count="4">
          <reference field="4" count="1" selected="0">
            <x v="16"/>
          </reference>
          <reference field="6" count="1" selected="0">
            <x v="1"/>
          </reference>
          <reference field="7" count="1" selected="0">
            <x v="27"/>
          </reference>
          <reference field="8" count="6">
            <x v="132"/>
            <x v="133"/>
            <x v="134"/>
            <x v="135"/>
            <x v="136"/>
            <x v="137"/>
          </reference>
        </references>
      </pivotArea>
    </format>
    <format dxfId="3434">
      <pivotArea dataOnly="0" labelOnly="1" fieldPosition="0">
        <references count="4">
          <reference field="4" count="1" selected="0">
            <x v="16"/>
          </reference>
          <reference field="6" count="1" selected="0">
            <x v="3"/>
          </reference>
          <reference field="7" count="1" selected="0">
            <x v="1"/>
          </reference>
          <reference field="8" count="1">
            <x v="6"/>
          </reference>
        </references>
      </pivotArea>
    </format>
    <format dxfId="3433">
      <pivotArea dataOnly="0" labelOnly="1" fieldPosition="0">
        <references count="4">
          <reference field="4" count="1" selected="0">
            <x v="16"/>
          </reference>
          <reference field="6" count="1" selected="0">
            <x v="4"/>
          </reference>
          <reference field="7" count="1" selected="0">
            <x v="8"/>
          </reference>
          <reference field="8" count="1">
            <x v="38"/>
          </reference>
        </references>
      </pivotArea>
    </format>
    <format dxfId="3432">
      <pivotArea dataOnly="0" labelOnly="1" fieldPosition="0">
        <references count="4">
          <reference field="4" count="1" selected="0">
            <x v="16"/>
          </reference>
          <reference field="6" count="1" selected="0">
            <x v="4"/>
          </reference>
          <reference field="7" count="1" selected="0">
            <x v="11"/>
          </reference>
          <reference field="8" count="1">
            <x v="48"/>
          </reference>
        </references>
      </pivotArea>
    </format>
    <format dxfId="3431">
      <pivotArea dataOnly="0" labelOnly="1" fieldPosition="0">
        <references count="4">
          <reference field="4" count="1" selected="0">
            <x v="17"/>
          </reference>
          <reference field="6" count="1" selected="0">
            <x v="0"/>
          </reference>
          <reference field="7" count="1" selected="0">
            <x v="16"/>
          </reference>
          <reference field="8" count="7">
            <x v="57"/>
            <x v="58"/>
            <x v="59"/>
            <x v="60"/>
            <x v="61"/>
            <x v="62"/>
            <x v="63"/>
          </reference>
        </references>
      </pivotArea>
    </format>
    <format dxfId="3430">
      <pivotArea dataOnly="0" labelOnly="1" fieldPosition="0">
        <references count="4">
          <reference field="4" count="1" selected="0">
            <x v="17"/>
          </reference>
          <reference field="6" count="1" selected="0">
            <x v="0"/>
          </reference>
          <reference field="7" count="1" selected="0">
            <x v="22"/>
          </reference>
          <reference field="8" count="1">
            <x v="94"/>
          </reference>
        </references>
      </pivotArea>
    </format>
    <format dxfId="3429">
      <pivotArea dataOnly="0" labelOnly="1" fieldPosition="0">
        <references count="4">
          <reference field="4" count="1" selected="0">
            <x v="18"/>
          </reference>
          <reference field="6" count="1" selected="0">
            <x v="3"/>
          </reference>
          <reference field="7" count="1" selected="0">
            <x v="2"/>
          </reference>
          <reference field="8" count="4">
            <x v="8"/>
            <x v="9"/>
            <x v="16"/>
            <x v="17"/>
          </reference>
        </references>
      </pivotArea>
    </format>
    <format dxfId="3428">
      <pivotArea dataOnly="0" labelOnly="1" fieldPosition="0">
        <references count="4">
          <reference field="4" count="1" selected="0">
            <x v="19"/>
          </reference>
          <reference field="6" count="1" selected="0">
            <x v="3"/>
          </reference>
          <reference field="7" count="1" selected="0">
            <x v="6"/>
          </reference>
          <reference field="8" count="1">
            <x v="29"/>
          </reference>
        </references>
      </pivotArea>
    </format>
    <format dxfId="3427">
      <pivotArea dataOnly="0" labelOnly="1" fieldPosition="0">
        <references count="4">
          <reference field="4" count="1" selected="0">
            <x v="20"/>
          </reference>
          <reference field="6" count="1" selected="0">
            <x v="1"/>
          </reference>
          <reference field="7" count="1" selected="0">
            <x v="24"/>
          </reference>
          <reference field="8" count="1">
            <x v="106"/>
          </reference>
        </references>
      </pivotArea>
    </format>
    <format dxfId="3426">
      <pivotArea dataOnly="0" labelOnly="1" fieldPosition="0">
        <references count="5">
          <reference field="4" count="1" selected="0">
            <x v="0"/>
          </reference>
          <reference field="6" count="1" selected="0">
            <x v="0"/>
          </reference>
          <reference field="7" count="1" selected="0">
            <x v="17"/>
          </reference>
          <reference field="8" count="1" selected="0">
            <x v="65"/>
          </reference>
          <reference field="15" count="1">
            <x v="108"/>
          </reference>
        </references>
      </pivotArea>
    </format>
    <format dxfId="3425">
      <pivotArea dataOnly="0" labelOnly="1" fieldPosition="0">
        <references count="5">
          <reference field="4" count="1" selected="0">
            <x v="0"/>
          </reference>
          <reference field="6" count="1" selected="0">
            <x v="0"/>
          </reference>
          <reference field="7" count="1" selected="0">
            <x v="17"/>
          </reference>
          <reference field="8" count="1" selected="0">
            <x v="66"/>
          </reference>
          <reference field="15" count="2">
            <x v="365"/>
            <x v="366"/>
          </reference>
        </references>
      </pivotArea>
    </format>
    <format dxfId="3424">
      <pivotArea dataOnly="0" labelOnly="1" fieldPosition="0">
        <references count="5">
          <reference field="4" count="1" selected="0">
            <x v="0"/>
          </reference>
          <reference field="6" count="1" selected="0">
            <x v="0"/>
          </reference>
          <reference field="7" count="1" selected="0">
            <x v="17"/>
          </reference>
          <reference field="8" count="1" selected="0">
            <x v="67"/>
          </reference>
          <reference field="15" count="2">
            <x v="364"/>
            <x v="370"/>
          </reference>
        </references>
      </pivotArea>
    </format>
    <format dxfId="3423">
      <pivotArea dataOnly="0" labelOnly="1" fieldPosition="0">
        <references count="5">
          <reference field="4" count="1" selected="0">
            <x v="0"/>
          </reference>
          <reference field="6" count="1" selected="0">
            <x v="0"/>
          </reference>
          <reference field="7" count="1" selected="0">
            <x v="17"/>
          </reference>
          <reference field="8" count="1" selected="0">
            <x v="68"/>
          </reference>
          <reference field="15" count="1">
            <x v="79"/>
          </reference>
        </references>
      </pivotArea>
    </format>
    <format dxfId="3422">
      <pivotArea dataOnly="0" labelOnly="1" fieldPosition="0">
        <references count="5">
          <reference field="4" count="1" selected="0">
            <x v="0"/>
          </reference>
          <reference field="6" count="1" selected="0">
            <x v="0"/>
          </reference>
          <reference field="7" count="1" selected="0">
            <x v="17"/>
          </reference>
          <reference field="8" count="1" selected="0">
            <x v="69"/>
          </reference>
          <reference field="15" count="1">
            <x v="42"/>
          </reference>
        </references>
      </pivotArea>
    </format>
    <format dxfId="3421">
      <pivotArea dataOnly="0" labelOnly="1" fieldPosition="0">
        <references count="5">
          <reference field="4" count="1" selected="0">
            <x v="0"/>
          </reference>
          <reference field="6" count="1" selected="0">
            <x v="0"/>
          </reference>
          <reference field="7" count="1" selected="0">
            <x v="19"/>
          </reference>
          <reference field="8" count="1" selected="0">
            <x v="78"/>
          </reference>
          <reference field="15" count="1">
            <x v="236"/>
          </reference>
        </references>
      </pivotArea>
    </format>
    <format dxfId="3420">
      <pivotArea dataOnly="0" labelOnly="1" fieldPosition="0">
        <references count="5">
          <reference field="4" count="1" selected="0">
            <x v="0"/>
          </reference>
          <reference field="6" count="1" selected="0">
            <x v="0"/>
          </reference>
          <reference field="7" count="1" selected="0">
            <x v="19"/>
          </reference>
          <reference field="8" count="1" selected="0">
            <x v="79"/>
          </reference>
          <reference field="15" count="1">
            <x v="12"/>
          </reference>
        </references>
      </pivotArea>
    </format>
    <format dxfId="3419">
      <pivotArea dataOnly="0" labelOnly="1" fieldPosition="0">
        <references count="5">
          <reference field="4" count="1" selected="0">
            <x v="0"/>
          </reference>
          <reference field="6" count="1" selected="0">
            <x v="0"/>
          </reference>
          <reference field="7" count="1" selected="0">
            <x v="19"/>
          </reference>
          <reference field="8" count="1" selected="0">
            <x v="80"/>
          </reference>
          <reference field="15" count="2">
            <x v="10"/>
            <x v="11"/>
          </reference>
        </references>
      </pivotArea>
    </format>
    <format dxfId="3418">
      <pivotArea dataOnly="0" labelOnly="1" fieldPosition="0">
        <references count="5">
          <reference field="4" count="1" selected="0">
            <x v="0"/>
          </reference>
          <reference field="6" count="1" selected="0">
            <x v="1"/>
          </reference>
          <reference field="7" count="1" selected="0">
            <x v="23"/>
          </reference>
          <reference field="8" count="1" selected="0">
            <x v="95"/>
          </reference>
          <reference field="15" count="1">
            <x v="250"/>
          </reference>
        </references>
      </pivotArea>
    </format>
    <format dxfId="3417">
      <pivotArea dataOnly="0" labelOnly="1" fieldPosition="0">
        <references count="5">
          <reference field="4" count="1" selected="0">
            <x v="0"/>
          </reference>
          <reference field="6" count="1" selected="0">
            <x v="1"/>
          </reference>
          <reference field="7" count="1" selected="0">
            <x v="23"/>
          </reference>
          <reference field="8" count="1" selected="0">
            <x v="96"/>
          </reference>
          <reference field="15" count="2">
            <x v="251"/>
            <x v="358"/>
          </reference>
        </references>
      </pivotArea>
    </format>
    <format dxfId="3416">
      <pivotArea dataOnly="0" labelOnly="1" fieldPosition="0">
        <references count="5">
          <reference field="4" count="1" selected="0">
            <x v="0"/>
          </reference>
          <reference field="6" count="1" selected="0">
            <x v="1"/>
          </reference>
          <reference field="7" count="1" selected="0">
            <x v="23"/>
          </reference>
          <reference field="8" count="1" selected="0">
            <x v="97"/>
          </reference>
          <reference field="15" count="1">
            <x v="257"/>
          </reference>
        </references>
      </pivotArea>
    </format>
    <format dxfId="3415">
      <pivotArea dataOnly="0" labelOnly="1" fieldPosition="0">
        <references count="5">
          <reference field="4" count="1" selected="0">
            <x v="0"/>
          </reference>
          <reference field="6" count="1" selected="0">
            <x v="1"/>
          </reference>
          <reference field="7" count="1" selected="0">
            <x v="23"/>
          </reference>
          <reference field="8" count="1" selected="0">
            <x v="98"/>
          </reference>
          <reference field="15" count="1">
            <x v="43"/>
          </reference>
        </references>
      </pivotArea>
    </format>
    <format dxfId="3414">
      <pivotArea dataOnly="0" labelOnly="1" fieldPosition="0">
        <references count="5">
          <reference field="4" count="1" selected="0">
            <x v="0"/>
          </reference>
          <reference field="6" count="1" selected="0">
            <x v="1"/>
          </reference>
          <reference field="7" count="1" selected="0">
            <x v="23"/>
          </reference>
          <reference field="8" count="1" selected="0">
            <x v="99"/>
          </reference>
          <reference field="15" count="1">
            <x v="254"/>
          </reference>
        </references>
      </pivotArea>
    </format>
    <format dxfId="3413">
      <pivotArea dataOnly="0" labelOnly="1" fieldPosition="0">
        <references count="5">
          <reference field="4" count="1" selected="0">
            <x v="0"/>
          </reference>
          <reference field="6" count="1" selected="0">
            <x v="1"/>
          </reference>
          <reference field="7" count="1" selected="0">
            <x v="23"/>
          </reference>
          <reference field="8" count="1" selected="0">
            <x v="100"/>
          </reference>
          <reference field="15" count="1">
            <x v="253"/>
          </reference>
        </references>
      </pivotArea>
    </format>
    <format dxfId="3412">
      <pivotArea dataOnly="0" labelOnly="1" fieldPosition="0">
        <references count="5">
          <reference field="4" count="1" selected="0">
            <x v="0"/>
          </reference>
          <reference field="6" count="1" selected="0">
            <x v="1"/>
          </reference>
          <reference field="7" count="1" selected="0">
            <x v="23"/>
          </reference>
          <reference field="8" count="1" selected="0">
            <x v="101"/>
          </reference>
          <reference field="15" count="1">
            <x v="255"/>
          </reference>
        </references>
      </pivotArea>
    </format>
    <format dxfId="3411">
      <pivotArea dataOnly="0" labelOnly="1" fieldPosition="0">
        <references count="5">
          <reference field="4" count="1" selected="0">
            <x v="0"/>
          </reference>
          <reference field="6" count="1" selected="0">
            <x v="1"/>
          </reference>
          <reference field="7" count="1" selected="0">
            <x v="23"/>
          </reference>
          <reference field="8" count="1" selected="0">
            <x v="102"/>
          </reference>
          <reference field="15" count="1">
            <x v="40"/>
          </reference>
        </references>
      </pivotArea>
    </format>
    <format dxfId="3410">
      <pivotArea dataOnly="0" labelOnly="1" fieldPosition="0">
        <references count="5">
          <reference field="4" count="1" selected="0">
            <x v="0"/>
          </reference>
          <reference field="6" count="1" selected="0">
            <x v="1"/>
          </reference>
          <reference field="7" count="1" selected="0">
            <x v="23"/>
          </reference>
          <reference field="8" count="1" selected="0">
            <x v="103"/>
          </reference>
          <reference field="15" count="1">
            <x v="252"/>
          </reference>
        </references>
      </pivotArea>
    </format>
    <format dxfId="3409">
      <pivotArea dataOnly="0" labelOnly="1" fieldPosition="0">
        <references count="5">
          <reference field="4" count="1" selected="0">
            <x v="0"/>
          </reference>
          <reference field="6" count="1" selected="0">
            <x v="1"/>
          </reference>
          <reference field="7" count="1" selected="0">
            <x v="23"/>
          </reference>
          <reference field="8" count="1" selected="0">
            <x v="104"/>
          </reference>
          <reference field="15" count="1">
            <x v="256"/>
          </reference>
        </references>
      </pivotArea>
    </format>
    <format dxfId="3408">
      <pivotArea dataOnly="0" labelOnly="1" fieldPosition="0">
        <references count="5">
          <reference field="4" count="1" selected="0">
            <x v="0"/>
          </reference>
          <reference field="6" count="1" selected="0">
            <x v="1"/>
          </reference>
          <reference field="7" count="1" selected="0">
            <x v="26"/>
          </reference>
          <reference field="8" count="1" selected="0">
            <x v="131"/>
          </reference>
          <reference field="15" count="1">
            <x v="13"/>
          </reference>
        </references>
      </pivotArea>
    </format>
    <format dxfId="3407">
      <pivotArea dataOnly="0" labelOnly="1" fieldPosition="0">
        <references count="5">
          <reference field="4" count="1" selected="0">
            <x v="1"/>
          </reference>
          <reference field="6" count="1" selected="0">
            <x v="0"/>
          </reference>
          <reference field="7" count="1" selected="0">
            <x v="19"/>
          </reference>
          <reference field="8" count="1" selected="0">
            <x v="81"/>
          </reference>
          <reference field="15" count="1">
            <x v="231"/>
          </reference>
        </references>
      </pivotArea>
    </format>
    <format dxfId="3406">
      <pivotArea dataOnly="0" labelOnly="1" fieldPosition="0">
        <references count="5">
          <reference field="4" count="1" selected="0">
            <x v="1"/>
          </reference>
          <reference field="6" count="1" selected="0">
            <x v="3"/>
          </reference>
          <reference field="7" count="1" selected="0">
            <x v="2"/>
          </reference>
          <reference field="8" count="1" selected="0">
            <x v="7"/>
          </reference>
          <reference field="15" count="5">
            <x v="117"/>
            <x v="124"/>
            <x v="131"/>
            <x v="380"/>
            <x v="400"/>
          </reference>
        </references>
      </pivotArea>
    </format>
    <format dxfId="3405">
      <pivotArea dataOnly="0" labelOnly="1" fieldPosition="0">
        <references count="5">
          <reference field="4" count="1" selected="0">
            <x v="1"/>
          </reference>
          <reference field="6" count="1" selected="0">
            <x v="3"/>
          </reference>
          <reference field="7" count="1" selected="0">
            <x v="2"/>
          </reference>
          <reference field="8" count="1" selected="0">
            <x v="10"/>
          </reference>
          <reference field="15" count="2">
            <x v="17"/>
            <x v="18"/>
          </reference>
        </references>
      </pivotArea>
    </format>
    <format dxfId="3404">
      <pivotArea dataOnly="0" labelOnly="1" fieldPosition="0">
        <references count="5">
          <reference field="4" count="1" selected="0">
            <x v="1"/>
          </reference>
          <reference field="6" count="1" selected="0">
            <x v="3"/>
          </reference>
          <reference field="7" count="1" selected="0">
            <x v="2"/>
          </reference>
          <reference field="8" count="1" selected="0">
            <x v="11"/>
          </reference>
          <reference field="15" count="2">
            <x v="7"/>
            <x v="8"/>
          </reference>
        </references>
      </pivotArea>
    </format>
    <format dxfId="3403">
      <pivotArea dataOnly="0" labelOnly="1" fieldPosition="0">
        <references count="5">
          <reference field="4" count="1" selected="0">
            <x v="1"/>
          </reference>
          <reference field="6" count="1" selected="0">
            <x v="3"/>
          </reference>
          <reference field="7" count="1" selected="0">
            <x v="2"/>
          </reference>
          <reference field="8" count="1" selected="0">
            <x v="12"/>
          </reference>
          <reference field="15" count="1">
            <x v="107"/>
          </reference>
        </references>
      </pivotArea>
    </format>
    <format dxfId="3402">
      <pivotArea dataOnly="0" labelOnly="1" fieldPosition="0">
        <references count="5">
          <reference field="4" count="1" selected="0">
            <x v="1"/>
          </reference>
          <reference field="6" count="1" selected="0">
            <x v="3"/>
          </reference>
          <reference field="7" count="1" selected="0">
            <x v="2"/>
          </reference>
          <reference field="8" count="1" selected="0">
            <x v="13"/>
          </reference>
          <reference field="15" count="1">
            <x v="6"/>
          </reference>
        </references>
      </pivotArea>
    </format>
    <format dxfId="3401">
      <pivotArea dataOnly="0" labelOnly="1" fieldPosition="0">
        <references count="5">
          <reference field="4" count="1" selected="0">
            <x v="1"/>
          </reference>
          <reference field="6" count="1" selected="0">
            <x v="3"/>
          </reference>
          <reference field="7" count="1" selected="0">
            <x v="2"/>
          </reference>
          <reference field="8" count="1" selected="0">
            <x v="14"/>
          </reference>
          <reference field="15" count="2">
            <x v="46"/>
            <x v="47"/>
          </reference>
        </references>
      </pivotArea>
    </format>
    <format dxfId="3400">
      <pivotArea dataOnly="0" labelOnly="1" fieldPosition="0">
        <references count="5">
          <reference field="4" count="1" selected="0">
            <x v="1"/>
          </reference>
          <reference field="6" count="1" selected="0">
            <x v="3"/>
          </reference>
          <reference field="7" count="1" selected="0">
            <x v="2"/>
          </reference>
          <reference field="8" count="1" selected="0">
            <x v="15"/>
          </reference>
          <reference field="15" count="1">
            <x v="372"/>
          </reference>
        </references>
      </pivotArea>
    </format>
    <format dxfId="3399">
      <pivotArea dataOnly="0" labelOnly="1" fieldPosition="0">
        <references count="5">
          <reference field="4" count="1" selected="0">
            <x v="1"/>
          </reference>
          <reference field="6" count="1" selected="0">
            <x v="3"/>
          </reference>
          <reference field="7" count="1" selected="0">
            <x v="3"/>
          </reference>
          <reference field="8" count="1" selected="0">
            <x v="18"/>
          </reference>
          <reference field="15" count="1">
            <x v="232"/>
          </reference>
        </references>
      </pivotArea>
    </format>
    <format dxfId="3398">
      <pivotArea dataOnly="0" labelOnly="1" fieldPosition="0">
        <references count="5">
          <reference field="4" count="1" selected="0">
            <x v="1"/>
          </reference>
          <reference field="6" count="1" selected="0">
            <x v="3"/>
          </reference>
          <reference field="7" count="1" selected="0">
            <x v="3"/>
          </reference>
          <reference field="8" count="1" selected="0">
            <x v="19"/>
          </reference>
          <reference field="15" count="1">
            <x v="9"/>
          </reference>
        </references>
      </pivotArea>
    </format>
    <format dxfId="3397">
      <pivotArea dataOnly="0" labelOnly="1" fieldPosition="0">
        <references count="5">
          <reference field="4" count="1" selected="0">
            <x v="1"/>
          </reference>
          <reference field="6" count="1" selected="0">
            <x v="3"/>
          </reference>
          <reference field="7" count="1" selected="0">
            <x v="4"/>
          </reference>
          <reference field="8" count="1" selected="0">
            <x v="20"/>
          </reference>
          <reference field="15" count="1">
            <x v="34"/>
          </reference>
        </references>
      </pivotArea>
    </format>
    <format dxfId="3396">
      <pivotArea dataOnly="0" labelOnly="1" fieldPosition="0">
        <references count="5">
          <reference field="4" count="1" selected="0">
            <x v="1"/>
          </reference>
          <reference field="6" count="1" selected="0">
            <x v="3"/>
          </reference>
          <reference field="7" count="1" selected="0">
            <x v="4"/>
          </reference>
          <reference field="8" count="1" selected="0">
            <x v="21"/>
          </reference>
          <reference field="15" count="1">
            <x v="98"/>
          </reference>
        </references>
      </pivotArea>
    </format>
    <format dxfId="3395">
      <pivotArea dataOnly="0" labelOnly="1" fieldPosition="0">
        <references count="5">
          <reference field="4" count="1" selected="0">
            <x v="1"/>
          </reference>
          <reference field="6" count="1" selected="0">
            <x v="4"/>
          </reference>
          <reference field="7" count="1" selected="0">
            <x v="8"/>
          </reference>
          <reference field="8" count="1" selected="0">
            <x v="33"/>
          </reference>
          <reference field="15" count="1">
            <x v="237"/>
          </reference>
        </references>
      </pivotArea>
    </format>
    <format dxfId="3394">
      <pivotArea dataOnly="0" labelOnly="1" fieldPosition="0">
        <references count="5">
          <reference field="4" count="1" selected="0">
            <x v="1"/>
          </reference>
          <reference field="6" count="1" selected="0">
            <x v="4"/>
          </reference>
          <reference field="7" count="1" selected="0">
            <x v="8"/>
          </reference>
          <reference field="8" count="1" selected="0">
            <x v="34"/>
          </reference>
          <reference field="15" count="1">
            <x v="373"/>
          </reference>
        </references>
      </pivotArea>
    </format>
    <format dxfId="3393">
      <pivotArea dataOnly="0" labelOnly="1" fieldPosition="0">
        <references count="5">
          <reference field="4" count="1" selected="0">
            <x v="1"/>
          </reference>
          <reference field="6" count="1" selected="0">
            <x v="4"/>
          </reference>
          <reference field="7" count="1" selected="0">
            <x v="8"/>
          </reference>
          <reference field="8" count="1" selected="0">
            <x v="39"/>
          </reference>
          <reference field="15" count="2">
            <x v="233"/>
            <x v="234"/>
          </reference>
        </references>
      </pivotArea>
    </format>
    <format dxfId="3392">
      <pivotArea dataOnly="0" labelOnly="1" fieldPosition="0">
        <references count="5">
          <reference field="4" count="1" selected="0">
            <x v="2"/>
          </reference>
          <reference field="6" count="1" selected="0">
            <x v="2"/>
          </reference>
          <reference field="7" count="1" selected="0">
            <x v="29"/>
          </reference>
          <reference field="8" count="1" selected="0">
            <x v="145"/>
          </reference>
          <reference field="15" count="1">
            <x v="377"/>
          </reference>
        </references>
      </pivotArea>
    </format>
    <format dxfId="3391">
      <pivotArea dataOnly="0" labelOnly="1" fieldPosition="0">
        <references count="5">
          <reference field="4" count="1" selected="0">
            <x v="2"/>
          </reference>
          <reference field="6" count="1" selected="0">
            <x v="2"/>
          </reference>
          <reference field="7" count="1" selected="0">
            <x v="29"/>
          </reference>
          <reference field="8" count="1" selected="0">
            <x v="146"/>
          </reference>
          <reference field="15" count="1">
            <x v="139"/>
          </reference>
        </references>
      </pivotArea>
    </format>
    <format dxfId="3390">
      <pivotArea dataOnly="0" labelOnly="1" fieldPosition="0">
        <references count="5">
          <reference field="4" count="1" selected="0">
            <x v="2"/>
          </reference>
          <reference field="6" count="1" selected="0">
            <x v="2"/>
          </reference>
          <reference field="7" count="1" selected="0">
            <x v="29"/>
          </reference>
          <reference field="8" count="1" selected="0">
            <x v="147"/>
          </reference>
          <reference field="15" count="1">
            <x v="127"/>
          </reference>
        </references>
      </pivotArea>
    </format>
    <format dxfId="3389">
      <pivotArea dataOnly="0" labelOnly="1" fieldPosition="0">
        <references count="5">
          <reference field="4" count="1" selected="0">
            <x v="2"/>
          </reference>
          <reference field="6" count="1" selected="0">
            <x v="2"/>
          </reference>
          <reference field="7" count="1" selected="0">
            <x v="29"/>
          </reference>
          <reference field="8" count="1" selected="0">
            <x v="148"/>
          </reference>
          <reference field="15" count="1">
            <x v="142"/>
          </reference>
        </references>
      </pivotArea>
    </format>
    <format dxfId="3388">
      <pivotArea dataOnly="0" labelOnly="1" fieldPosition="0">
        <references count="5">
          <reference field="4" count="1" selected="0">
            <x v="2"/>
          </reference>
          <reference field="6" count="1" selected="0">
            <x v="2"/>
          </reference>
          <reference field="7" count="1" selected="0">
            <x v="29"/>
          </reference>
          <reference field="8" count="1" selected="0">
            <x v="149"/>
          </reference>
          <reference field="15" count="1">
            <x v="140"/>
          </reference>
        </references>
      </pivotArea>
    </format>
    <format dxfId="3387">
      <pivotArea dataOnly="0" labelOnly="1" fieldPosition="0">
        <references count="5">
          <reference field="4" count="1" selected="0">
            <x v="2"/>
          </reference>
          <reference field="6" count="1" selected="0">
            <x v="2"/>
          </reference>
          <reference field="7" count="1" selected="0">
            <x v="29"/>
          </reference>
          <reference field="8" count="1" selected="0">
            <x v="150"/>
          </reference>
          <reference field="15" count="1">
            <x v="144"/>
          </reference>
        </references>
      </pivotArea>
    </format>
    <format dxfId="3386">
      <pivotArea dataOnly="0" labelOnly="1" fieldPosition="0">
        <references count="5">
          <reference field="4" count="1" selected="0">
            <x v="2"/>
          </reference>
          <reference field="6" count="1" selected="0">
            <x v="2"/>
          </reference>
          <reference field="7" count="1" selected="0">
            <x v="30"/>
          </reference>
          <reference field="8" count="1" selected="0">
            <x v="152"/>
          </reference>
          <reference field="15" count="2">
            <x v="128"/>
            <x v="129"/>
          </reference>
        </references>
      </pivotArea>
    </format>
    <format dxfId="3385">
      <pivotArea dataOnly="0" labelOnly="1" fieldPosition="0">
        <references count="5">
          <reference field="4" count="1" selected="0">
            <x v="2"/>
          </reference>
          <reference field="6" count="1" selected="0">
            <x v="2"/>
          </reference>
          <reference field="7" count="1" selected="0">
            <x v="30"/>
          </reference>
          <reference field="8" count="1" selected="0">
            <x v="153"/>
          </reference>
          <reference field="15" count="1">
            <x v="141"/>
          </reference>
        </references>
      </pivotArea>
    </format>
    <format dxfId="3384">
      <pivotArea dataOnly="0" labelOnly="1" fieldPosition="0">
        <references count="5">
          <reference field="4" count="1" selected="0">
            <x v="2"/>
          </reference>
          <reference field="6" count="1" selected="0">
            <x v="3"/>
          </reference>
          <reference field="7" count="1" selected="0">
            <x v="5"/>
          </reference>
          <reference field="8" count="1" selected="0">
            <x v="24"/>
          </reference>
          <reference field="15" count="1">
            <x v="339"/>
          </reference>
        </references>
      </pivotArea>
    </format>
    <format dxfId="3383">
      <pivotArea dataOnly="0" labelOnly="1" fieldPosition="0">
        <references count="5">
          <reference field="4" count="1" selected="0">
            <x v="2"/>
          </reference>
          <reference field="6" count="1" selected="0">
            <x v="3"/>
          </reference>
          <reference field="7" count="1" selected="0">
            <x v="7"/>
          </reference>
          <reference field="8" count="1" selected="0">
            <x v="31"/>
          </reference>
          <reference field="15" count="2">
            <x v="391"/>
            <x v="392"/>
          </reference>
        </references>
      </pivotArea>
    </format>
    <format dxfId="3382">
      <pivotArea dataOnly="0" labelOnly="1" fieldPosition="0">
        <references count="5">
          <reference field="4" count="1" selected="0">
            <x v="2"/>
          </reference>
          <reference field="6" count="1" selected="0">
            <x v="3"/>
          </reference>
          <reference field="7" count="1" selected="0">
            <x v="7"/>
          </reference>
          <reference field="8" count="1" selected="0">
            <x v="32"/>
          </reference>
          <reference field="15" count="1">
            <x v="371"/>
          </reference>
        </references>
      </pivotArea>
    </format>
    <format dxfId="3381">
      <pivotArea dataOnly="0" labelOnly="1" fieldPosition="0">
        <references count="5">
          <reference field="4" count="1" selected="0">
            <x v="2"/>
          </reference>
          <reference field="6" count="1" selected="0">
            <x v="4"/>
          </reference>
          <reference field="7" count="1" selected="0">
            <x v="8"/>
          </reference>
          <reference field="8" count="1" selected="0">
            <x v="36"/>
          </reference>
          <reference field="15" count="1">
            <x v="379"/>
          </reference>
        </references>
      </pivotArea>
    </format>
    <format dxfId="3380">
      <pivotArea dataOnly="0" labelOnly="1" fieldPosition="0">
        <references count="5">
          <reference field="4" count="1" selected="0">
            <x v="2"/>
          </reference>
          <reference field="6" count="1" selected="0">
            <x v="4"/>
          </reference>
          <reference field="7" count="1" selected="0">
            <x v="8"/>
          </reference>
          <reference field="8" count="1" selected="0">
            <x v="39"/>
          </reference>
          <reference field="15" count="1">
            <x v="378"/>
          </reference>
        </references>
      </pivotArea>
    </format>
    <format dxfId="3379">
      <pivotArea dataOnly="0" labelOnly="1" fieldPosition="0">
        <references count="5">
          <reference field="4" count="1" selected="0">
            <x v="3"/>
          </reference>
          <reference field="6" count="1" selected="0">
            <x v="3"/>
          </reference>
          <reference field="7" count="1" selected="0">
            <x v="6"/>
          </reference>
          <reference field="8" count="1" selected="0">
            <x v="29"/>
          </reference>
          <reference field="15" count="41">
            <x v="0"/>
            <x v="1"/>
            <x v="167"/>
            <x v="175"/>
            <x v="176"/>
            <x v="177"/>
            <x v="178"/>
            <x v="179"/>
            <x v="180"/>
            <x v="181"/>
            <x v="182"/>
            <x v="201"/>
            <x v="202"/>
            <x v="205"/>
            <x v="206"/>
            <x v="207"/>
            <x v="208"/>
            <x v="209"/>
            <x v="210"/>
            <x v="211"/>
            <x v="212"/>
            <x v="213"/>
            <x v="214"/>
            <x v="215"/>
            <x v="216"/>
            <x v="217"/>
            <x v="218"/>
            <x v="219"/>
            <x v="220"/>
            <x v="221"/>
            <x v="224"/>
            <x v="225"/>
            <x v="226"/>
            <x v="227"/>
            <x v="228"/>
            <x v="393"/>
            <x v="394"/>
            <x v="396"/>
            <x v="397"/>
            <x v="398"/>
            <x v="399"/>
          </reference>
        </references>
      </pivotArea>
    </format>
    <format dxfId="3378">
      <pivotArea dataOnly="0" labelOnly="1" fieldPosition="0">
        <references count="5">
          <reference field="4" count="1" selected="0">
            <x v="4"/>
          </reference>
          <reference field="6" count="1" selected="0">
            <x v="0"/>
          </reference>
          <reference field="7" count="1" selected="0">
            <x v="21"/>
          </reference>
          <reference field="8" count="1" selected="0">
            <x v="87"/>
          </reference>
          <reference field="15" count="8">
            <x v="126"/>
            <x v="293"/>
            <x v="305"/>
            <x v="306"/>
            <x v="317"/>
            <x v="388"/>
            <x v="389"/>
            <x v="390"/>
          </reference>
        </references>
      </pivotArea>
    </format>
    <format dxfId="3377">
      <pivotArea dataOnly="0" labelOnly="1" fieldPosition="0">
        <references count="5">
          <reference field="4" count="1" selected="0">
            <x v="4"/>
          </reference>
          <reference field="6" count="1" selected="0">
            <x v="0"/>
          </reference>
          <reference field="7" count="1" selected="0">
            <x v="21"/>
          </reference>
          <reference field="8" count="1" selected="0">
            <x v="88"/>
          </reference>
          <reference field="15" count="3">
            <x v="291"/>
            <x v="292"/>
            <x v="301"/>
          </reference>
        </references>
      </pivotArea>
    </format>
    <format dxfId="3376">
      <pivotArea dataOnly="0" labelOnly="1" fieldPosition="0">
        <references count="5">
          <reference field="4" count="1" selected="0">
            <x v="4"/>
          </reference>
          <reference field="6" count="1" selected="0">
            <x v="0"/>
          </reference>
          <reference field="7" count="1" selected="0">
            <x v="21"/>
          </reference>
          <reference field="8" count="1" selected="0">
            <x v="89"/>
          </reference>
          <reference field="15" count="1">
            <x v="310"/>
          </reference>
        </references>
      </pivotArea>
    </format>
    <format dxfId="3375">
      <pivotArea dataOnly="0" labelOnly="1" fieldPosition="0">
        <references count="5">
          <reference field="4" count="1" selected="0">
            <x v="4"/>
          </reference>
          <reference field="6" count="1" selected="0">
            <x v="0"/>
          </reference>
          <reference field="7" count="1" selected="0">
            <x v="21"/>
          </reference>
          <reference field="8" count="1" selected="0">
            <x v="90"/>
          </reference>
          <reference field="15" count="1">
            <x v="385"/>
          </reference>
        </references>
      </pivotArea>
    </format>
    <format dxfId="3374">
      <pivotArea dataOnly="0" labelOnly="1" fieldPosition="0">
        <references count="5">
          <reference field="4" count="1" selected="0">
            <x v="4"/>
          </reference>
          <reference field="6" count="1" selected="0">
            <x v="0"/>
          </reference>
          <reference field="7" count="1" selected="0">
            <x v="21"/>
          </reference>
          <reference field="8" count="1" selected="0">
            <x v="91"/>
          </reference>
          <reference field="15" count="2">
            <x v="264"/>
            <x v="265"/>
          </reference>
        </references>
      </pivotArea>
    </format>
    <format dxfId="3373">
      <pivotArea dataOnly="0" labelOnly="1" fieldPosition="0">
        <references count="5">
          <reference field="4" count="1" selected="0">
            <x v="4"/>
          </reference>
          <reference field="6" count="1" selected="0">
            <x v="1"/>
          </reference>
          <reference field="7" count="1" selected="0">
            <x v="24"/>
          </reference>
          <reference field="8" count="1" selected="0">
            <x v="114"/>
          </reference>
          <reference field="15" count="1">
            <x v="263"/>
          </reference>
        </references>
      </pivotArea>
    </format>
    <format dxfId="3372">
      <pivotArea dataOnly="0" labelOnly="1" fieldPosition="0">
        <references count="5">
          <reference field="4" count="1" selected="0">
            <x v="4"/>
          </reference>
          <reference field="6" count="1" selected="0">
            <x v="2"/>
          </reference>
          <reference field="7" count="1" selected="0">
            <x v="29"/>
          </reference>
          <reference field="8" count="1" selected="0">
            <x v="142"/>
          </reference>
          <reference field="15" count="1">
            <x v="283"/>
          </reference>
        </references>
      </pivotArea>
    </format>
    <format dxfId="3371">
      <pivotArea dataOnly="0" labelOnly="1" fieldPosition="0">
        <references count="5">
          <reference field="4" count="1" selected="0">
            <x v="4"/>
          </reference>
          <reference field="6" count="1" selected="0">
            <x v="2"/>
          </reference>
          <reference field="7" count="1" selected="0">
            <x v="29"/>
          </reference>
          <reference field="8" count="1" selected="0">
            <x v="143"/>
          </reference>
          <reference field="15" count="2">
            <x v="289"/>
            <x v="314"/>
          </reference>
        </references>
      </pivotArea>
    </format>
    <format dxfId="3370">
      <pivotArea dataOnly="0" labelOnly="1" fieldPosition="0">
        <references count="5">
          <reference field="4" count="1" selected="0">
            <x v="4"/>
          </reference>
          <reference field="6" count="1" selected="0">
            <x v="2"/>
          </reference>
          <reference field="7" count="1" selected="0">
            <x v="29"/>
          </reference>
          <reference field="8" count="1" selected="0">
            <x v="151"/>
          </reference>
          <reference field="15" count="1">
            <x v="387"/>
          </reference>
        </references>
      </pivotArea>
    </format>
    <format dxfId="3369">
      <pivotArea dataOnly="0" labelOnly="1" fieldPosition="0">
        <references count="5">
          <reference field="4" count="1" selected="0">
            <x v="4"/>
          </reference>
          <reference field="6" count="1" selected="0">
            <x v="2"/>
          </reference>
          <reference field="7" count="1" selected="0">
            <x v="31"/>
          </reference>
          <reference field="8" count="1" selected="0">
            <x v="155"/>
          </reference>
          <reference field="15" count="4">
            <x v="235"/>
            <x v="303"/>
            <x v="374"/>
            <x v="386"/>
          </reference>
        </references>
      </pivotArea>
    </format>
    <format dxfId="3368">
      <pivotArea dataOnly="0" labelOnly="1" fieldPosition="0">
        <references count="5">
          <reference field="4" count="1" selected="0">
            <x v="4"/>
          </reference>
          <reference field="6" count="1" selected="0">
            <x v="2"/>
          </reference>
          <reference field="7" count="1" selected="0">
            <x v="31"/>
          </reference>
          <reference field="8" count="1" selected="0">
            <x v="156"/>
          </reference>
          <reference field="15" count="1">
            <x v="304"/>
          </reference>
        </references>
      </pivotArea>
    </format>
    <format dxfId="3367">
      <pivotArea dataOnly="0" labelOnly="1" fieldPosition="0">
        <references count="5">
          <reference field="4" count="1" selected="0">
            <x v="4"/>
          </reference>
          <reference field="6" count="1" selected="0">
            <x v="2"/>
          </reference>
          <reference field="7" count="1" selected="0">
            <x v="31"/>
          </reference>
          <reference field="8" count="1" selected="0">
            <x v="157"/>
          </reference>
          <reference field="15" count="1">
            <x v="302"/>
          </reference>
        </references>
      </pivotArea>
    </format>
    <format dxfId="3366">
      <pivotArea dataOnly="0" labelOnly="1" fieldPosition="0">
        <references count="5">
          <reference field="4" count="1" selected="0">
            <x v="4"/>
          </reference>
          <reference field="6" count="1" selected="0">
            <x v="3"/>
          </reference>
          <reference field="7" count="1" selected="0">
            <x v="0"/>
          </reference>
          <reference field="8" count="1" selected="0">
            <x v="0"/>
          </reference>
          <reference field="15" count="2">
            <x v="125"/>
            <x v="269"/>
          </reference>
        </references>
      </pivotArea>
    </format>
    <format dxfId="3365">
      <pivotArea dataOnly="0" labelOnly="1" fieldPosition="0">
        <references count="5">
          <reference field="4" count="1" selected="0">
            <x v="4"/>
          </reference>
          <reference field="6" count="1" selected="0">
            <x v="3"/>
          </reference>
          <reference field="7" count="1" selected="0">
            <x v="0"/>
          </reference>
          <reference field="8" count="1" selected="0">
            <x v="1"/>
          </reference>
          <reference field="15" count="1">
            <x v="382"/>
          </reference>
        </references>
      </pivotArea>
    </format>
    <format dxfId="3364">
      <pivotArea dataOnly="0" labelOnly="1" fieldPosition="0">
        <references count="5">
          <reference field="4" count="1" selected="0">
            <x v="4"/>
          </reference>
          <reference field="6" count="1" selected="0">
            <x v="3"/>
          </reference>
          <reference field="7" count="1" selected="0">
            <x v="1"/>
          </reference>
          <reference field="8" count="1" selected="0">
            <x v="2"/>
          </reference>
          <reference field="15" count="1">
            <x v="282"/>
          </reference>
        </references>
      </pivotArea>
    </format>
    <format dxfId="3363">
      <pivotArea dataOnly="0" labelOnly="1" fieldPosition="0">
        <references count="5">
          <reference field="4" count="1" selected="0">
            <x v="4"/>
          </reference>
          <reference field="6" count="1" selected="0">
            <x v="3"/>
          </reference>
          <reference field="7" count="1" selected="0">
            <x v="1"/>
          </reference>
          <reference field="8" count="1" selected="0">
            <x v="3"/>
          </reference>
          <reference field="15" count="1">
            <x v="384"/>
          </reference>
        </references>
      </pivotArea>
    </format>
    <format dxfId="3362">
      <pivotArea dataOnly="0" labelOnly="1" fieldPosition="0">
        <references count="5">
          <reference field="4" count="1" selected="0">
            <x v="4"/>
          </reference>
          <reference field="6" count="1" selected="0">
            <x v="3"/>
          </reference>
          <reference field="7" count="1" selected="0">
            <x v="1"/>
          </reference>
          <reference field="8" count="1" selected="0">
            <x v="4"/>
          </reference>
          <reference field="15" count="1">
            <x v="298"/>
          </reference>
        </references>
      </pivotArea>
    </format>
    <format dxfId="3361">
      <pivotArea dataOnly="0" labelOnly="1" fieldPosition="0">
        <references count="5">
          <reference field="4" count="1" selected="0">
            <x v="4"/>
          </reference>
          <reference field="6" count="1" selected="0">
            <x v="3"/>
          </reference>
          <reference field="7" count="1" selected="0">
            <x v="1"/>
          </reference>
          <reference field="8" count="1" selected="0">
            <x v="5"/>
          </reference>
          <reference field="15" count="2">
            <x v="381"/>
            <x v="383"/>
          </reference>
        </references>
      </pivotArea>
    </format>
    <format dxfId="3360">
      <pivotArea dataOnly="0" labelOnly="1" fieldPosition="0">
        <references count="5">
          <reference field="4" count="1" selected="0">
            <x v="5"/>
          </reference>
          <reference field="6" count="1" selected="0">
            <x v="0"/>
          </reference>
          <reference field="7" count="1" selected="0">
            <x v="18"/>
          </reference>
          <reference field="8" count="1" selected="0">
            <x v="73"/>
          </reference>
          <reference field="15" count="3">
            <x v="245"/>
            <x v="246"/>
            <x v="313"/>
          </reference>
        </references>
      </pivotArea>
    </format>
    <format dxfId="3359">
      <pivotArea dataOnly="0" labelOnly="1" fieldPosition="0">
        <references count="5">
          <reference field="4" count="1" selected="0">
            <x v="5"/>
          </reference>
          <reference field="6" count="1" selected="0">
            <x v="0"/>
          </reference>
          <reference field="7" count="1" selected="0">
            <x v="18"/>
          </reference>
          <reference field="8" count="1" selected="0">
            <x v="74"/>
          </reference>
          <reference field="15" count="1">
            <x v="230"/>
          </reference>
        </references>
      </pivotArea>
    </format>
    <format dxfId="3358">
      <pivotArea dataOnly="0" labelOnly="1" fieldPosition="0">
        <references count="5">
          <reference field="4" count="1" selected="0">
            <x v="5"/>
          </reference>
          <reference field="6" count="1" selected="0">
            <x v="0"/>
          </reference>
          <reference field="7" count="1" selected="0">
            <x v="18"/>
          </reference>
          <reference field="8" count="1" selected="0">
            <x v="77"/>
          </reference>
          <reference field="15" count="2">
            <x v="276"/>
            <x v="277"/>
          </reference>
        </references>
      </pivotArea>
    </format>
    <format dxfId="3357">
      <pivotArea dataOnly="0" labelOnly="1" fieldPosition="0">
        <references count="5">
          <reference field="4" count="1" selected="0">
            <x v="5"/>
          </reference>
          <reference field="6" count="1" selected="0">
            <x v="0"/>
          </reference>
          <reference field="7" count="1" selected="0">
            <x v="22"/>
          </reference>
          <reference field="8" count="1" selected="0">
            <x v="94"/>
          </reference>
          <reference field="15" count="1">
            <x v="164"/>
          </reference>
        </references>
      </pivotArea>
    </format>
    <format dxfId="3356">
      <pivotArea dataOnly="0" labelOnly="1" fieldPosition="0">
        <references count="5">
          <reference field="4" count="1" selected="0">
            <x v="5"/>
          </reference>
          <reference field="6" count="1" selected="0">
            <x v="4"/>
          </reference>
          <reference field="7" count="1" selected="0">
            <x v="8"/>
          </reference>
          <reference field="8" count="1" selected="0">
            <x v="37"/>
          </reference>
          <reference field="15" count="1">
            <x v="222"/>
          </reference>
        </references>
      </pivotArea>
    </format>
    <format dxfId="3355">
      <pivotArea dataOnly="0" labelOnly="1" fieldPosition="0">
        <references count="5">
          <reference field="4" count="1" selected="0">
            <x v="6"/>
          </reference>
          <reference field="6" count="1" selected="0">
            <x v="1"/>
          </reference>
          <reference field="7" count="1" selected="0">
            <x v="24"/>
          </reference>
          <reference field="8" count="1" selected="0">
            <x v="105"/>
          </reference>
          <reference field="15" count="13">
            <x v="24"/>
            <x v="25"/>
            <x v="31"/>
            <x v="37"/>
            <x v="44"/>
            <x v="45"/>
            <x v="48"/>
            <x v="49"/>
            <x v="50"/>
            <x v="56"/>
            <x v="66"/>
            <x v="100"/>
            <x v="101"/>
          </reference>
        </references>
      </pivotArea>
    </format>
    <format dxfId="3354">
      <pivotArea dataOnly="0" labelOnly="1" fieldPosition="0">
        <references count="5">
          <reference field="4" count="1" selected="0">
            <x v="6"/>
          </reference>
          <reference field="6" count="1" selected="0">
            <x v="1"/>
          </reference>
          <reference field="7" count="1" selected="0">
            <x v="24"/>
          </reference>
          <reference field="8" count="1" selected="0">
            <x v="107"/>
          </reference>
          <reference field="15" count="3">
            <x v="118"/>
            <x v="123"/>
            <x v="165"/>
          </reference>
        </references>
      </pivotArea>
    </format>
    <format dxfId="3353">
      <pivotArea dataOnly="0" labelOnly="1" fieldPosition="0">
        <references count="5">
          <reference field="4" count="1" selected="0">
            <x v="6"/>
          </reference>
          <reference field="6" count="1" selected="0">
            <x v="1"/>
          </reference>
          <reference field="7" count="1" selected="0">
            <x v="24"/>
          </reference>
          <reference field="8" count="1" selected="0">
            <x v="108"/>
          </reference>
          <reference field="15" count="2">
            <x v="97"/>
            <x v="119"/>
          </reference>
        </references>
      </pivotArea>
    </format>
    <format dxfId="3352">
      <pivotArea dataOnly="0" labelOnly="1" fieldPosition="0">
        <references count="5">
          <reference field="4" count="1" selected="0">
            <x v="6"/>
          </reference>
          <reference field="6" count="1" selected="0">
            <x v="1"/>
          </reference>
          <reference field="7" count="1" selected="0">
            <x v="24"/>
          </reference>
          <reference field="8" count="1" selected="0">
            <x v="109"/>
          </reference>
          <reference field="15" count="2">
            <x v="96"/>
            <x v="327"/>
          </reference>
        </references>
      </pivotArea>
    </format>
    <format dxfId="3351">
      <pivotArea dataOnly="0" labelOnly="1" fieldPosition="0">
        <references count="5">
          <reference field="4" count="1" selected="0">
            <x v="6"/>
          </reference>
          <reference field="6" count="1" selected="0">
            <x v="1"/>
          </reference>
          <reference field="7" count="1" selected="0">
            <x v="24"/>
          </reference>
          <reference field="8" count="1" selected="0">
            <x v="110"/>
          </reference>
          <reference field="15" count="2">
            <x v="115"/>
            <x v="324"/>
          </reference>
        </references>
      </pivotArea>
    </format>
    <format dxfId="3350">
      <pivotArea dataOnly="0" labelOnly="1" fieldPosition="0">
        <references count="5">
          <reference field="4" count="1" selected="0">
            <x v="6"/>
          </reference>
          <reference field="6" count="1" selected="0">
            <x v="1"/>
          </reference>
          <reference field="7" count="1" selected="0">
            <x v="24"/>
          </reference>
          <reference field="8" count="1" selected="0">
            <x v="111"/>
          </reference>
          <reference field="15" count="1">
            <x v="326"/>
          </reference>
        </references>
      </pivotArea>
    </format>
    <format dxfId="3349">
      <pivotArea dataOnly="0" labelOnly="1" fieldPosition="0">
        <references count="5">
          <reference field="4" count="1" selected="0">
            <x v="6"/>
          </reference>
          <reference field="6" count="1" selected="0">
            <x v="1"/>
          </reference>
          <reference field="7" count="1" selected="0">
            <x v="24"/>
          </reference>
          <reference field="8" count="1" selected="0">
            <x v="112"/>
          </reference>
          <reference field="15" count="5">
            <x v="80"/>
            <x v="120"/>
            <x v="121"/>
            <x v="122"/>
            <x v="135"/>
          </reference>
        </references>
      </pivotArea>
    </format>
    <format dxfId="3348">
      <pivotArea dataOnly="0" labelOnly="1" fieldPosition="0">
        <references count="5">
          <reference field="4" count="1" selected="0">
            <x v="6"/>
          </reference>
          <reference field="6" count="1" selected="0">
            <x v="1"/>
          </reference>
          <reference field="7" count="1" selected="0">
            <x v="24"/>
          </reference>
          <reference field="8" count="1" selected="0">
            <x v="113"/>
          </reference>
          <reference field="15" count="3">
            <x v="67"/>
            <x v="84"/>
            <x v="166"/>
          </reference>
        </references>
      </pivotArea>
    </format>
    <format dxfId="3347">
      <pivotArea dataOnly="0" labelOnly="1" fieldPosition="0">
        <references count="5">
          <reference field="4" count="1" selected="0">
            <x v="7"/>
          </reference>
          <reference field="6" count="1" selected="0">
            <x v="0"/>
          </reference>
          <reference field="7" count="1" selected="0">
            <x v="16"/>
          </reference>
          <reference field="8" count="1" selected="0">
            <x v="64"/>
          </reference>
          <reference field="15" count="3">
            <x v="274"/>
            <x v="278"/>
            <x v="325"/>
          </reference>
        </references>
      </pivotArea>
    </format>
    <format dxfId="3346">
      <pivotArea dataOnly="0" labelOnly="1" fieldPosition="0">
        <references count="5">
          <reference field="4" count="1" selected="0">
            <x v="7"/>
          </reference>
          <reference field="6" count="1" selected="0">
            <x v="2"/>
          </reference>
          <reference field="7" count="1" selected="0">
            <x v="29"/>
          </reference>
          <reference field="8" count="1" selected="0">
            <x v="140"/>
          </reference>
          <reference field="15" count="1">
            <x v="53"/>
          </reference>
        </references>
      </pivotArea>
    </format>
    <format dxfId="3345">
      <pivotArea dataOnly="0" labelOnly="1" fieldPosition="0">
        <references count="5">
          <reference field="4" count="1" selected="0">
            <x v="7"/>
          </reference>
          <reference field="6" count="1" selected="0">
            <x v="2"/>
          </reference>
          <reference field="7" count="1" selected="0">
            <x v="29"/>
          </reference>
          <reference field="8" count="1" selected="0">
            <x v="141"/>
          </reference>
          <reference field="15" count="1">
            <x v="279"/>
          </reference>
        </references>
      </pivotArea>
    </format>
    <format dxfId="3344">
      <pivotArea dataOnly="0" labelOnly="1" fieldPosition="0">
        <references count="5">
          <reference field="4" count="1" selected="0">
            <x v="7"/>
          </reference>
          <reference field="6" count="1" selected="0">
            <x v="2"/>
          </reference>
          <reference field="7" count="1" selected="0">
            <x v="29"/>
          </reference>
          <reference field="8" count="1" selected="0">
            <x v="144"/>
          </reference>
          <reference field="15" count="1">
            <x v="52"/>
          </reference>
        </references>
      </pivotArea>
    </format>
    <format dxfId="3343">
      <pivotArea dataOnly="0" labelOnly="1" fieldPosition="0">
        <references count="5">
          <reference field="4" count="1" selected="0">
            <x v="7"/>
          </reference>
          <reference field="6" count="1" selected="0">
            <x v="2"/>
          </reference>
          <reference field="7" count="1" selected="0">
            <x v="29"/>
          </reference>
          <reference field="8" count="1" selected="0">
            <x v="145"/>
          </reference>
          <reference field="15" count="1">
            <x v="51"/>
          </reference>
        </references>
      </pivotArea>
    </format>
    <format dxfId="3342">
      <pivotArea dataOnly="0" labelOnly="1" fieldPosition="0">
        <references count="5">
          <reference field="4" count="1" selected="0">
            <x v="7"/>
          </reference>
          <reference field="6" count="1" selected="0">
            <x v="2"/>
          </reference>
          <reference field="7" count="1" selected="0">
            <x v="30"/>
          </reference>
          <reference field="8" count="1" selected="0">
            <x v="154"/>
          </reference>
          <reference field="15" count="1">
            <x v="275"/>
          </reference>
        </references>
      </pivotArea>
    </format>
    <format dxfId="3341">
      <pivotArea dataOnly="0" labelOnly="1" fieldPosition="0">
        <references count="5">
          <reference field="4" count="1" selected="0">
            <x v="7"/>
          </reference>
          <reference field="6" count="1" selected="0">
            <x v="3"/>
          </reference>
          <reference field="7" count="1" selected="0">
            <x v="6"/>
          </reference>
          <reference field="8" count="1" selected="0">
            <x v="28"/>
          </reference>
          <reference field="15" count="3">
            <x v="318"/>
            <x v="319"/>
            <x v="320"/>
          </reference>
        </references>
      </pivotArea>
    </format>
    <format dxfId="3340">
      <pivotArea dataOnly="0" labelOnly="1" fieldPosition="0">
        <references count="5">
          <reference field="4" count="1" selected="0">
            <x v="7"/>
          </reference>
          <reference field="6" count="1" selected="0">
            <x v="4"/>
          </reference>
          <reference field="7" count="1" selected="0">
            <x v="8"/>
          </reference>
          <reference field="8" count="1" selected="0">
            <x v="35"/>
          </reference>
          <reference field="15" count="1">
            <x v="337"/>
          </reference>
        </references>
      </pivotArea>
    </format>
    <format dxfId="3339">
      <pivotArea dataOnly="0" labelOnly="1" fieldPosition="0">
        <references count="5">
          <reference field="4" count="1" selected="0">
            <x v="7"/>
          </reference>
          <reference field="6" count="1" selected="0">
            <x v="4"/>
          </reference>
          <reference field="7" count="1" selected="0">
            <x v="8"/>
          </reference>
          <reference field="8" count="1" selected="0">
            <x v="36"/>
          </reference>
          <reference field="15" count="1">
            <x v="280"/>
          </reference>
        </references>
      </pivotArea>
    </format>
    <format dxfId="3338">
      <pivotArea dataOnly="0" labelOnly="1" fieldPosition="0">
        <references count="5">
          <reference field="4" count="1" selected="0">
            <x v="7"/>
          </reference>
          <reference field="6" count="1" selected="0">
            <x v="4"/>
          </reference>
          <reference field="7" count="1" selected="0">
            <x v="9"/>
          </reference>
          <reference field="8" count="1" selected="0">
            <x v="40"/>
          </reference>
          <reference field="15" count="3">
            <x v="311"/>
            <x v="312"/>
            <x v="334"/>
          </reference>
        </references>
      </pivotArea>
    </format>
    <format dxfId="3337">
      <pivotArea dataOnly="0" labelOnly="1" fieldPosition="0">
        <references count="5">
          <reference field="4" count="1" selected="0">
            <x v="7"/>
          </reference>
          <reference field="6" count="1" selected="0">
            <x v="4"/>
          </reference>
          <reference field="7" count="1" selected="0">
            <x v="9"/>
          </reference>
          <reference field="8" count="1" selected="0">
            <x v="41"/>
          </reference>
          <reference field="15" count="1">
            <x v="328"/>
          </reference>
        </references>
      </pivotArea>
    </format>
    <format dxfId="3336">
      <pivotArea dataOnly="0" labelOnly="1" fieldPosition="0">
        <references count="5">
          <reference field="4" count="1" selected="0">
            <x v="7"/>
          </reference>
          <reference field="6" count="1" selected="0">
            <x v="4"/>
          </reference>
          <reference field="7" count="1" selected="0">
            <x v="9"/>
          </reference>
          <reference field="8" count="1" selected="0">
            <x v="42"/>
          </reference>
          <reference field="15" count="1">
            <x v="329"/>
          </reference>
        </references>
      </pivotArea>
    </format>
    <format dxfId="3335">
      <pivotArea dataOnly="0" labelOnly="1" fieldPosition="0">
        <references count="5">
          <reference field="4" count="1" selected="0">
            <x v="7"/>
          </reference>
          <reference field="6" count="1" selected="0">
            <x v="4"/>
          </reference>
          <reference field="7" count="1" selected="0">
            <x v="9"/>
          </reference>
          <reference field="8" count="1" selected="0">
            <x v="43"/>
          </reference>
          <reference field="15" count="1">
            <x v="321"/>
          </reference>
        </references>
      </pivotArea>
    </format>
    <format dxfId="3334">
      <pivotArea dataOnly="0" labelOnly="1" fieldPosition="0">
        <references count="5">
          <reference field="4" count="1" selected="0">
            <x v="7"/>
          </reference>
          <reference field="6" count="1" selected="0">
            <x v="4"/>
          </reference>
          <reference field="7" count="1" selected="0">
            <x v="10"/>
          </reference>
          <reference field="8" count="1" selected="0">
            <x v="44"/>
          </reference>
          <reference field="15" count="2">
            <x v="57"/>
            <x v="58"/>
          </reference>
        </references>
      </pivotArea>
    </format>
    <format dxfId="3333">
      <pivotArea dataOnly="0" labelOnly="1" fieldPosition="0">
        <references count="5">
          <reference field="4" count="1" selected="0">
            <x v="7"/>
          </reference>
          <reference field="6" count="1" selected="0">
            <x v="4"/>
          </reference>
          <reference field="7" count="1" selected="0">
            <x v="10"/>
          </reference>
          <reference field="8" count="1" selected="0">
            <x v="45"/>
          </reference>
          <reference field="15" count="1">
            <x v="55"/>
          </reference>
        </references>
      </pivotArea>
    </format>
    <format dxfId="3332">
      <pivotArea dataOnly="0" labelOnly="1" fieldPosition="0">
        <references count="5">
          <reference field="4" count="1" selected="0">
            <x v="7"/>
          </reference>
          <reference field="6" count="1" selected="0">
            <x v="4"/>
          </reference>
          <reference field="7" count="1" selected="0">
            <x v="10"/>
          </reference>
          <reference field="8" count="1" selected="0">
            <x v="46"/>
          </reference>
          <reference field="15" count="1">
            <x v="59"/>
          </reference>
        </references>
      </pivotArea>
    </format>
    <format dxfId="3331">
      <pivotArea dataOnly="0" labelOnly="1" fieldPosition="0">
        <references count="5">
          <reference field="4" count="1" selected="0">
            <x v="7"/>
          </reference>
          <reference field="6" count="1" selected="0">
            <x v="4"/>
          </reference>
          <reference field="7" count="1" selected="0">
            <x v="10"/>
          </reference>
          <reference field="8" count="1" selected="0">
            <x v="47"/>
          </reference>
          <reference field="15" count="1">
            <x v="54"/>
          </reference>
        </references>
      </pivotArea>
    </format>
    <format dxfId="3330">
      <pivotArea dataOnly="0" labelOnly="1" fieldPosition="0">
        <references count="5">
          <reference field="4" count="1" selected="0">
            <x v="7"/>
          </reference>
          <reference field="6" count="1" selected="0">
            <x v="4"/>
          </reference>
          <reference field="7" count="1" selected="0">
            <x v="11"/>
          </reference>
          <reference field="8" count="1" selected="0">
            <x v="48"/>
          </reference>
          <reference field="15" count="1">
            <x v="88"/>
          </reference>
        </references>
      </pivotArea>
    </format>
    <format dxfId="3329">
      <pivotArea dataOnly="0" labelOnly="1" fieldPosition="0">
        <references count="5">
          <reference field="4" count="1" selected="0">
            <x v="7"/>
          </reference>
          <reference field="6" count="1" selected="0">
            <x v="4"/>
          </reference>
          <reference field="7" count="1" selected="0">
            <x v="11"/>
          </reference>
          <reference field="8" count="1" selected="0">
            <x v="49"/>
          </reference>
          <reference field="15" count="1">
            <x v="86"/>
          </reference>
        </references>
      </pivotArea>
    </format>
    <format dxfId="3328">
      <pivotArea dataOnly="0" labelOnly="1" fieldPosition="0">
        <references count="5">
          <reference field="4" count="1" selected="0">
            <x v="7"/>
          </reference>
          <reference field="6" count="1" selected="0">
            <x v="4"/>
          </reference>
          <reference field="7" count="1" selected="0">
            <x v="12"/>
          </reference>
          <reference field="8" count="1" selected="0">
            <x v="50"/>
          </reference>
          <reference field="15" count="3">
            <x v="64"/>
            <x v="65"/>
            <x v="136"/>
          </reference>
        </references>
      </pivotArea>
    </format>
    <format dxfId="3327">
      <pivotArea dataOnly="0" labelOnly="1" fieldPosition="0">
        <references count="5">
          <reference field="4" count="1" selected="0">
            <x v="7"/>
          </reference>
          <reference field="6" count="1" selected="0">
            <x v="4"/>
          </reference>
          <reference field="7" count="1" selected="0">
            <x v="13"/>
          </reference>
          <reference field="8" count="1" selected="0">
            <x v="51"/>
          </reference>
          <reference field="15" count="1">
            <x v="307"/>
          </reference>
        </references>
      </pivotArea>
    </format>
    <format dxfId="3326">
      <pivotArea dataOnly="0" labelOnly="1" fieldPosition="0">
        <references count="5">
          <reference field="4" count="1" selected="0">
            <x v="7"/>
          </reference>
          <reference field="6" count="1" selected="0">
            <x v="4"/>
          </reference>
          <reference field="7" count="1" selected="0">
            <x v="13"/>
          </reference>
          <reference field="8" count="1" selected="0">
            <x v="52"/>
          </reference>
          <reference field="15" count="1">
            <x v="309"/>
          </reference>
        </references>
      </pivotArea>
    </format>
    <format dxfId="3325">
      <pivotArea dataOnly="0" labelOnly="1" fieldPosition="0">
        <references count="5">
          <reference field="4" count="1" selected="0">
            <x v="7"/>
          </reference>
          <reference field="6" count="1" selected="0">
            <x v="4"/>
          </reference>
          <reference field="7" count="1" selected="0">
            <x v="13"/>
          </reference>
          <reference field="8" count="1" selected="0">
            <x v="53"/>
          </reference>
          <reference field="15" count="1">
            <x v="308"/>
          </reference>
        </references>
      </pivotArea>
    </format>
    <format dxfId="3324">
      <pivotArea dataOnly="0" labelOnly="1" fieldPosition="0">
        <references count="5">
          <reference field="4" count="1" selected="0">
            <x v="7"/>
          </reference>
          <reference field="6" count="1" selected="0">
            <x v="4"/>
          </reference>
          <reference field="7" count="1" selected="0">
            <x v="14"/>
          </reference>
          <reference field="8" count="1" selected="0">
            <x v="54"/>
          </reference>
          <reference field="15" count="1">
            <x v="281"/>
          </reference>
        </references>
      </pivotArea>
    </format>
    <format dxfId="3323">
      <pivotArea dataOnly="0" labelOnly="1" fieldPosition="0">
        <references count="5">
          <reference field="4" count="1" selected="0">
            <x v="7"/>
          </reference>
          <reference field="6" count="1" selected="0">
            <x v="4"/>
          </reference>
          <reference field="7" count="1" selected="0">
            <x v="14"/>
          </reference>
          <reference field="8" count="1" selected="0">
            <x v="55"/>
          </reference>
          <reference field="15" count="1">
            <x v="138"/>
          </reference>
        </references>
      </pivotArea>
    </format>
    <format dxfId="3322">
      <pivotArea dataOnly="0" labelOnly="1" fieldPosition="0">
        <references count="5">
          <reference field="4" count="1" selected="0">
            <x v="7"/>
          </reference>
          <reference field="6" count="1" selected="0">
            <x v="4"/>
          </reference>
          <reference field="7" count="1" selected="0">
            <x v="15"/>
          </reference>
          <reference field="8" count="1" selected="0">
            <x v="56"/>
          </reference>
          <reference field="15" count="2">
            <x v="335"/>
            <x v="336"/>
          </reference>
        </references>
      </pivotArea>
    </format>
    <format dxfId="3321">
      <pivotArea dataOnly="0" labelOnly="1" fieldPosition="0">
        <references count="5">
          <reference field="4" count="1" selected="0">
            <x v="8"/>
          </reference>
          <reference field="6" count="1" selected="0">
            <x v="0"/>
          </reference>
          <reference field="7" count="1" selected="0">
            <x v="18"/>
          </reference>
          <reference field="8" count="1" selected="0">
            <x v="77"/>
          </reference>
          <reference field="15" count="1">
            <x v="290"/>
          </reference>
        </references>
      </pivotArea>
    </format>
    <format dxfId="3320">
      <pivotArea dataOnly="0" labelOnly="1" fieldPosition="0">
        <references count="5">
          <reference field="4" count="1" selected="0">
            <x v="8"/>
          </reference>
          <reference field="6" count="1" selected="0">
            <x v="0"/>
          </reference>
          <reference field="7" count="1" selected="0">
            <x v="22"/>
          </reference>
          <reference field="8" count="1" selected="0">
            <x v="92"/>
          </reference>
          <reference field="15" count="4">
            <x v="130"/>
            <x v="359"/>
            <x v="360"/>
            <x v="361"/>
          </reference>
        </references>
      </pivotArea>
    </format>
    <format dxfId="3319">
      <pivotArea dataOnly="0" labelOnly="1" fieldPosition="0">
        <references count="5">
          <reference field="4" count="1" selected="0">
            <x v="8"/>
          </reference>
          <reference field="6" count="1" selected="0">
            <x v="0"/>
          </reference>
          <reference field="7" count="1" selected="0">
            <x v="22"/>
          </reference>
          <reference field="8" count="1" selected="0">
            <x v="93"/>
          </reference>
          <reference field="15" count="1">
            <x v="369"/>
          </reference>
        </references>
      </pivotArea>
    </format>
    <format dxfId="3318">
      <pivotArea dataOnly="0" labelOnly="1" fieldPosition="0">
        <references count="5">
          <reference field="4" count="1" selected="0">
            <x v="8"/>
          </reference>
          <reference field="6" count="1" selected="0">
            <x v="0"/>
          </reference>
          <reference field="7" count="1" selected="0">
            <x v="22"/>
          </reference>
          <reference field="8" count="1" selected="0">
            <x v="94"/>
          </reference>
          <reference field="15" count="1">
            <x v="273"/>
          </reference>
        </references>
      </pivotArea>
    </format>
    <format dxfId="3317">
      <pivotArea dataOnly="0" labelOnly="1" fieldPosition="0">
        <references count="5">
          <reference field="4" count="1" selected="0">
            <x v="8"/>
          </reference>
          <reference field="6" count="1" selected="0">
            <x v="1"/>
          </reference>
          <reference field="7" count="1" selected="0">
            <x v="28"/>
          </reference>
          <reference field="8" count="1" selected="0">
            <x v="138"/>
          </reference>
          <reference field="15" count="3">
            <x v="270"/>
            <x v="343"/>
            <x v="355"/>
          </reference>
        </references>
      </pivotArea>
    </format>
    <format dxfId="3316">
      <pivotArea dataOnly="0" labelOnly="1" fieldPosition="0">
        <references count="5">
          <reference field="4" count="1" selected="0">
            <x v="8"/>
          </reference>
          <reference field="6" count="1" selected="0">
            <x v="1"/>
          </reference>
          <reference field="7" count="1" selected="0">
            <x v="28"/>
          </reference>
          <reference field="8" count="1" selected="0">
            <x v="139"/>
          </reference>
          <reference field="15" count="1">
            <x v="147"/>
          </reference>
        </references>
      </pivotArea>
    </format>
    <format dxfId="3315">
      <pivotArea dataOnly="0" labelOnly="1" fieldPosition="0">
        <references count="5">
          <reference field="4" count="1" selected="0">
            <x v="8"/>
          </reference>
          <reference field="6" count="1" selected="0">
            <x v="2"/>
          </reference>
          <reference field="7" count="1" selected="0">
            <x v="32"/>
          </reference>
          <reference field="8" count="1" selected="0">
            <x v="158"/>
          </reference>
          <reference field="15" count="1">
            <x v="344"/>
          </reference>
        </references>
      </pivotArea>
    </format>
    <format dxfId="3314">
      <pivotArea dataOnly="0" labelOnly="1" fieldPosition="0">
        <references count="5">
          <reference field="4" count="1" selected="0">
            <x v="8"/>
          </reference>
          <reference field="6" count="1" selected="0">
            <x v="2"/>
          </reference>
          <reference field="7" count="1" selected="0">
            <x v="32"/>
          </reference>
          <reference field="8" count="1" selected="0">
            <x v="159"/>
          </reference>
          <reference field="15" count="1">
            <x v="137"/>
          </reference>
        </references>
      </pivotArea>
    </format>
    <format dxfId="3313">
      <pivotArea dataOnly="0" labelOnly="1" fieldPosition="0">
        <references count="5">
          <reference field="4" count="1" selected="0">
            <x v="8"/>
          </reference>
          <reference field="6" count="1" selected="0">
            <x v="3"/>
          </reference>
          <reference field="7" count="1" selected="0">
            <x v="6"/>
          </reference>
          <reference field="8" count="1" selected="0">
            <x v="29"/>
          </reference>
          <reference field="15" count="4">
            <x v="145"/>
            <x v="146"/>
            <x v="356"/>
            <x v="357"/>
          </reference>
        </references>
      </pivotArea>
    </format>
    <format dxfId="3312">
      <pivotArea dataOnly="0" labelOnly="1" fieldPosition="0">
        <references count="5">
          <reference field="4" count="1" selected="0">
            <x v="8"/>
          </reference>
          <reference field="6" count="1" selected="0">
            <x v="3"/>
          </reference>
          <reference field="7" count="1" selected="0">
            <x v="6"/>
          </reference>
          <reference field="8" count="1" selected="0">
            <x v="30"/>
          </reference>
          <reference field="15" count="2">
            <x v="267"/>
            <x v="268"/>
          </reference>
        </references>
      </pivotArea>
    </format>
    <format dxfId="3311">
      <pivotArea dataOnly="0" labelOnly="1" fieldPosition="0">
        <references count="5">
          <reference field="4" count="1" selected="0">
            <x v="9"/>
          </reference>
          <reference field="6" count="1" selected="0">
            <x v="1"/>
          </reference>
          <reference field="7" count="1" selected="0">
            <x v="25"/>
          </reference>
          <reference field="8" count="1" selected="0">
            <x v="115"/>
          </reference>
          <reference field="15" count="13">
            <x v="35"/>
            <x v="36"/>
            <x v="63"/>
            <x v="72"/>
            <x v="77"/>
            <x v="238"/>
            <x v="241"/>
            <x v="242"/>
            <x v="243"/>
            <x v="247"/>
            <x v="248"/>
            <x v="260"/>
            <x v="262"/>
          </reference>
        </references>
      </pivotArea>
    </format>
    <format dxfId="3310">
      <pivotArea dataOnly="0" labelOnly="1" fieldPosition="0">
        <references count="5">
          <reference field="4" count="1" selected="0">
            <x v="9"/>
          </reference>
          <reference field="6" count="1" selected="0">
            <x v="1"/>
          </reference>
          <reference field="7" count="1" selected="0">
            <x v="25"/>
          </reference>
          <reference field="8" count="1" selected="0">
            <x v="116"/>
          </reference>
          <reference field="15" count="1">
            <x v="61"/>
          </reference>
        </references>
      </pivotArea>
    </format>
    <format dxfId="3309">
      <pivotArea dataOnly="0" labelOnly="1" fieldPosition="0">
        <references count="5">
          <reference field="4" count="1" selected="0">
            <x v="9"/>
          </reference>
          <reference field="6" count="1" selected="0">
            <x v="1"/>
          </reference>
          <reference field="7" count="1" selected="0">
            <x v="25"/>
          </reference>
          <reference field="8" count="1" selected="0">
            <x v="117"/>
          </reference>
          <reference field="15" count="2">
            <x v="92"/>
            <x v="249"/>
          </reference>
        </references>
      </pivotArea>
    </format>
    <format dxfId="3308">
      <pivotArea dataOnly="0" labelOnly="1" fieldPosition="0">
        <references count="5">
          <reference field="4" count="1" selected="0">
            <x v="9"/>
          </reference>
          <reference field="6" count="1" selected="0">
            <x v="1"/>
          </reference>
          <reference field="7" count="1" selected="0">
            <x v="25"/>
          </reference>
          <reference field="8" count="1" selected="0">
            <x v="118"/>
          </reference>
          <reference field="15" count="3">
            <x v="71"/>
            <x v="87"/>
            <x v="91"/>
          </reference>
        </references>
      </pivotArea>
    </format>
    <format dxfId="3307">
      <pivotArea dataOnly="0" labelOnly="1" fieldPosition="0">
        <references count="5">
          <reference field="4" count="1" selected="0">
            <x v="9"/>
          </reference>
          <reference field="6" count="1" selected="0">
            <x v="1"/>
          </reference>
          <reference field="7" count="1" selected="0">
            <x v="25"/>
          </reference>
          <reference field="8" count="1" selected="0">
            <x v="119"/>
          </reference>
          <reference field="15" count="4">
            <x v="62"/>
            <x v="68"/>
            <x v="69"/>
            <x v="70"/>
          </reference>
        </references>
      </pivotArea>
    </format>
    <format dxfId="3306">
      <pivotArea dataOnly="0" labelOnly="1" fieldPosition="0">
        <references count="5">
          <reference field="4" count="1" selected="0">
            <x v="9"/>
          </reference>
          <reference field="6" count="1" selected="0">
            <x v="1"/>
          </reference>
          <reference field="7" count="1" selected="0">
            <x v="25"/>
          </reference>
          <reference field="8" count="1" selected="0">
            <x v="120"/>
          </reference>
          <reference field="15" count="1">
            <x v="85"/>
          </reference>
        </references>
      </pivotArea>
    </format>
    <format dxfId="3305">
      <pivotArea dataOnly="0" labelOnly="1" fieldPosition="0">
        <references count="5">
          <reference field="4" count="1" selected="0">
            <x v="9"/>
          </reference>
          <reference field="6" count="1" selected="0">
            <x v="1"/>
          </reference>
          <reference field="7" count="1" selected="0">
            <x v="25"/>
          </reference>
          <reference field="8" count="1" selected="0">
            <x v="121"/>
          </reference>
          <reference field="15" count="2">
            <x v="41"/>
            <x v="78"/>
          </reference>
        </references>
      </pivotArea>
    </format>
    <format dxfId="3304">
      <pivotArea dataOnly="0" labelOnly="1" fieldPosition="0">
        <references count="5">
          <reference field="4" count="1" selected="0">
            <x v="9"/>
          </reference>
          <reference field="6" count="1" selected="0">
            <x v="1"/>
          </reference>
          <reference field="7" count="1" selected="0">
            <x v="25"/>
          </reference>
          <reference field="8" count="1" selected="0">
            <x v="122"/>
          </reference>
          <reference field="15" count="2">
            <x v="38"/>
            <x v="39"/>
          </reference>
        </references>
      </pivotArea>
    </format>
    <format dxfId="3303">
      <pivotArea dataOnly="0" labelOnly="1" fieldPosition="0">
        <references count="5">
          <reference field="4" count="1" selected="0">
            <x v="9"/>
          </reference>
          <reference field="6" count="1" selected="0">
            <x v="1"/>
          </reference>
          <reference field="7" count="1" selected="0">
            <x v="25"/>
          </reference>
          <reference field="8" count="1" selected="0">
            <x v="123"/>
          </reference>
          <reference field="15" count="7">
            <x v="32"/>
            <x v="33"/>
            <x v="60"/>
            <x v="82"/>
            <x v="83"/>
            <x v="89"/>
            <x v="90"/>
          </reference>
        </references>
      </pivotArea>
    </format>
    <format dxfId="3302">
      <pivotArea dataOnly="0" labelOnly="1" fieldPosition="0">
        <references count="5">
          <reference field="4" count="1" selected="0">
            <x v="9"/>
          </reference>
          <reference field="6" count="1" selected="0">
            <x v="1"/>
          </reference>
          <reference field="7" count="1" selected="0">
            <x v="25"/>
          </reference>
          <reference field="8" count="1" selected="0">
            <x v="124"/>
          </reference>
          <reference field="15" count="1">
            <x v="261"/>
          </reference>
        </references>
      </pivotArea>
    </format>
    <format dxfId="3301">
      <pivotArea dataOnly="0" labelOnly="1" fieldPosition="0">
        <references count="5">
          <reference field="4" count="1" selected="0">
            <x v="10"/>
          </reference>
          <reference field="6" count="1" selected="0">
            <x v="3"/>
          </reference>
          <reference field="7" count="1" selected="0">
            <x v="6"/>
          </reference>
          <reference field="8" count="1" selected="0">
            <x v="29"/>
          </reference>
          <reference field="15" count="21">
            <x v="2"/>
            <x v="3"/>
            <x v="5"/>
            <x v="152"/>
            <x v="153"/>
            <x v="154"/>
            <x v="155"/>
            <x v="156"/>
            <x v="157"/>
            <x v="158"/>
            <x v="159"/>
            <x v="160"/>
            <x v="161"/>
            <x v="162"/>
            <x v="163"/>
            <x v="189"/>
            <x v="190"/>
            <x v="191"/>
            <x v="192"/>
            <x v="193"/>
            <x v="395"/>
          </reference>
        </references>
      </pivotArea>
    </format>
    <format dxfId="3300">
      <pivotArea dataOnly="0" labelOnly="1" fieldPosition="0">
        <references count="5">
          <reference field="4" count="1" selected="0">
            <x v="11"/>
          </reference>
          <reference field="6" count="1" selected="0">
            <x v="0"/>
          </reference>
          <reference field="7" count="1" selected="0">
            <x v="17"/>
          </reference>
          <reference field="8" count="1" selected="0">
            <x v="70"/>
          </reference>
          <reference field="15" count="4">
            <x v="345"/>
            <x v="346"/>
            <x v="347"/>
            <x v="351"/>
          </reference>
        </references>
      </pivotArea>
    </format>
    <format dxfId="3299">
      <pivotArea dataOnly="0" labelOnly="1" fieldPosition="0">
        <references count="5">
          <reference field="4" count="1" selected="0">
            <x v="11"/>
          </reference>
          <reference field="6" count="1" selected="0">
            <x v="0"/>
          </reference>
          <reference field="7" count="1" selected="0">
            <x v="17"/>
          </reference>
          <reference field="8" count="1" selected="0">
            <x v="71"/>
          </reference>
          <reference field="15" count="3">
            <x v="348"/>
            <x v="352"/>
            <x v="353"/>
          </reference>
        </references>
      </pivotArea>
    </format>
    <format dxfId="3298">
      <pivotArea dataOnly="0" labelOnly="1" fieldPosition="0">
        <references count="5">
          <reference field="4" count="1" selected="0">
            <x v="11"/>
          </reference>
          <reference field="6" count="1" selected="0">
            <x v="0"/>
          </reference>
          <reference field="7" count="1" selected="0">
            <x v="17"/>
          </reference>
          <reference field="8" count="1" selected="0">
            <x v="72"/>
          </reference>
          <reference field="15" count="3">
            <x v="143"/>
            <x v="349"/>
            <x v="350"/>
          </reference>
        </references>
      </pivotArea>
    </format>
    <format dxfId="3297">
      <pivotArea dataOnly="0" labelOnly="1" fieldPosition="0">
        <references count="5">
          <reference field="4" count="1" selected="0">
            <x v="12"/>
          </reference>
          <reference field="6" count="1" selected="0">
            <x v="0"/>
          </reference>
          <reference field="7" count="1" selected="0">
            <x v="18"/>
          </reference>
          <reference field="8" count="1" selected="0">
            <x v="74"/>
          </reference>
          <reference field="15" count="2">
            <x v="113"/>
            <x v="114"/>
          </reference>
        </references>
      </pivotArea>
    </format>
    <format dxfId="3296">
      <pivotArea dataOnly="0" labelOnly="1" fieldPosition="0">
        <references count="5">
          <reference field="4" count="1" selected="0">
            <x v="12"/>
          </reference>
          <reference field="6" count="1" selected="0">
            <x v="0"/>
          </reference>
          <reference field="7" count="1" selected="0">
            <x v="18"/>
          </reference>
          <reference field="8" count="1" selected="0">
            <x v="75"/>
          </reference>
          <reference field="15" count="1">
            <x v="116"/>
          </reference>
        </references>
      </pivotArea>
    </format>
    <format dxfId="3295">
      <pivotArea dataOnly="0" labelOnly="1" fieldPosition="0">
        <references count="5">
          <reference field="4" count="1" selected="0">
            <x v="12"/>
          </reference>
          <reference field="6" count="1" selected="0">
            <x v="0"/>
          </reference>
          <reference field="7" count="1" selected="0">
            <x v="18"/>
          </reference>
          <reference field="8" count="1" selected="0">
            <x v="76"/>
          </reference>
          <reference field="15" count="1">
            <x v="244"/>
          </reference>
        </references>
      </pivotArea>
    </format>
    <format dxfId="3294">
      <pivotArea dataOnly="0" labelOnly="1" fieldPosition="0">
        <references count="5">
          <reference field="4" count="1" selected="0">
            <x v="13"/>
          </reference>
          <reference field="6" count="1" selected="0">
            <x v="3"/>
          </reference>
          <reference field="7" count="1" selected="0">
            <x v="1"/>
          </reference>
          <reference field="8" count="1" selected="0">
            <x v="6"/>
          </reference>
          <reference field="15" count="1">
            <x v="340"/>
          </reference>
        </references>
      </pivotArea>
    </format>
    <format dxfId="3293">
      <pivotArea dataOnly="0" labelOnly="1" fieldPosition="0">
        <references count="5">
          <reference field="4" count="1" selected="0">
            <x v="13"/>
          </reference>
          <reference field="6" count="1" selected="0">
            <x v="3"/>
          </reference>
          <reference field="7" count="1" selected="0">
            <x v="5"/>
          </reference>
          <reference field="8" count="1" selected="0">
            <x v="22"/>
          </reference>
          <reference field="15" count="1">
            <x v="333"/>
          </reference>
        </references>
      </pivotArea>
    </format>
    <format dxfId="3292">
      <pivotArea dataOnly="0" labelOnly="1" fieldPosition="0">
        <references count="5">
          <reference field="4" count="1" selected="0">
            <x v="13"/>
          </reference>
          <reference field="6" count="1" selected="0">
            <x v="3"/>
          </reference>
          <reference field="7" count="1" selected="0">
            <x v="5"/>
          </reference>
          <reference field="8" count="1" selected="0">
            <x v="23"/>
          </reference>
          <reference field="15" count="1">
            <x v="332"/>
          </reference>
        </references>
      </pivotArea>
    </format>
    <format dxfId="3291">
      <pivotArea dataOnly="0" labelOnly="1" fieldPosition="0">
        <references count="5">
          <reference field="4" count="1" selected="0">
            <x v="13"/>
          </reference>
          <reference field="6" count="1" selected="0">
            <x v="3"/>
          </reference>
          <reference field="7" count="1" selected="0">
            <x v="5"/>
          </reference>
          <reference field="8" count="1" selected="0">
            <x v="24"/>
          </reference>
          <reference field="15" count="1">
            <x v="339"/>
          </reference>
        </references>
      </pivotArea>
    </format>
    <format dxfId="3290">
      <pivotArea dataOnly="0" labelOnly="1" fieldPosition="0">
        <references count="5">
          <reference field="4" count="1" selected="0">
            <x v="13"/>
          </reference>
          <reference field="6" count="1" selected="0">
            <x v="3"/>
          </reference>
          <reference field="7" count="1" selected="0">
            <x v="5"/>
          </reference>
          <reference field="8" count="1" selected="0">
            <x v="25"/>
          </reference>
          <reference field="15" count="1">
            <x v="342"/>
          </reference>
        </references>
      </pivotArea>
    </format>
    <format dxfId="3289">
      <pivotArea dataOnly="0" labelOnly="1" fieldPosition="0">
        <references count="5">
          <reference field="4" count="1" selected="0">
            <x v="13"/>
          </reference>
          <reference field="6" count="1" selected="0">
            <x v="3"/>
          </reference>
          <reference field="7" count="1" selected="0">
            <x v="5"/>
          </reference>
          <reference field="8" count="1" selected="0">
            <x v="26"/>
          </reference>
          <reference field="15" count="1">
            <x v="338"/>
          </reference>
        </references>
      </pivotArea>
    </format>
    <format dxfId="3288">
      <pivotArea dataOnly="0" labelOnly="1" fieldPosition="0">
        <references count="5">
          <reference field="4" count="1" selected="0">
            <x v="13"/>
          </reference>
          <reference field="6" count="1" selected="0">
            <x v="3"/>
          </reference>
          <reference field="7" count="1" selected="0">
            <x v="5"/>
          </reference>
          <reference field="8" count="1" selected="0">
            <x v="27"/>
          </reference>
          <reference field="15" count="1">
            <x v="341"/>
          </reference>
        </references>
      </pivotArea>
    </format>
    <format dxfId="3287">
      <pivotArea dataOnly="0" labelOnly="1" fieldPosition="0">
        <references count="5">
          <reference field="4" count="1" selected="0">
            <x v="14"/>
          </reference>
          <reference field="6" count="1" selected="0">
            <x v="1"/>
          </reference>
          <reference field="7" count="1" selected="0">
            <x v="26"/>
          </reference>
          <reference field="8" count="1" selected="0">
            <x v="125"/>
          </reference>
          <reference field="15" count="4">
            <x v="26"/>
            <x v="27"/>
            <x v="28"/>
            <x v="99"/>
          </reference>
        </references>
      </pivotArea>
    </format>
    <format dxfId="3286">
      <pivotArea dataOnly="0" labelOnly="1" fieldPosition="0">
        <references count="5">
          <reference field="4" count="1" selected="0">
            <x v="14"/>
          </reference>
          <reference field="6" count="1" selected="0">
            <x v="1"/>
          </reference>
          <reference field="7" count="1" selected="0">
            <x v="26"/>
          </reference>
          <reference field="8" count="1" selected="0">
            <x v="126"/>
          </reference>
          <reference field="15" count="1">
            <x v="19"/>
          </reference>
        </references>
      </pivotArea>
    </format>
    <format dxfId="3285">
      <pivotArea dataOnly="0" labelOnly="1" fieldPosition="0">
        <references count="5">
          <reference field="4" count="1" selected="0">
            <x v="14"/>
          </reference>
          <reference field="6" count="1" selected="0">
            <x v="1"/>
          </reference>
          <reference field="7" count="1" selected="0">
            <x v="26"/>
          </reference>
          <reference field="8" count="1" selected="0">
            <x v="127"/>
          </reference>
          <reference field="15" count="2">
            <x v="150"/>
            <x v="151"/>
          </reference>
        </references>
      </pivotArea>
    </format>
    <format dxfId="3284">
      <pivotArea dataOnly="0" labelOnly="1" fieldPosition="0">
        <references count="5">
          <reference field="4" count="1" selected="0">
            <x v="14"/>
          </reference>
          <reference field="6" count="1" selected="0">
            <x v="1"/>
          </reference>
          <reference field="7" count="1" selected="0">
            <x v="26"/>
          </reference>
          <reference field="8" count="1" selected="0">
            <x v="128"/>
          </reference>
          <reference field="15" count="2">
            <x v="29"/>
            <x v="30"/>
          </reference>
        </references>
      </pivotArea>
    </format>
    <format dxfId="3283">
      <pivotArea dataOnly="0" labelOnly="1" fieldPosition="0">
        <references count="5">
          <reference field="4" count="1" selected="0">
            <x v="14"/>
          </reference>
          <reference field="6" count="1" selected="0">
            <x v="1"/>
          </reference>
          <reference field="7" count="1" selected="0">
            <x v="26"/>
          </reference>
          <reference field="8" count="1" selected="0">
            <x v="129"/>
          </reference>
          <reference field="15" count="2">
            <x v="330"/>
            <x v="331"/>
          </reference>
        </references>
      </pivotArea>
    </format>
    <format dxfId="3282">
      <pivotArea dataOnly="0" labelOnly="1" fieldPosition="0">
        <references count="5">
          <reference field="4" count="1" selected="0">
            <x v="14"/>
          </reference>
          <reference field="6" count="1" selected="0">
            <x v="1"/>
          </reference>
          <reference field="7" count="1" selected="0">
            <x v="26"/>
          </reference>
          <reference field="8" count="1" selected="0">
            <x v="130"/>
          </reference>
          <reference field="15" count="2">
            <x v="367"/>
            <x v="368"/>
          </reference>
        </references>
      </pivotArea>
    </format>
    <format dxfId="3281">
      <pivotArea dataOnly="0" labelOnly="1" fieldPosition="0">
        <references count="5">
          <reference field="4" count="1" selected="0">
            <x v="14"/>
          </reference>
          <reference field="6" count="1" selected="0">
            <x v="1"/>
          </reference>
          <reference field="7" count="1" selected="0">
            <x v="26"/>
          </reference>
          <reference field="8" count="1" selected="0">
            <x v="131"/>
          </reference>
          <reference field="15" count="3">
            <x v="14"/>
            <x v="15"/>
            <x v="16"/>
          </reference>
        </references>
      </pivotArea>
    </format>
    <format dxfId="3280">
      <pivotArea dataOnly="0" labelOnly="1" fieldPosition="0">
        <references count="5">
          <reference field="4" count="1" selected="0">
            <x v="15"/>
          </reference>
          <reference field="6" count="1" selected="0">
            <x v="0"/>
          </reference>
          <reference field="7" count="1" selected="0">
            <x v="20"/>
          </reference>
          <reference field="8" count="1" selected="0">
            <x v="82"/>
          </reference>
          <reference field="15" count="2">
            <x v="73"/>
            <x v="74"/>
          </reference>
        </references>
      </pivotArea>
    </format>
    <format dxfId="3279">
      <pivotArea dataOnly="0" labelOnly="1" fieldPosition="0">
        <references count="5">
          <reference field="4" count="1" selected="0">
            <x v="15"/>
          </reference>
          <reference field="6" count="1" selected="0">
            <x v="0"/>
          </reference>
          <reference field="7" count="1" selected="0">
            <x v="20"/>
          </reference>
          <reference field="8" count="1" selected="0">
            <x v="83"/>
          </reference>
          <reference field="15" count="1">
            <x v="75"/>
          </reference>
        </references>
      </pivotArea>
    </format>
    <format dxfId="3278">
      <pivotArea dataOnly="0" labelOnly="1" fieldPosition="0">
        <references count="5">
          <reference field="4" count="1" selected="0">
            <x v="15"/>
          </reference>
          <reference field="6" count="1" selected="0">
            <x v="0"/>
          </reference>
          <reference field="7" count="1" selected="0">
            <x v="20"/>
          </reference>
          <reference field="8" count="1" selected="0">
            <x v="84"/>
          </reference>
          <reference field="15" count="1">
            <x v="76"/>
          </reference>
        </references>
      </pivotArea>
    </format>
    <format dxfId="3277">
      <pivotArea dataOnly="0" labelOnly="1" fieldPosition="0">
        <references count="5">
          <reference field="4" count="1" selected="0">
            <x v="15"/>
          </reference>
          <reference field="6" count="1" selected="0">
            <x v="0"/>
          </reference>
          <reference field="7" count="1" selected="0">
            <x v="20"/>
          </reference>
          <reference field="8" count="1" selected="0">
            <x v="85"/>
          </reference>
          <reference field="15" count="1">
            <x v="259"/>
          </reference>
        </references>
      </pivotArea>
    </format>
    <format dxfId="3276">
      <pivotArea dataOnly="0" labelOnly="1" fieldPosition="0">
        <references count="5">
          <reference field="4" count="1" selected="0">
            <x v="15"/>
          </reference>
          <reference field="6" count="1" selected="0">
            <x v="0"/>
          </reference>
          <reference field="7" count="1" selected="0">
            <x v="20"/>
          </reference>
          <reference field="8" count="1" selected="0">
            <x v="86"/>
          </reference>
          <reference field="15" count="3">
            <x v="132"/>
            <x v="133"/>
            <x v="134"/>
          </reference>
        </references>
      </pivotArea>
    </format>
    <format dxfId="3275">
      <pivotArea dataOnly="0" labelOnly="1" fieldPosition="0">
        <references count="5">
          <reference field="4" count="1" selected="0">
            <x v="16"/>
          </reference>
          <reference field="6" count="1" selected="0">
            <x v="1"/>
          </reference>
          <reference field="7" count="1" selected="0">
            <x v="27"/>
          </reference>
          <reference field="8" count="1" selected="0">
            <x v="132"/>
          </reference>
          <reference field="15" count="1">
            <x v="20"/>
          </reference>
        </references>
      </pivotArea>
    </format>
    <format dxfId="3274">
      <pivotArea dataOnly="0" labelOnly="1" fieldPosition="0">
        <references count="5">
          <reference field="4" count="1" selected="0">
            <x v="16"/>
          </reference>
          <reference field="6" count="1" selected="0">
            <x v="1"/>
          </reference>
          <reference field="7" count="1" selected="0">
            <x v="27"/>
          </reference>
          <reference field="8" count="1" selected="0">
            <x v="133"/>
          </reference>
          <reference field="15" count="3">
            <x v="21"/>
            <x v="22"/>
            <x v="23"/>
          </reference>
        </references>
      </pivotArea>
    </format>
    <format dxfId="3273">
      <pivotArea dataOnly="0" labelOnly="1" fieldPosition="0">
        <references count="5">
          <reference field="4" count="1" selected="0">
            <x v="16"/>
          </reference>
          <reference field="6" count="1" selected="0">
            <x v="1"/>
          </reference>
          <reference field="7" count="1" selected="0">
            <x v="27"/>
          </reference>
          <reference field="8" count="1" selected="0">
            <x v="134"/>
          </reference>
          <reference field="15" count="2">
            <x v="149"/>
            <x v="354"/>
          </reference>
        </references>
      </pivotArea>
    </format>
    <format dxfId="3272">
      <pivotArea dataOnly="0" labelOnly="1" fieldPosition="0">
        <references count="5">
          <reference field="4" count="1" selected="0">
            <x v="16"/>
          </reference>
          <reference field="6" count="1" selected="0">
            <x v="1"/>
          </reference>
          <reference field="7" count="1" selected="0">
            <x v="27"/>
          </reference>
          <reference field="8" count="1" selected="0">
            <x v="135"/>
          </reference>
          <reference field="15" count="2">
            <x v="109"/>
            <x v="363"/>
          </reference>
        </references>
      </pivotArea>
    </format>
    <format dxfId="3271">
      <pivotArea dataOnly="0" labelOnly="1" fieldPosition="0">
        <references count="5">
          <reference field="4" count="1" selected="0">
            <x v="16"/>
          </reference>
          <reference field="6" count="1" selected="0">
            <x v="1"/>
          </reference>
          <reference field="7" count="1" selected="0">
            <x v="27"/>
          </reference>
          <reference field="8" count="1" selected="0">
            <x v="136"/>
          </reference>
          <reference field="15" count="2">
            <x v="81"/>
            <x v="148"/>
          </reference>
        </references>
      </pivotArea>
    </format>
    <format dxfId="3270">
      <pivotArea dataOnly="0" labelOnly="1" fieldPosition="0">
        <references count="5">
          <reference field="4" count="1" selected="0">
            <x v="16"/>
          </reference>
          <reference field="6" count="1" selected="0">
            <x v="1"/>
          </reference>
          <reference field="7" count="1" selected="0">
            <x v="27"/>
          </reference>
          <reference field="8" count="1" selected="0">
            <x v="137"/>
          </reference>
          <reference field="15" count="2">
            <x v="111"/>
            <x v="112"/>
          </reference>
        </references>
      </pivotArea>
    </format>
    <format dxfId="3269">
      <pivotArea dataOnly="0" labelOnly="1" fieldPosition="0">
        <references count="5">
          <reference field="4" count="1" selected="0">
            <x v="16"/>
          </reference>
          <reference field="6" count="1" selected="0">
            <x v="3"/>
          </reference>
          <reference field="7" count="1" selected="0">
            <x v="1"/>
          </reference>
          <reference field="8" count="1" selected="0">
            <x v="6"/>
          </reference>
          <reference field="15" count="1">
            <x v="362"/>
          </reference>
        </references>
      </pivotArea>
    </format>
    <format dxfId="3268">
      <pivotArea dataOnly="0" labelOnly="1" fieldPosition="0">
        <references count="5">
          <reference field="4" count="1" selected="0">
            <x v="16"/>
          </reference>
          <reference field="6" count="1" selected="0">
            <x v="4"/>
          </reference>
          <reference field="7" count="1" selected="0">
            <x v="8"/>
          </reference>
          <reference field="8" count="1" selected="0">
            <x v="38"/>
          </reference>
          <reference field="15" count="1">
            <x v="229"/>
          </reference>
        </references>
      </pivotArea>
    </format>
    <format dxfId="3267">
      <pivotArea dataOnly="0" labelOnly="1" fieldPosition="0">
        <references count="5">
          <reference field="4" count="1" selected="0">
            <x v="16"/>
          </reference>
          <reference field="6" count="1" selected="0">
            <x v="4"/>
          </reference>
          <reference field="7" count="1" selected="0">
            <x v="11"/>
          </reference>
          <reference field="8" count="1" selected="0">
            <x v="48"/>
          </reference>
          <reference field="15" count="1">
            <x v="200"/>
          </reference>
        </references>
      </pivotArea>
    </format>
    <format dxfId="3266">
      <pivotArea dataOnly="0" labelOnly="1" fieldPosition="0">
        <references count="5">
          <reference field="4" count="1" selected="0">
            <x v="17"/>
          </reference>
          <reference field="6" count="1" selected="0">
            <x v="0"/>
          </reference>
          <reference field="7" count="1" selected="0">
            <x v="16"/>
          </reference>
          <reference field="8" count="1" selected="0">
            <x v="57"/>
          </reference>
          <reference field="15" count="5">
            <x v="110"/>
            <x v="284"/>
            <x v="285"/>
            <x v="294"/>
            <x v="295"/>
          </reference>
        </references>
      </pivotArea>
    </format>
    <format dxfId="3265">
      <pivotArea dataOnly="0" labelOnly="1" fieldPosition="0">
        <references count="5">
          <reference field="4" count="1" selected="0">
            <x v="17"/>
          </reference>
          <reference field="6" count="1" selected="0">
            <x v="0"/>
          </reference>
          <reference field="7" count="1" selected="0">
            <x v="16"/>
          </reference>
          <reference field="8" count="1" selected="0">
            <x v="58"/>
          </reference>
          <reference field="15" count="2">
            <x v="299"/>
            <x v="300"/>
          </reference>
        </references>
      </pivotArea>
    </format>
    <format dxfId="3264">
      <pivotArea dataOnly="0" labelOnly="1" fieldPosition="0">
        <references count="5">
          <reference field="4" count="1" selected="0">
            <x v="17"/>
          </reference>
          <reference field="6" count="1" selected="0">
            <x v="0"/>
          </reference>
          <reference field="7" count="1" selected="0">
            <x v="16"/>
          </reference>
          <reference field="8" count="1" selected="0">
            <x v="59"/>
          </reference>
          <reference field="15" count="2">
            <x v="94"/>
            <x v="95"/>
          </reference>
        </references>
      </pivotArea>
    </format>
    <format dxfId="3263">
      <pivotArea dataOnly="0" labelOnly="1" fieldPosition="0">
        <references count="5">
          <reference field="4" count="1" selected="0">
            <x v="17"/>
          </reference>
          <reference field="6" count="1" selected="0">
            <x v="0"/>
          </reference>
          <reference field="7" count="1" selected="0">
            <x v="16"/>
          </reference>
          <reference field="8" count="1" selected="0">
            <x v="60"/>
          </reference>
          <reference field="15" count="5">
            <x v="102"/>
            <x v="103"/>
            <x v="104"/>
            <x v="322"/>
            <x v="323"/>
          </reference>
        </references>
      </pivotArea>
    </format>
    <format dxfId="3262">
      <pivotArea dataOnly="0" labelOnly="1" fieldPosition="0">
        <references count="5">
          <reference field="4" count="1" selected="0">
            <x v="17"/>
          </reference>
          <reference field="6" count="1" selected="0">
            <x v="0"/>
          </reference>
          <reference field="7" count="1" selected="0">
            <x v="16"/>
          </reference>
          <reference field="8" count="1" selected="0">
            <x v="61"/>
          </reference>
          <reference field="15" count="2">
            <x v="296"/>
            <x v="297"/>
          </reference>
        </references>
      </pivotArea>
    </format>
    <format dxfId="3261">
      <pivotArea dataOnly="0" labelOnly="1" fieldPosition="0">
        <references count="5">
          <reference field="4" count="1" selected="0">
            <x v="17"/>
          </reference>
          <reference field="6" count="1" selected="0">
            <x v="0"/>
          </reference>
          <reference field="7" count="1" selected="0">
            <x v="16"/>
          </reference>
          <reference field="8" count="1" selected="0">
            <x v="62"/>
          </reference>
          <reference field="15" count="1">
            <x v="93"/>
          </reference>
        </references>
      </pivotArea>
    </format>
    <format dxfId="3260">
      <pivotArea dataOnly="0" labelOnly="1" fieldPosition="0">
        <references count="5">
          <reference field="4" count="1" selected="0">
            <x v="17"/>
          </reference>
          <reference field="6" count="1" selected="0">
            <x v="0"/>
          </reference>
          <reference field="7" count="1" selected="0">
            <x v="16"/>
          </reference>
          <reference field="8" count="1" selected="0">
            <x v="63"/>
          </reference>
          <reference field="15" count="2">
            <x v="315"/>
            <x v="316"/>
          </reference>
        </references>
      </pivotArea>
    </format>
    <format dxfId="3259">
      <pivotArea dataOnly="0" labelOnly="1" fieldPosition="0">
        <references count="5">
          <reference field="4" count="1" selected="0">
            <x v="17"/>
          </reference>
          <reference field="6" count="1" selected="0">
            <x v="0"/>
          </reference>
          <reference field="7" count="1" selected="0">
            <x v="22"/>
          </reference>
          <reference field="8" count="1" selected="0">
            <x v="94"/>
          </reference>
          <reference field="15" count="2">
            <x v="105"/>
            <x v="106"/>
          </reference>
        </references>
      </pivotArea>
    </format>
    <format dxfId="3258">
      <pivotArea dataOnly="0" labelOnly="1" fieldPosition="0">
        <references count="5">
          <reference field="4" count="1" selected="0">
            <x v="18"/>
          </reference>
          <reference field="6" count="1" selected="0">
            <x v="3"/>
          </reference>
          <reference field="7" count="1" selected="0">
            <x v="2"/>
          </reference>
          <reference field="8" count="1" selected="0">
            <x v="8"/>
          </reference>
          <reference field="15" count="2">
            <x v="375"/>
            <x v="376"/>
          </reference>
        </references>
      </pivotArea>
    </format>
    <format dxfId="3257">
      <pivotArea dataOnly="0" labelOnly="1" fieldPosition="0">
        <references count="5">
          <reference field="4" count="1" selected="0">
            <x v="18"/>
          </reference>
          <reference field="6" count="1" selected="0">
            <x v="3"/>
          </reference>
          <reference field="7" count="1" selected="0">
            <x v="2"/>
          </reference>
          <reference field="8" count="1" selected="0">
            <x v="9"/>
          </reference>
          <reference field="15" count="1">
            <x v="266"/>
          </reference>
        </references>
      </pivotArea>
    </format>
    <format dxfId="3256">
      <pivotArea dataOnly="0" labelOnly="1" fieldPosition="0">
        <references count="5">
          <reference field="4" count="1" selected="0">
            <x v="18"/>
          </reference>
          <reference field="6" count="1" selected="0">
            <x v="3"/>
          </reference>
          <reference field="7" count="1" selected="0">
            <x v="2"/>
          </reference>
          <reference field="8" count="1" selected="0">
            <x v="16"/>
          </reference>
          <reference field="15" count="2">
            <x v="271"/>
            <x v="272"/>
          </reference>
        </references>
      </pivotArea>
    </format>
    <format dxfId="3255">
      <pivotArea dataOnly="0" labelOnly="1" fieldPosition="0">
        <references count="5">
          <reference field="4" count="1" selected="0">
            <x v="18"/>
          </reference>
          <reference field="6" count="1" selected="0">
            <x v="3"/>
          </reference>
          <reference field="7" count="1" selected="0">
            <x v="2"/>
          </reference>
          <reference field="8" count="1" selected="0">
            <x v="17"/>
          </reference>
          <reference field="15" count="3">
            <x v="286"/>
            <x v="287"/>
            <x v="288"/>
          </reference>
        </references>
      </pivotArea>
    </format>
    <format dxfId="3254">
      <pivotArea dataOnly="0" labelOnly="1" fieldPosition="0">
        <references count="5">
          <reference field="4" count="1" selected="0">
            <x v="19"/>
          </reference>
          <reference field="6" count="1" selected="0">
            <x v="3"/>
          </reference>
          <reference field="7" count="1" selected="0">
            <x v="6"/>
          </reference>
          <reference field="8" count="1" selected="0">
            <x v="29"/>
          </reference>
          <reference field="15" count="24">
            <x v="4"/>
            <x v="168"/>
            <x v="169"/>
            <x v="170"/>
            <x v="171"/>
            <x v="172"/>
            <x v="173"/>
            <x v="174"/>
            <x v="183"/>
            <x v="184"/>
            <x v="185"/>
            <x v="186"/>
            <x v="187"/>
            <x v="188"/>
            <x v="194"/>
            <x v="195"/>
            <x v="196"/>
            <x v="197"/>
            <x v="198"/>
            <x v="199"/>
            <x v="203"/>
            <x v="204"/>
            <x v="223"/>
            <x v="258"/>
          </reference>
        </references>
      </pivotArea>
    </format>
    <format dxfId="3253">
      <pivotArea dataOnly="0" labelOnly="1" fieldPosition="0">
        <references count="5">
          <reference field="4" count="1" selected="0">
            <x v="20"/>
          </reference>
          <reference field="6" count="1" selected="0">
            <x v="1"/>
          </reference>
          <reference field="7" count="1" selected="0">
            <x v="24"/>
          </reference>
          <reference field="8" count="1" selected="0">
            <x v="106"/>
          </reference>
          <reference field="15" count="2">
            <x v="239"/>
            <x v="240"/>
          </reference>
        </references>
      </pivotArea>
    </format>
    <format dxfId="3252">
      <pivotArea dataOnly="0" labelOnly="1" outline="0" fieldPosition="0">
        <references count="1">
          <reference field="4294967294" count="2">
            <x v="7"/>
            <x v="8"/>
          </reference>
        </references>
      </pivotArea>
    </format>
    <format dxfId="3251">
      <pivotArea outline="0" collapsedLevelsAreSubtotals="1" fieldPosition="0"/>
    </format>
    <format dxfId="3250">
      <pivotArea dataOnly="0" labelOnly="1" outline="0" fieldPosition="0">
        <references count="1">
          <reference field="2" count="0"/>
        </references>
      </pivotArea>
    </format>
    <format dxfId="3249">
      <pivotArea dataOnly="0" labelOnly="1" outline="0" fieldPosition="0">
        <references count="1">
          <reference field="4294967294" count="9">
            <x v="0"/>
            <x v="1"/>
            <x v="2"/>
            <x v="3"/>
            <x v="4"/>
            <x v="5"/>
            <x v="6"/>
            <x v="7"/>
            <x v="8"/>
          </reference>
        </references>
      </pivotArea>
    </format>
    <format dxfId="3248">
      <pivotArea type="all" dataOnly="0" outline="0" fieldPosition="0"/>
    </format>
    <format dxfId="3247">
      <pivotArea outline="0" collapsedLevelsAreSubtotals="1" fieldPosition="0"/>
    </format>
    <format dxfId="3246">
      <pivotArea field="4" type="button" dataOnly="0" labelOnly="1" outline="0" axis="axisRow" fieldPosition="0"/>
    </format>
    <format dxfId="3245">
      <pivotArea dataOnly="0" labelOnly="1" fieldPosition="0">
        <references count="1">
          <reference field="4" count="1">
            <x v="11"/>
          </reference>
        </references>
      </pivotArea>
    </format>
    <format dxfId="3244">
      <pivotArea dataOnly="0" labelOnly="1" grandRow="1" outline="0" fieldPosition="0"/>
    </format>
    <format dxfId="3243">
      <pivotArea dataOnly="0" labelOnly="1" fieldPosition="0">
        <references count="2">
          <reference field="4" count="1" selected="0">
            <x v="11"/>
          </reference>
          <reference field="6" count="1">
            <x v="0"/>
          </reference>
        </references>
      </pivotArea>
    </format>
    <format dxfId="3242">
      <pivotArea dataOnly="0" labelOnly="1" fieldPosition="0">
        <references count="3">
          <reference field="4" count="1" selected="0">
            <x v="11"/>
          </reference>
          <reference field="6" count="1" selected="0">
            <x v="0"/>
          </reference>
          <reference field="7" count="1">
            <x v="17"/>
          </reference>
        </references>
      </pivotArea>
    </format>
    <format dxfId="3241">
      <pivotArea dataOnly="0" labelOnly="1" fieldPosition="0">
        <references count="4">
          <reference field="4" count="1" selected="0">
            <x v="11"/>
          </reference>
          <reference field="6" count="1" selected="0">
            <x v="0"/>
          </reference>
          <reference field="7" count="1" selected="0">
            <x v="17"/>
          </reference>
          <reference field="8" count="3">
            <x v="70"/>
            <x v="71"/>
            <x v="72"/>
          </reference>
        </references>
      </pivotArea>
    </format>
    <format dxfId="3240">
      <pivotArea dataOnly="0" labelOnly="1" fieldPosition="0">
        <references count="5">
          <reference field="4" count="1" selected="0">
            <x v="11"/>
          </reference>
          <reference field="6" count="1" selected="0">
            <x v="0"/>
          </reference>
          <reference field="7" count="1" selected="0">
            <x v="17"/>
          </reference>
          <reference field="8" count="1" selected="0">
            <x v="70"/>
          </reference>
          <reference field="15" count="4">
            <x v="345"/>
            <x v="346"/>
            <x v="347"/>
            <x v="351"/>
          </reference>
        </references>
      </pivotArea>
    </format>
    <format dxfId="3239">
      <pivotArea dataOnly="0" labelOnly="1" fieldPosition="0">
        <references count="5">
          <reference field="4" count="1" selected="0">
            <x v="11"/>
          </reference>
          <reference field="6" count="1" selected="0">
            <x v="0"/>
          </reference>
          <reference field="7" count="1" selected="0">
            <x v="17"/>
          </reference>
          <reference field="8" count="1" selected="0">
            <x v="71"/>
          </reference>
          <reference field="15" count="3">
            <x v="348"/>
            <x v="352"/>
            <x v="353"/>
          </reference>
        </references>
      </pivotArea>
    </format>
    <format dxfId="3238">
      <pivotArea dataOnly="0" labelOnly="1" fieldPosition="0">
        <references count="5">
          <reference field="4" count="1" selected="0">
            <x v="11"/>
          </reference>
          <reference field="6" count="1" selected="0">
            <x v="0"/>
          </reference>
          <reference field="7" count="1" selected="0">
            <x v="17"/>
          </reference>
          <reference field="8" count="1" selected="0">
            <x v="72"/>
          </reference>
          <reference field="15" count="3">
            <x v="143"/>
            <x v="349"/>
            <x v="350"/>
          </reference>
        </references>
      </pivotArea>
    </format>
    <format dxfId="3237">
      <pivotArea dataOnly="0" labelOnly="1" outline="0" fieldPosition="0">
        <references count="1">
          <reference field="4294967294" count="9">
            <x v="0"/>
            <x v="1"/>
            <x v="2"/>
            <x v="3"/>
            <x v="4"/>
            <x v="5"/>
            <x v="6"/>
            <x v="7"/>
            <x v="8"/>
          </reference>
        </references>
      </pivotArea>
    </format>
    <format dxfId="3236">
      <pivotArea outline="0" collapsedLevelsAreSubtotals="1" fieldPosition="0">
        <references count="1">
          <reference field="4294967294" count="2" selected="0">
            <x v="7"/>
            <x v="8"/>
          </reference>
        </references>
      </pivotArea>
    </format>
    <format dxfId="3235">
      <pivotArea dataOnly="0" labelOnly="1" outline="0" fieldPosition="0">
        <references count="1">
          <reference field="4294967294" count="2">
            <x v="7"/>
            <x v="8"/>
          </reference>
        </references>
      </pivotArea>
    </format>
    <format dxfId="3234">
      <pivotArea outline="0" collapsedLevelsAreSubtotals="1" fieldPosition="0">
        <references count="1">
          <reference field="4294967294" count="2" selected="0">
            <x v="7"/>
            <x v="8"/>
          </reference>
        </references>
      </pivotArea>
    </format>
    <format dxfId="3233">
      <pivotArea field="4" type="button" dataOnly="0" labelOnly="1" outline="0" axis="axisRow" fieldPosition="0"/>
    </format>
    <format dxfId="3232">
      <pivotArea dataOnly="0" labelOnly="1" outline="0" fieldPosition="0">
        <references count="1">
          <reference field="4294967294" count="9">
            <x v="0"/>
            <x v="1"/>
            <x v="2"/>
            <x v="3"/>
            <x v="4"/>
            <x v="5"/>
            <x v="6"/>
            <x v="7"/>
            <x v="8"/>
          </reference>
        </references>
      </pivotArea>
    </format>
    <format dxfId="3231">
      <pivotArea field="4" type="button" dataOnly="0" labelOnly="1" outline="0" axis="axisRow" fieldPosition="0"/>
    </format>
    <format dxfId="3230">
      <pivotArea dataOnly="0" labelOnly="1" outline="0" fieldPosition="0">
        <references count="1">
          <reference field="4294967294" count="9">
            <x v="0"/>
            <x v="1"/>
            <x v="2"/>
            <x v="3"/>
            <x v="4"/>
            <x v="5"/>
            <x v="6"/>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9" cacheId="2" applyNumberFormats="0" applyBorderFormats="0" applyFontFormats="0" applyPatternFormats="0" applyAlignmentFormats="0" applyWidthHeightFormats="1" dataCaption="Valores" grandTotalCaption="TOTAL " updatedVersion="8" minRefreshableVersion="3" useAutoFormatting="1" itemPrintTitles="1" createdVersion="8" indent="0" outline="1" outlineData="1" multipleFieldFilters="0" rowHeaderCaption="UNIDAD EJECUTORA">
  <location ref="A3:J14" firstHeaderRow="0" firstDataRow="1" firstDataCol="1" rowPageCount="1" colPageCount="1"/>
  <pivotFields count="33">
    <pivotField showAll="0"/>
    <pivotField showAll="0"/>
    <pivotField axis="axisPage" showAll="0">
      <items count="22">
        <item x="4"/>
        <item x="3"/>
        <item x="14"/>
        <item x="0"/>
        <item x="13"/>
        <item x="17"/>
        <item x="7"/>
        <item x="9"/>
        <item x="15"/>
        <item x="8"/>
        <item x="1"/>
        <item x="16"/>
        <item x="12"/>
        <item x="20"/>
        <item x="5"/>
        <item x="10"/>
        <item x="6"/>
        <item x="11"/>
        <item x="19"/>
        <item x="2"/>
        <item x="18"/>
        <item t="default"/>
      </items>
    </pivotField>
    <pivotField showAll="0"/>
    <pivotField axis="axisRow" showAll="0">
      <items count="22">
        <item x="4"/>
        <item x="3"/>
        <item x="14"/>
        <item x="0"/>
        <item x="13"/>
        <item x="17"/>
        <item x="7"/>
        <item x="9"/>
        <item x="15"/>
        <item x="8"/>
        <item x="1"/>
        <item x="16"/>
        <item x="12"/>
        <item x="20"/>
        <item x="5"/>
        <item x="10"/>
        <item x="6"/>
        <item x="11"/>
        <item x="19"/>
        <item x="2"/>
        <item x="18"/>
        <item t="default"/>
      </items>
    </pivotField>
    <pivotField numFmtId="1" showAll="0"/>
    <pivotField axis="axisRow" showAll="0">
      <items count="6">
        <item x="1"/>
        <item x="2"/>
        <item x="3"/>
        <item x="0"/>
        <item x="4"/>
        <item t="default"/>
      </items>
    </pivotField>
    <pivotField axis="axisRow" showAll="0">
      <items count="34">
        <item x="19"/>
        <item x="27"/>
        <item x="1"/>
        <item x="2"/>
        <item x="8"/>
        <item x="30"/>
        <item x="0"/>
        <item x="32"/>
        <item x="25"/>
        <item x="29"/>
        <item x="12"/>
        <item x="15"/>
        <item x="13"/>
        <item x="28"/>
        <item x="23"/>
        <item x="31"/>
        <item x="16"/>
        <item x="10"/>
        <item x="18"/>
        <item x="3"/>
        <item x="14"/>
        <item x="20"/>
        <item x="17"/>
        <item x="9"/>
        <item x="6"/>
        <item x="7"/>
        <item x="4"/>
        <item x="5"/>
        <item x="24"/>
        <item x="11"/>
        <item x="21"/>
        <item x="26"/>
        <item x="22"/>
        <item t="default"/>
      </items>
    </pivotField>
    <pivotField axis="axisRow" showAll="0">
      <items count="161">
        <item x="62"/>
        <item x="155"/>
        <item x="112"/>
        <item x="156"/>
        <item x="118"/>
        <item x="154"/>
        <item x="140"/>
        <item x="60"/>
        <item x="153"/>
        <item x="102"/>
        <item x="7"/>
        <item x="2"/>
        <item x="52"/>
        <item x="1"/>
        <item x="22"/>
        <item x="151"/>
        <item x="105"/>
        <item x="114"/>
        <item x="82"/>
        <item x="3"/>
        <item x="15"/>
        <item x="49"/>
        <item x="135"/>
        <item x="134"/>
        <item x="139"/>
        <item x="142"/>
        <item x="138"/>
        <item x="141"/>
        <item x="128"/>
        <item x="0"/>
        <item x="103"/>
        <item x="159"/>
        <item x="150"/>
        <item x="86"/>
        <item x="152"/>
        <item x="137"/>
        <item x="110"/>
        <item x="79"/>
        <item x="80"/>
        <item x="83"/>
        <item x="126"/>
        <item x="131"/>
        <item x="132"/>
        <item x="129"/>
        <item x="28"/>
        <item x="27"/>
        <item x="29"/>
        <item x="26"/>
        <item x="43"/>
        <item x="42"/>
        <item x="32"/>
        <item x="122"/>
        <item x="124"/>
        <item x="123"/>
        <item x="111"/>
        <item x="69"/>
        <item x="136"/>
        <item x="55"/>
        <item x="119"/>
        <item x="46"/>
        <item x="50"/>
        <item x="117"/>
        <item x="45"/>
        <item x="127"/>
        <item x="106"/>
        <item x="53"/>
        <item x="147"/>
        <item x="146"/>
        <item x="38"/>
        <item x="20"/>
        <item x="144"/>
        <item x="145"/>
        <item x="74"/>
        <item x="89"/>
        <item x="57"/>
        <item x="59"/>
        <item x="88"/>
        <item x="108"/>
        <item x="85"/>
        <item x="5"/>
        <item x="4"/>
        <item x="81"/>
        <item x="35"/>
        <item x="36"/>
        <item x="37"/>
        <item x="98"/>
        <item x="67"/>
        <item x="63"/>
        <item x="116"/>
        <item x="125"/>
        <item x="157"/>
        <item x="101"/>
        <item x="66"/>
        <item x="149"/>
        <item x="51"/>
        <item x="90"/>
        <item x="91"/>
        <item x="97"/>
        <item x="21"/>
        <item x="94"/>
        <item x="93"/>
        <item x="95"/>
        <item x="18"/>
        <item x="92"/>
        <item x="96"/>
        <item x="11"/>
        <item x="87"/>
        <item x="61"/>
        <item x="48"/>
        <item x="47"/>
        <item x="58"/>
        <item x="130"/>
        <item x="39"/>
        <item x="33"/>
        <item x="100"/>
        <item x="16"/>
        <item x="30"/>
        <item x="44"/>
        <item x="34"/>
        <item x="31"/>
        <item x="41"/>
        <item x="19"/>
        <item x="17"/>
        <item x="14"/>
        <item x="99"/>
        <item x="12"/>
        <item x="8"/>
        <item x="78"/>
        <item x="13"/>
        <item x="133"/>
        <item x="148"/>
        <item x="6"/>
        <item x="9"/>
        <item x="10"/>
        <item x="77"/>
        <item x="54"/>
        <item x="40"/>
        <item x="56"/>
        <item x="104"/>
        <item x="76"/>
        <item x="25"/>
        <item x="109"/>
        <item x="113"/>
        <item x="115"/>
        <item x="24"/>
        <item x="23"/>
        <item x="70"/>
        <item x="64"/>
        <item x="73"/>
        <item x="71"/>
        <item x="75"/>
        <item x="158"/>
        <item x="65"/>
        <item x="72"/>
        <item x="107"/>
        <item x="84"/>
        <item x="121"/>
        <item x="120"/>
        <item x="143"/>
        <item x="68"/>
        <item t="default"/>
      </items>
    </pivotField>
    <pivotField showAll="0"/>
    <pivotField showAll="0"/>
    <pivotField showAll="0"/>
    <pivotField showAll="0"/>
    <pivotField showAll="0"/>
    <pivotField showAll="0"/>
    <pivotField axis="axisRow" showAll="0">
      <items count="402">
        <item x="1"/>
        <item x="0"/>
        <item x="3"/>
        <item x="2"/>
        <item x="4"/>
        <item x="5"/>
        <item x="6"/>
        <item x="8"/>
        <item x="7"/>
        <item x="9"/>
        <item x="11"/>
        <item x="10"/>
        <item x="12"/>
        <item x="13"/>
        <item x="16"/>
        <item x="15"/>
        <item x="14"/>
        <item x="18"/>
        <item x="17"/>
        <item x="19"/>
        <item x="20"/>
        <item x="21"/>
        <item x="22"/>
        <item x="23"/>
        <item x="25"/>
        <item x="24"/>
        <item x="27"/>
        <item x="26"/>
        <item x="28"/>
        <item x="29"/>
        <item x="30"/>
        <item x="31"/>
        <item x="32"/>
        <item x="33"/>
        <item x="34"/>
        <item x="35"/>
        <item x="36"/>
        <item x="37"/>
        <item x="38"/>
        <item x="39"/>
        <item x="40"/>
        <item x="41"/>
        <item x="42"/>
        <item x="43"/>
        <item x="44"/>
        <item x="45"/>
        <item x="46"/>
        <item x="47"/>
        <item x="48"/>
        <item x="49"/>
        <item x="50"/>
        <item x="51"/>
        <item x="52"/>
        <item x="53"/>
        <item x="54"/>
        <item x="55"/>
        <item x="56"/>
        <item x="58"/>
        <item x="57"/>
        <item x="59"/>
        <item x="60"/>
        <item x="61"/>
        <item x="62"/>
        <item x="63"/>
        <item x="65"/>
        <item x="64"/>
        <item x="66"/>
        <item x="67"/>
        <item x="68"/>
        <item x="69"/>
        <item x="70"/>
        <item x="71"/>
        <item x="72"/>
        <item x="74"/>
        <item x="73"/>
        <item x="75"/>
        <item x="76"/>
        <item x="77"/>
        <item x="78"/>
        <item x="79"/>
        <item x="80"/>
        <item x="81"/>
        <item x="82"/>
        <item x="83"/>
        <item x="84"/>
        <item x="85"/>
        <item x="86"/>
        <item x="87"/>
        <item x="88"/>
        <item x="89"/>
        <item x="90"/>
        <item x="91"/>
        <item x="92"/>
        <item x="93"/>
        <item x="95"/>
        <item x="94"/>
        <item x="96"/>
        <item x="97"/>
        <item x="98"/>
        <item x="99"/>
        <item x="101"/>
        <item x="100"/>
        <item x="103"/>
        <item x="102"/>
        <item x="104"/>
        <item x="105"/>
        <item x="106"/>
        <item x="107"/>
        <item x="108"/>
        <item x="109"/>
        <item x="110"/>
        <item x="111"/>
        <item x="112"/>
        <item x="114"/>
        <item x="113"/>
        <item x="115"/>
        <item x="116"/>
        <item x="117"/>
        <item x="118"/>
        <item x="119"/>
        <item x="122"/>
        <item x="120"/>
        <item x="121"/>
        <item x="123"/>
        <item x="124"/>
        <item x="125"/>
        <item x="126"/>
        <item x="127"/>
        <item x="129"/>
        <item x="128"/>
        <item x="130"/>
        <item x="131"/>
        <item x="132"/>
        <item x="133"/>
        <item x="134"/>
        <item x="135"/>
        <item x="136"/>
        <item x="137"/>
        <item x="138"/>
        <item x="139"/>
        <item x="140"/>
        <item x="141"/>
        <item x="142"/>
        <item x="143"/>
        <item x="144"/>
        <item x="145"/>
        <item x="146"/>
        <item x="147"/>
        <item x="148"/>
        <item x="149"/>
        <item x="151"/>
        <item x="150"/>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3"/>
        <item x="192"/>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4"/>
        <item x="233"/>
        <item x="235"/>
        <item x="236"/>
        <item x="237"/>
        <item x="238"/>
        <item x="239"/>
        <item x="240"/>
        <item x="241"/>
        <item x="242"/>
        <item x="243"/>
        <item x="244"/>
        <item x="246"/>
        <item x="245"/>
        <item x="247"/>
        <item x="248"/>
        <item x="249"/>
        <item x="250"/>
        <item x="251"/>
        <item x="252"/>
        <item x="253"/>
        <item x="254"/>
        <item x="255"/>
        <item x="256"/>
        <item x="257"/>
        <item x="258"/>
        <item x="259"/>
        <item x="260"/>
        <item x="261"/>
        <item x="262"/>
        <item x="263"/>
        <item x="264"/>
        <item x="265"/>
        <item x="266"/>
        <item x="268"/>
        <item x="267"/>
        <item x="269"/>
        <item x="270"/>
        <item x="271"/>
        <item x="272"/>
        <item x="273"/>
        <item x="274"/>
        <item x="275"/>
        <item x="277"/>
        <item x="276"/>
        <item x="278"/>
        <item x="279"/>
        <item x="280"/>
        <item x="281"/>
        <item x="282"/>
        <item x="283"/>
        <item x="285"/>
        <item x="284"/>
        <item x="288"/>
        <item x="286"/>
        <item x="287"/>
        <item x="289"/>
        <item x="290"/>
        <item x="291"/>
        <item x="292"/>
        <item x="293"/>
        <item x="294"/>
        <item x="295"/>
        <item x="297"/>
        <item x="296"/>
        <item x="298"/>
        <item x="299"/>
        <item x="300"/>
        <item x="301"/>
        <item x="302"/>
        <item x="303"/>
        <item x="304"/>
        <item x="305"/>
        <item x="306"/>
        <item x="307"/>
        <item x="308"/>
        <item x="309"/>
        <item x="310"/>
        <item x="311"/>
        <item x="312"/>
        <item x="313"/>
        <item x="314"/>
        <item x="316"/>
        <item x="315"/>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7"/>
        <item x="346"/>
        <item x="348"/>
        <item x="349"/>
        <item x="350"/>
        <item x="351"/>
        <item x="352"/>
        <item x="353"/>
        <item x="354"/>
        <item x="355"/>
        <item x="357"/>
        <item x="356"/>
        <item x="358"/>
        <item x="360"/>
        <item x="359"/>
        <item x="361"/>
        <item x="362"/>
        <item x="363"/>
        <item x="364"/>
        <item x="365"/>
        <item x="366"/>
        <item x="368"/>
        <item x="367"/>
        <item x="369"/>
        <item x="370"/>
        <item x="371"/>
        <item x="372"/>
        <item x="373"/>
        <item x="374"/>
        <item x="376"/>
        <item x="375"/>
        <item x="377"/>
        <item x="378"/>
        <item x="379"/>
        <item x="380"/>
        <item x="381"/>
        <item x="382"/>
        <item x="383"/>
        <item x="384"/>
        <item x="385"/>
        <item x="386"/>
        <item x="387"/>
        <item x="389"/>
        <item x="388"/>
        <item x="390"/>
        <item x="391"/>
        <item x="392"/>
        <item x="393"/>
        <item x="394"/>
        <item x="395"/>
        <item x="396"/>
        <item x="397"/>
        <item x="398"/>
        <item x="399"/>
        <item x="400"/>
        <item t="default"/>
      </items>
    </pivotField>
    <pivotField showAll="0"/>
    <pivotField showAll="0"/>
    <pivotField dataField="1" numFmtId="43" showAll="0"/>
    <pivotField numFmtId="43" showAll="0"/>
    <pivotField dataField="1" numFmtId="43" showAll="0"/>
    <pivotField numFmtId="43" showAll="0"/>
    <pivotField numFmtId="43" showAll="0"/>
    <pivotField dataField="1" numFmtId="43" showAll="0"/>
    <pivotField numFmtId="43" showAll="0"/>
    <pivotField dataField="1" numFmtId="43" showAll="0"/>
    <pivotField numFmtId="43" showAll="0"/>
    <pivotField numFmtId="43" showAll="0"/>
    <pivotField dataField="1" numFmtId="43" showAl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5">
    <field x="4"/>
    <field x="6"/>
    <field x="7"/>
    <field x="8"/>
    <field x="15"/>
  </rowFields>
  <rowItems count="11">
    <i>
      <x v="12"/>
    </i>
    <i r="1">
      <x/>
    </i>
    <i r="2">
      <x v="18"/>
    </i>
    <i r="3">
      <x v="74"/>
    </i>
    <i r="4">
      <x v="113"/>
    </i>
    <i r="4">
      <x v="114"/>
    </i>
    <i r="3">
      <x v="75"/>
    </i>
    <i r="4">
      <x v="116"/>
    </i>
    <i r="3">
      <x v="76"/>
    </i>
    <i r="4">
      <x v="244"/>
    </i>
    <i t="grand">
      <x/>
    </i>
  </rowItems>
  <colFields count="1">
    <field x="-2"/>
  </colFields>
  <colItems count="9">
    <i>
      <x/>
    </i>
    <i i="1">
      <x v="1"/>
    </i>
    <i i="2">
      <x v="2"/>
    </i>
    <i i="3">
      <x v="3"/>
    </i>
    <i i="4">
      <x v="4"/>
    </i>
    <i i="5">
      <x v="5"/>
    </i>
    <i i="6">
      <x v="6"/>
    </i>
    <i i="7">
      <x v="7"/>
    </i>
    <i i="8">
      <x v="8"/>
    </i>
  </colItems>
  <pageFields count="1">
    <pageField fld="2" item="12" hier="-1"/>
  </pageFields>
  <dataFields count="9">
    <dataField name="PPTO INICIAL" fld="18" baseField="4" baseItem="0"/>
    <dataField name="PPTO VIGENTE" fld="20" baseField="4" baseItem="0"/>
    <dataField name="COMPROMISOS." fld="23" baseField="4" baseItem="0"/>
    <dataField name="GIROS." fld="25" baseField="4" baseItem="0"/>
    <dataField name="PAGOS " fld="28" baseField="4" baseItem="0"/>
    <dataField name=" SALDO APROPIACIÓN CDP" fld="29" baseField="4" baseItem="0" numFmtId="43"/>
    <dataField name="SALDO APROPIACIÓN RP" fld="30" baseField="4" baseItem="0" numFmtId="43"/>
    <dataField name="Suma de % CDP" fld="31" baseField="0" baseItem="0" numFmtId="43"/>
    <dataField name="Suma de % RP" fld="32" baseField="0" baseItem="0" numFmtId="43"/>
  </dataFields>
  <formats count="321">
    <format dxfId="3229">
      <pivotArea dataOnly="0" labelOnly="1" fieldPosition="0">
        <references count="1">
          <reference field="4" count="0"/>
        </references>
      </pivotArea>
    </format>
    <format dxfId="3228">
      <pivotArea dataOnly="0" labelOnly="1" fieldPosition="0">
        <references count="1">
          <reference field="4" count="1">
            <x v="0"/>
          </reference>
        </references>
      </pivotArea>
    </format>
    <format dxfId="3227">
      <pivotArea dataOnly="0" labelOnly="1" fieldPosition="0">
        <references count="1">
          <reference field="6" count="0"/>
        </references>
      </pivotArea>
    </format>
    <format dxfId="3226">
      <pivotArea dataOnly="0" labelOnly="1" fieldPosition="0">
        <references count="1">
          <reference field="7" count="0"/>
        </references>
      </pivotArea>
    </format>
    <format dxfId="3225">
      <pivotArea dataOnly="0" labelOnly="1" fieldPosition="0">
        <references count="1">
          <reference field="7" count="0"/>
        </references>
      </pivotArea>
    </format>
    <format dxfId="3224">
      <pivotArea dataOnly="0" labelOnly="1" fieldPosition="0">
        <references count="1">
          <reference field="8" count="0"/>
        </references>
      </pivotArea>
    </format>
    <format dxfId="3223">
      <pivotArea outline="0" collapsedLevelsAreSubtotals="1" fieldPosition="0"/>
    </format>
    <format dxfId="3222">
      <pivotArea dataOnly="0" labelOnly="1" outline="0" fieldPosition="0">
        <references count="1">
          <reference field="2" count="0"/>
        </references>
      </pivotArea>
    </format>
    <format dxfId="3221">
      <pivotArea dataOnly="0" labelOnly="1" outline="0" fieldPosition="0">
        <references count="1">
          <reference field="4294967294" count="9">
            <x v="0"/>
            <x v="1"/>
            <x v="2"/>
            <x v="3"/>
            <x v="4"/>
            <x v="5"/>
            <x v="6"/>
            <x v="7"/>
            <x v="8"/>
          </reference>
        </references>
      </pivotArea>
    </format>
    <format dxfId="3220">
      <pivotArea field="2" type="button" dataOnly="0" labelOnly="1" outline="0" axis="axisPage" fieldPosition="0"/>
    </format>
    <format dxfId="3219">
      <pivotArea field="4" type="button" dataOnly="0" labelOnly="1" outline="0" axis="axisRow" fieldPosition="0"/>
    </format>
    <format dxfId="3218">
      <pivotArea dataOnly="0" labelOnly="1" fieldPosition="0">
        <references count="1">
          <reference field="4" count="0"/>
        </references>
      </pivotArea>
    </format>
    <format dxfId="3217">
      <pivotArea dataOnly="0" labelOnly="1" grandRow="1" outline="0" fieldPosition="0"/>
    </format>
    <format dxfId="3216">
      <pivotArea dataOnly="0" labelOnly="1" fieldPosition="0">
        <references count="2">
          <reference field="4" count="1" selected="0">
            <x v="0"/>
          </reference>
          <reference field="6" count="2">
            <x v="0"/>
            <x v="1"/>
          </reference>
        </references>
      </pivotArea>
    </format>
    <format dxfId="3215">
      <pivotArea dataOnly="0" labelOnly="1" fieldPosition="0">
        <references count="2">
          <reference field="4" count="1" selected="0">
            <x v="1"/>
          </reference>
          <reference field="6" count="3">
            <x v="0"/>
            <x v="3"/>
            <x v="4"/>
          </reference>
        </references>
      </pivotArea>
    </format>
    <format dxfId="3214">
      <pivotArea dataOnly="0" labelOnly="1" fieldPosition="0">
        <references count="2">
          <reference field="4" count="1" selected="0">
            <x v="2"/>
          </reference>
          <reference field="6" count="3">
            <x v="2"/>
            <x v="3"/>
            <x v="4"/>
          </reference>
        </references>
      </pivotArea>
    </format>
    <format dxfId="3213">
      <pivotArea dataOnly="0" labelOnly="1" fieldPosition="0">
        <references count="2">
          <reference field="4" count="1" selected="0">
            <x v="3"/>
          </reference>
          <reference field="6" count="1">
            <x v="3"/>
          </reference>
        </references>
      </pivotArea>
    </format>
    <format dxfId="3212">
      <pivotArea dataOnly="0" labelOnly="1" fieldPosition="0">
        <references count="2">
          <reference field="4" count="1" selected="0">
            <x v="4"/>
          </reference>
          <reference field="6" count="4">
            <x v="0"/>
            <x v="1"/>
            <x v="2"/>
            <x v="3"/>
          </reference>
        </references>
      </pivotArea>
    </format>
    <format dxfId="3211">
      <pivotArea dataOnly="0" labelOnly="1" fieldPosition="0">
        <references count="2">
          <reference field="4" count="1" selected="0">
            <x v="5"/>
          </reference>
          <reference field="6" count="2">
            <x v="0"/>
            <x v="4"/>
          </reference>
        </references>
      </pivotArea>
    </format>
    <format dxfId="3210">
      <pivotArea dataOnly="0" labelOnly="1" fieldPosition="0">
        <references count="2">
          <reference field="4" count="1" selected="0">
            <x v="6"/>
          </reference>
          <reference field="6" count="1">
            <x v="1"/>
          </reference>
        </references>
      </pivotArea>
    </format>
    <format dxfId="3209">
      <pivotArea dataOnly="0" labelOnly="1" fieldPosition="0">
        <references count="2">
          <reference field="4" count="1" selected="0">
            <x v="7"/>
          </reference>
          <reference field="6" count="4">
            <x v="0"/>
            <x v="2"/>
            <x v="3"/>
            <x v="4"/>
          </reference>
        </references>
      </pivotArea>
    </format>
    <format dxfId="3208">
      <pivotArea dataOnly="0" labelOnly="1" fieldPosition="0">
        <references count="2">
          <reference field="4" count="1" selected="0">
            <x v="8"/>
          </reference>
          <reference field="6" count="4">
            <x v="0"/>
            <x v="1"/>
            <x v="2"/>
            <x v="3"/>
          </reference>
        </references>
      </pivotArea>
    </format>
    <format dxfId="3207">
      <pivotArea dataOnly="0" labelOnly="1" fieldPosition="0">
        <references count="2">
          <reference field="4" count="1" selected="0">
            <x v="9"/>
          </reference>
          <reference field="6" count="1">
            <x v="1"/>
          </reference>
        </references>
      </pivotArea>
    </format>
    <format dxfId="3206">
      <pivotArea dataOnly="0" labelOnly="1" fieldPosition="0">
        <references count="2">
          <reference field="4" count="1" selected="0">
            <x v="10"/>
          </reference>
          <reference field="6" count="1">
            <x v="3"/>
          </reference>
        </references>
      </pivotArea>
    </format>
    <format dxfId="3205">
      <pivotArea dataOnly="0" labelOnly="1" fieldPosition="0">
        <references count="2">
          <reference field="4" count="1" selected="0">
            <x v="11"/>
          </reference>
          <reference field="6" count="1">
            <x v="0"/>
          </reference>
        </references>
      </pivotArea>
    </format>
    <format dxfId="3204">
      <pivotArea dataOnly="0" labelOnly="1" fieldPosition="0">
        <references count="2">
          <reference field="4" count="1" selected="0">
            <x v="12"/>
          </reference>
          <reference field="6" count="1">
            <x v="0"/>
          </reference>
        </references>
      </pivotArea>
    </format>
    <format dxfId="3203">
      <pivotArea dataOnly="0" labelOnly="1" fieldPosition="0">
        <references count="2">
          <reference field="4" count="1" selected="0">
            <x v="13"/>
          </reference>
          <reference field="6" count="1">
            <x v="3"/>
          </reference>
        </references>
      </pivotArea>
    </format>
    <format dxfId="3202">
      <pivotArea dataOnly="0" labelOnly="1" fieldPosition="0">
        <references count="2">
          <reference field="4" count="1" selected="0">
            <x v="14"/>
          </reference>
          <reference field="6" count="1">
            <x v="1"/>
          </reference>
        </references>
      </pivotArea>
    </format>
    <format dxfId="3201">
      <pivotArea dataOnly="0" labelOnly="1" fieldPosition="0">
        <references count="2">
          <reference field="4" count="1" selected="0">
            <x v="15"/>
          </reference>
          <reference field="6" count="1">
            <x v="0"/>
          </reference>
        </references>
      </pivotArea>
    </format>
    <format dxfId="3200">
      <pivotArea dataOnly="0" labelOnly="1" fieldPosition="0">
        <references count="2">
          <reference field="4" count="1" selected="0">
            <x v="16"/>
          </reference>
          <reference field="6" count="3">
            <x v="1"/>
            <x v="3"/>
            <x v="4"/>
          </reference>
        </references>
      </pivotArea>
    </format>
    <format dxfId="3199">
      <pivotArea dataOnly="0" labelOnly="1" fieldPosition="0">
        <references count="2">
          <reference field="4" count="1" selected="0">
            <x v="17"/>
          </reference>
          <reference field="6" count="1">
            <x v="0"/>
          </reference>
        </references>
      </pivotArea>
    </format>
    <format dxfId="3198">
      <pivotArea dataOnly="0" labelOnly="1" fieldPosition="0">
        <references count="2">
          <reference field="4" count="1" selected="0">
            <x v="18"/>
          </reference>
          <reference field="6" count="1">
            <x v="3"/>
          </reference>
        </references>
      </pivotArea>
    </format>
    <format dxfId="3197">
      <pivotArea dataOnly="0" labelOnly="1" fieldPosition="0">
        <references count="2">
          <reference field="4" count="1" selected="0">
            <x v="19"/>
          </reference>
          <reference field="6" count="1">
            <x v="3"/>
          </reference>
        </references>
      </pivotArea>
    </format>
    <format dxfId="3196">
      <pivotArea dataOnly="0" labelOnly="1" fieldPosition="0">
        <references count="2">
          <reference field="4" count="1" selected="0">
            <x v="20"/>
          </reference>
          <reference field="6" count="1">
            <x v="1"/>
          </reference>
        </references>
      </pivotArea>
    </format>
    <format dxfId="3195">
      <pivotArea dataOnly="0" labelOnly="1" fieldPosition="0">
        <references count="3">
          <reference field="4" count="1" selected="0">
            <x v="0"/>
          </reference>
          <reference field="6" count="1" selected="0">
            <x v="0"/>
          </reference>
          <reference field="7" count="2">
            <x v="17"/>
            <x v="19"/>
          </reference>
        </references>
      </pivotArea>
    </format>
    <format dxfId="3194">
      <pivotArea dataOnly="0" labelOnly="1" fieldPosition="0">
        <references count="3">
          <reference field="4" count="1" selected="0">
            <x v="0"/>
          </reference>
          <reference field="6" count="1" selected="0">
            <x v="1"/>
          </reference>
          <reference field="7" count="2">
            <x v="23"/>
            <x v="26"/>
          </reference>
        </references>
      </pivotArea>
    </format>
    <format dxfId="3193">
      <pivotArea dataOnly="0" labelOnly="1" fieldPosition="0">
        <references count="3">
          <reference field="4" count="1" selected="0">
            <x v="1"/>
          </reference>
          <reference field="6" count="1" selected="0">
            <x v="0"/>
          </reference>
          <reference field="7" count="1">
            <x v="19"/>
          </reference>
        </references>
      </pivotArea>
    </format>
    <format dxfId="3192">
      <pivotArea dataOnly="0" labelOnly="1" fieldPosition="0">
        <references count="3">
          <reference field="4" count="1" selected="0">
            <x v="1"/>
          </reference>
          <reference field="6" count="1" selected="0">
            <x v="3"/>
          </reference>
          <reference field="7" count="3">
            <x v="2"/>
            <x v="3"/>
            <x v="4"/>
          </reference>
        </references>
      </pivotArea>
    </format>
    <format dxfId="3191">
      <pivotArea dataOnly="0" labelOnly="1" fieldPosition="0">
        <references count="3">
          <reference field="4" count="1" selected="0">
            <x v="1"/>
          </reference>
          <reference field="6" count="1" selected="0">
            <x v="4"/>
          </reference>
          <reference field="7" count="1">
            <x v="8"/>
          </reference>
        </references>
      </pivotArea>
    </format>
    <format dxfId="3190">
      <pivotArea dataOnly="0" labelOnly="1" fieldPosition="0">
        <references count="3">
          <reference field="4" count="1" selected="0">
            <x v="2"/>
          </reference>
          <reference field="6" count="1" selected="0">
            <x v="2"/>
          </reference>
          <reference field="7" count="2">
            <x v="29"/>
            <x v="30"/>
          </reference>
        </references>
      </pivotArea>
    </format>
    <format dxfId="3189">
      <pivotArea dataOnly="0" labelOnly="1" fieldPosition="0">
        <references count="3">
          <reference field="4" count="1" selected="0">
            <x v="2"/>
          </reference>
          <reference field="6" count="1" selected="0">
            <x v="3"/>
          </reference>
          <reference field="7" count="2">
            <x v="5"/>
            <x v="7"/>
          </reference>
        </references>
      </pivotArea>
    </format>
    <format dxfId="3188">
      <pivotArea dataOnly="0" labelOnly="1" fieldPosition="0">
        <references count="3">
          <reference field="4" count="1" selected="0">
            <x v="2"/>
          </reference>
          <reference field="6" count="1" selected="0">
            <x v="4"/>
          </reference>
          <reference field="7" count="1">
            <x v="8"/>
          </reference>
        </references>
      </pivotArea>
    </format>
    <format dxfId="3187">
      <pivotArea dataOnly="0" labelOnly="1" fieldPosition="0">
        <references count="3">
          <reference field="4" count="1" selected="0">
            <x v="3"/>
          </reference>
          <reference field="6" count="1" selected="0">
            <x v="3"/>
          </reference>
          <reference field="7" count="1">
            <x v="6"/>
          </reference>
        </references>
      </pivotArea>
    </format>
    <format dxfId="3186">
      <pivotArea dataOnly="0" labelOnly="1" fieldPosition="0">
        <references count="3">
          <reference field="4" count="1" selected="0">
            <x v="4"/>
          </reference>
          <reference field="6" count="1" selected="0">
            <x v="0"/>
          </reference>
          <reference field="7" count="1">
            <x v="21"/>
          </reference>
        </references>
      </pivotArea>
    </format>
    <format dxfId="3185">
      <pivotArea dataOnly="0" labelOnly="1" fieldPosition="0">
        <references count="3">
          <reference field="4" count="1" selected="0">
            <x v="4"/>
          </reference>
          <reference field="6" count="1" selected="0">
            <x v="1"/>
          </reference>
          <reference field="7" count="1">
            <x v="24"/>
          </reference>
        </references>
      </pivotArea>
    </format>
    <format dxfId="3184">
      <pivotArea dataOnly="0" labelOnly="1" fieldPosition="0">
        <references count="3">
          <reference field="4" count="1" selected="0">
            <x v="4"/>
          </reference>
          <reference field="6" count="1" selected="0">
            <x v="2"/>
          </reference>
          <reference field="7" count="2">
            <x v="29"/>
            <x v="31"/>
          </reference>
        </references>
      </pivotArea>
    </format>
    <format dxfId="3183">
      <pivotArea dataOnly="0" labelOnly="1" fieldPosition="0">
        <references count="3">
          <reference field="4" count="1" selected="0">
            <x v="4"/>
          </reference>
          <reference field="6" count="1" selected="0">
            <x v="3"/>
          </reference>
          <reference field="7" count="2">
            <x v="0"/>
            <x v="1"/>
          </reference>
        </references>
      </pivotArea>
    </format>
    <format dxfId="3182">
      <pivotArea dataOnly="0" labelOnly="1" fieldPosition="0">
        <references count="3">
          <reference field="4" count="1" selected="0">
            <x v="5"/>
          </reference>
          <reference field="6" count="1" selected="0">
            <x v="0"/>
          </reference>
          <reference field="7" count="2">
            <x v="18"/>
            <x v="22"/>
          </reference>
        </references>
      </pivotArea>
    </format>
    <format dxfId="3181">
      <pivotArea dataOnly="0" labelOnly="1" fieldPosition="0">
        <references count="3">
          <reference field="4" count="1" selected="0">
            <x v="5"/>
          </reference>
          <reference field="6" count="1" selected="0">
            <x v="4"/>
          </reference>
          <reference field="7" count="1">
            <x v="8"/>
          </reference>
        </references>
      </pivotArea>
    </format>
    <format dxfId="3180">
      <pivotArea dataOnly="0" labelOnly="1" fieldPosition="0">
        <references count="3">
          <reference field="4" count="1" selected="0">
            <x v="6"/>
          </reference>
          <reference field="6" count="1" selected="0">
            <x v="1"/>
          </reference>
          <reference field="7" count="1">
            <x v="24"/>
          </reference>
        </references>
      </pivotArea>
    </format>
    <format dxfId="3179">
      <pivotArea dataOnly="0" labelOnly="1" fieldPosition="0">
        <references count="3">
          <reference field="4" count="1" selected="0">
            <x v="7"/>
          </reference>
          <reference field="6" count="1" selected="0">
            <x v="0"/>
          </reference>
          <reference field="7" count="1">
            <x v="16"/>
          </reference>
        </references>
      </pivotArea>
    </format>
    <format dxfId="3178">
      <pivotArea dataOnly="0" labelOnly="1" fieldPosition="0">
        <references count="3">
          <reference field="4" count="1" selected="0">
            <x v="7"/>
          </reference>
          <reference field="6" count="1" selected="0">
            <x v="2"/>
          </reference>
          <reference field="7" count="2">
            <x v="29"/>
            <x v="30"/>
          </reference>
        </references>
      </pivotArea>
    </format>
    <format dxfId="3177">
      <pivotArea dataOnly="0" labelOnly="1" fieldPosition="0">
        <references count="3">
          <reference field="4" count="1" selected="0">
            <x v="7"/>
          </reference>
          <reference field="6" count="1" selected="0">
            <x v="3"/>
          </reference>
          <reference field="7" count="1">
            <x v="6"/>
          </reference>
        </references>
      </pivotArea>
    </format>
    <format dxfId="3176">
      <pivotArea dataOnly="0" labelOnly="1" fieldPosition="0">
        <references count="3">
          <reference field="4" count="1" selected="0">
            <x v="7"/>
          </reference>
          <reference field="6" count="1" selected="0">
            <x v="4"/>
          </reference>
          <reference field="7" count="8">
            <x v="8"/>
            <x v="9"/>
            <x v="10"/>
            <x v="11"/>
            <x v="12"/>
            <x v="13"/>
            <x v="14"/>
            <x v="15"/>
          </reference>
        </references>
      </pivotArea>
    </format>
    <format dxfId="3175">
      <pivotArea dataOnly="0" labelOnly="1" fieldPosition="0">
        <references count="3">
          <reference field="4" count="1" selected="0">
            <x v="8"/>
          </reference>
          <reference field="6" count="1" selected="0">
            <x v="0"/>
          </reference>
          <reference field="7" count="2">
            <x v="18"/>
            <x v="22"/>
          </reference>
        </references>
      </pivotArea>
    </format>
    <format dxfId="3174">
      <pivotArea dataOnly="0" labelOnly="1" fieldPosition="0">
        <references count="3">
          <reference field="4" count="1" selected="0">
            <x v="8"/>
          </reference>
          <reference field="6" count="1" selected="0">
            <x v="1"/>
          </reference>
          <reference field="7" count="1">
            <x v="28"/>
          </reference>
        </references>
      </pivotArea>
    </format>
    <format dxfId="3173">
      <pivotArea dataOnly="0" labelOnly="1" fieldPosition="0">
        <references count="3">
          <reference field="4" count="1" selected="0">
            <x v="8"/>
          </reference>
          <reference field="6" count="1" selected="0">
            <x v="2"/>
          </reference>
          <reference field="7" count="1">
            <x v="32"/>
          </reference>
        </references>
      </pivotArea>
    </format>
    <format dxfId="3172">
      <pivotArea dataOnly="0" labelOnly="1" fieldPosition="0">
        <references count="3">
          <reference field="4" count="1" selected="0">
            <x v="8"/>
          </reference>
          <reference field="6" count="1" selected="0">
            <x v="3"/>
          </reference>
          <reference field="7" count="1">
            <x v="6"/>
          </reference>
        </references>
      </pivotArea>
    </format>
    <format dxfId="3171">
      <pivotArea dataOnly="0" labelOnly="1" fieldPosition="0">
        <references count="3">
          <reference field="4" count="1" selected="0">
            <x v="9"/>
          </reference>
          <reference field="6" count="1" selected="0">
            <x v="1"/>
          </reference>
          <reference field="7" count="1">
            <x v="25"/>
          </reference>
        </references>
      </pivotArea>
    </format>
    <format dxfId="3170">
      <pivotArea dataOnly="0" labelOnly="1" fieldPosition="0">
        <references count="3">
          <reference field="4" count="1" selected="0">
            <x v="10"/>
          </reference>
          <reference field="6" count="1" selected="0">
            <x v="3"/>
          </reference>
          <reference field="7" count="1">
            <x v="6"/>
          </reference>
        </references>
      </pivotArea>
    </format>
    <format dxfId="3169">
      <pivotArea dataOnly="0" labelOnly="1" fieldPosition="0">
        <references count="3">
          <reference field="4" count="1" selected="0">
            <x v="11"/>
          </reference>
          <reference field="6" count="1" selected="0">
            <x v="0"/>
          </reference>
          <reference field="7" count="1">
            <x v="17"/>
          </reference>
        </references>
      </pivotArea>
    </format>
    <format dxfId="3168">
      <pivotArea dataOnly="0" labelOnly="1" fieldPosition="0">
        <references count="3">
          <reference field="4" count="1" selected="0">
            <x v="12"/>
          </reference>
          <reference field="6" count="1" selected="0">
            <x v="0"/>
          </reference>
          <reference field="7" count="1">
            <x v="18"/>
          </reference>
        </references>
      </pivotArea>
    </format>
    <format dxfId="3167">
      <pivotArea dataOnly="0" labelOnly="1" fieldPosition="0">
        <references count="3">
          <reference field="4" count="1" selected="0">
            <x v="13"/>
          </reference>
          <reference field="6" count="1" selected="0">
            <x v="3"/>
          </reference>
          <reference field="7" count="2">
            <x v="1"/>
            <x v="5"/>
          </reference>
        </references>
      </pivotArea>
    </format>
    <format dxfId="3166">
      <pivotArea dataOnly="0" labelOnly="1" fieldPosition="0">
        <references count="3">
          <reference field="4" count="1" selected="0">
            <x v="14"/>
          </reference>
          <reference field="6" count="1" selected="0">
            <x v="1"/>
          </reference>
          <reference field="7" count="1">
            <x v="26"/>
          </reference>
        </references>
      </pivotArea>
    </format>
    <format dxfId="3165">
      <pivotArea dataOnly="0" labelOnly="1" fieldPosition="0">
        <references count="3">
          <reference field="4" count="1" selected="0">
            <x v="15"/>
          </reference>
          <reference field="6" count="1" selected="0">
            <x v="0"/>
          </reference>
          <reference field="7" count="1">
            <x v="20"/>
          </reference>
        </references>
      </pivotArea>
    </format>
    <format dxfId="3164">
      <pivotArea dataOnly="0" labelOnly="1" fieldPosition="0">
        <references count="3">
          <reference field="4" count="1" selected="0">
            <x v="16"/>
          </reference>
          <reference field="6" count="1" selected="0">
            <x v="1"/>
          </reference>
          <reference field="7" count="1">
            <x v="27"/>
          </reference>
        </references>
      </pivotArea>
    </format>
    <format dxfId="3163">
      <pivotArea dataOnly="0" labelOnly="1" fieldPosition="0">
        <references count="3">
          <reference field="4" count="1" selected="0">
            <x v="16"/>
          </reference>
          <reference field="6" count="1" selected="0">
            <x v="3"/>
          </reference>
          <reference field="7" count="1">
            <x v="1"/>
          </reference>
        </references>
      </pivotArea>
    </format>
    <format dxfId="3162">
      <pivotArea dataOnly="0" labelOnly="1" fieldPosition="0">
        <references count="3">
          <reference field="4" count="1" selected="0">
            <x v="16"/>
          </reference>
          <reference field="6" count="1" selected="0">
            <x v="4"/>
          </reference>
          <reference field="7" count="2">
            <x v="8"/>
            <x v="11"/>
          </reference>
        </references>
      </pivotArea>
    </format>
    <format dxfId="3161">
      <pivotArea dataOnly="0" labelOnly="1" fieldPosition="0">
        <references count="3">
          <reference field="4" count="1" selected="0">
            <x v="17"/>
          </reference>
          <reference field="6" count="1" selected="0">
            <x v="0"/>
          </reference>
          <reference field="7" count="2">
            <x v="16"/>
            <x v="22"/>
          </reference>
        </references>
      </pivotArea>
    </format>
    <format dxfId="3160">
      <pivotArea dataOnly="0" labelOnly="1" fieldPosition="0">
        <references count="3">
          <reference field="4" count="1" selected="0">
            <x v="18"/>
          </reference>
          <reference field="6" count="1" selected="0">
            <x v="3"/>
          </reference>
          <reference field="7" count="1">
            <x v="2"/>
          </reference>
        </references>
      </pivotArea>
    </format>
    <format dxfId="3159">
      <pivotArea dataOnly="0" labelOnly="1" fieldPosition="0">
        <references count="3">
          <reference field="4" count="1" selected="0">
            <x v="19"/>
          </reference>
          <reference field="6" count="1" selected="0">
            <x v="3"/>
          </reference>
          <reference field="7" count="1">
            <x v="6"/>
          </reference>
        </references>
      </pivotArea>
    </format>
    <format dxfId="3158">
      <pivotArea dataOnly="0" labelOnly="1" fieldPosition="0">
        <references count="3">
          <reference field="4" count="1" selected="0">
            <x v="20"/>
          </reference>
          <reference field="6" count="1" selected="0">
            <x v="1"/>
          </reference>
          <reference field="7" count="1">
            <x v="24"/>
          </reference>
        </references>
      </pivotArea>
    </format>
    <format dxfId="3157">
      <pivotArea dataOnly="0" labelOnly="1" fieldPosition="0">
        <references count="4">
          <reference field="4" count="1" selected="0">
            <x v="0"/>
          </reference>
          <reference field="6" count="1" selected="0">
            <x v="0"/>
          </reference>
          <reference field="7" count="1" selected="0">
            <x v="17"/>
          </reference>
          <reference field="8" count="5">
            <x v="65"/>
            <x v="66"/>
            <x v="67"/>
            <x v="68"/>
            <x v="69"/>
          </reference>
        </references>
      </pivotArea>
    </format>
    <format dxfId="3156">
      <pivotArea dataOnly="0" labelOnly="1" fieldPosition="0">
        <references count="4">
          <reference field="4" count="1" selected="0">
            <x v="0"/>
          </reference>
          <reference field="6" count="1" selected="0">
            <x v="0"/>
          </reference>
          <reference field="7" count="1" selected="0">
            <x v="19"/>
          </reference>
          <reference field="8" count="3">
            <x v="78"/>
            <x v="79"/>
            <x v="80"/>
          </reference>
        </references>
      </pivotArea>
    </format>
    <format dxfId="3155">
      <pivotArea dataOnly="0" labelOnly="1" fieldPosition="0">
        <references count="4">
          <reference field="4" count="1" selected="0">
            <x v="0"/>
          </reference>
          <reference field="6" count="1" selected="0">
            <x v="1"/>
          </reference>
          <reference field="7" count="1" selected="0">
            <x v="23"/>
          </reference>
          <reference field="8" count="10">
            <x v="95"/>
            <x v="96"/>
            <x v="97"/>
            <x v="98"/>
            <x v="99"/>
            <x v="100"/>
            <x v="101"/>
            <x v="102"/>
            <x v="103"/>
            <x v="104"/>
          </reference>
        </references>
      </pivotArea>
    </format>
    <format dxfId="3154">
      <pivotArea dataOnly="0" labelOnly="1" fieldPosition="0">
        <references count="4">
          <reference field="4" count="1" selected="0">
            <x v="0"/>
          </reference>
          <reference field="6" count="1" selected="0">
            <x v="1"/>
          </reference>
          <reference field="7" count="1" selected="0">
            <x v="26"/>
          </reference>
          <reference field="8" count="1">
            <x v="131"/>
          </reference>
        </references>
      </pivotArea>
    </format>
    <format dxfId="3153">
      <pivotArea dataOnly="0" labelOnly="1" fieldPosition="0">
        <references count="4">
          <reference field="4" count="1" selected="0">
            <x v="1"/>
          </reference>
          <reference field="6" count="1" selected="0">
            <x v="0"/>
          </reference>
          <reference field="7" count="1" selected="0">
            <x v="19"/>
          </reference>
          <reference field="8" count="1">
            <x v="81"/>
          </reference>
        </references>
      </pivotArea>
    </format>
    <format dxfId="3152">
      <pivotArea dataOnly="0" labelOnly="1" fieldPosition="0">
        <references count="4">
          <reference field="4" count="1" selected="0">
            <x v="1"/>
          </reference>
          <reference field="6" count="1" selected="0">
            <x v="3"/>
          </reference>
          <reference field="7" count="1" selected="0">
            <x v="2"/>
          </reference>
          <reference field="8" count="7">
            <x v="7"/>
            <x v="10"/>
            <x v="11"/>
            <x v="12"/>
            <x v="13"/>
            <x v="14"/>
            <x v="15"/>
          </reference>
        </references>
      </pivotArea>
    </format>
    <format dxfId="3151">
      <pivotArea dataOnly="0" labelOnly="1" fieldPosition="0">
        <references count="4">
          <reference field="4" count="1" selected="0">
            <x v="1"/>
          </reference>
          <reference field="6" count="1" selected="0">
            <x v="3"/>
          </reference>
          <reference field="7" count="1" selected="0">
            <x v="3"/>
          </reference>
          <reference field="8" count="2">
            <x v="18"/>
            <x v="19"/>
          </reference>
        </references>
      </pivotArea>
    </format>
    <format dxfId="3150">
      <pivotArea dataOnly="0" labelOnly="1" fieldPosition="0">
        <references count="4">
          <reference field="4" count="1" selected="0">
            <x v="1"/>
          </reference>
          <reference field="6" count="1" selected="0">
            <x v="3"/>
          </reference>
          <reference field="7" count="1" selected="0">
            <x v="4"/>
          </reference>
          <reference field="8" count="2">
            <x v="20"/>
            <x v="21"/>
          </reference>
        </references>
      </pivotArea>
    </format>
    <format dxfId="3149">
      <pivotArea dataOnly="0" labelOnly="1" fieldPosition="0">
        <references count="4">
          <reference field="4" count="1" selected="0">
            <x v="1"/>
          </reference>
          <reference field="6" count="1" selected="0">
            <x v="4"/>
          </reference>
          <reference field="7" count="1" selected="0">
            <x v="8"/>
          </reference>
          <reference field="8" count="3">
            <x v="33"/>
            <x v="34"/>
            <x v="39"/>
          </reference>
        </references>
      </pivotArea>
    </format>
    <format dxfId="3148">
      <pivotArea dataOnly="0" labelOnly="1" fieldPosition="0">
        <references count="4">
          <reference field="4" count="1" selected="0">
            <x v="2"/>
          </reference>
          <reference field="6" count="1" selected="0">
            <x v="2"/>
          </reference>
          <reference field="7" count="1" selected="0">
            <x v="29"/>
          </reference>
          <reference field="8" count="6">
            <x v="145"/>
            <x v="146"/>
            <x v="147"/>
            <x v="148"/>
            <x v="149"/>
            <x v="150"/>
          </reference>
        </references>
      </pivotArea>
    </format>
    <format dxfId="3147">
      <pivotArea dataOnly="0" labelOnly="1" fieldPosition="0">
        <references count="4">
          <reference field="4" count="1" selected="0">
            <x v="2"/>
          </reference>
          <reference field="6" count="1" selected="0">
            <x v="2"/>
          </reference>
          <reference field="7" count="1" selected="0">
            <x v="30"/>
          </reference>
          <reference field="8" count="2">
            <x v="152"/>
            <x v="153"/>
          </reference>
        </references>
      </pivotArea>
    </format>
    <format dxfId="3146">
      <pivotArea dataOnly="0" labelOnly="1" fieldPosition="0">
        <references count="4">
          <reference field="4" count="1" selected="0">
            <x v="2"/>
          </reference>
          <reference field="6" count="1" selected="0">
            <x v="3"/>
          </reference>
          <reference field="7" count="1" selected="0">
            <x v="5"/>
          </reference>
          <reference field="8" count="1">
            <x v="24"/>
          </reference>
        </references>
      </pivotArea>
    </format>
    <format dxfId="3145">
      <pivotArea dataOnly="0" labelOnly="1" fieldPosition="0">
        <references count="4">
          <reference field="4" count="1" selected="0">
            <x v="2"/>
          </reference>
          <reference field="6" count="1" selected="0">
            <x v="3"/>
          </reference>
          <reference field="7" count="1" selected="0">
            <x v="7"/>
          </reference>
          <reference field="8" count="2">
            <x v="31"/>
            <x v="32"/>
          </reference>
        </references>
      </pivotArea>
    </format>
    <format dxfId="3144">
      <pivotArea dataOnly="0" labelOnly="1" fieldPosition="0">
        <references count="4">
          <reference field="4" count="1" selected="0">
            <x v="2"/>
          </reference>
          <reference field="6" count="1" selected="0">
            <x v="4"/>
          </reference>
          <reference field="7" count="1" selected="0">
            <x v="8"/>
          </reference>
          <reference field="8" count="2">
            <x v="36"/>
            <x v="39"/>
          </reference>
        </references>
      </pivotArea>
    </format>
    <format dxfId="3143">
      <pivotArea dataOnly="0" labelOnly="1" fieldPosition="0">
        <references count="4">
          <reference field="4" count="1" selected="0">
            <x v="3"/>
          </reference>
          <reference field="6" count="1" selected="0">
            <x v="3"/>
          </reference>
          <reference field="7" count="1" selected="0">
            <x v="6"/>
          </reference>
          <reference field="8" count="1">
            <x v="29"/>
          </reference>
        </references>
      </pivotArea>
    </format>
    <format dxfId="3142">
      <pivotArea dataOnly="0" labelOnly="1" fieldPosition="0">
        <references count="4">
          <reference field="4" count="1" selected="0">
            <x v="4"/>
          </reference>
          <reference field="6" count="1" selected="0">
            <x v="0"/>
          </reference>
          <reference field="7" count="1" selected="0">
            <x v="21"/>
          </reference>
          <reference field="8" count="5">
            <x v="87"/>
            <x v="88"/>
            <x v="89"/>
            <x v="90"/>
            <x v="91"/>
          </reference>
        </references>
      </pivotArea>
    </format>
    <format dxfId="3141">
      <pivotArea dataOnly="0" labelOnly="1" fieldPosition="0">
        <references count="4">
          <reference field="4" count="1" selected="0">
            <x v="4"/>
          </reference>
          <reference field="6" count="1" selected="0">
            <x v="1"/>
          </reference>
          <reference field="7" count="1" selected="0">
            <x v="24"/>
          </reference>
          <reference field="8" count="1">
            <x v="114"/>
          </reference>
        </references>
      </pivotArea>
    </format>
    <format dxfId="3140">
      <pivotArea dataOnly="0" labelOnly="1" fieldPosition="0">
        <references count="4">
          <reference field="4" count="1" selected="0">
            <x v="4"/>
          </reference>
          <reference field="6" count="1" selected="0">
            <x v="2"/>
          </reference>
          <reference field="7" count="1" selected="0">
            <x v="29"/>
          </reference>
          <reference field="8" count="3">
            <x v="142"/>
            <x v="143"/>
            <x v="151"/>
          </reference>
        </references>
      </pivotArea>
    </format>
    <format dxfId="3139">
      <pivotArea dataOnly="0" labelOnly="1" fieldPosition="0">
        <references count="4">
          <reference field="4" count="1" selected="0">
            <x v="4"/>
          </reference>
          <reference field="6" count="1" selected="0">
            <x v="2"/>
          </reference>
          <reference field="7" count="1" selected="0">
            <x v="31"/>
          </reference>
          <reference field="8" count="3">
            <x v="155"/>
            <x v="156"/>
            <x v="157"/>
          </reference>
        </references>
      </pivotArea>
    </format>
    <format dxfId="3138">
      <pivotArea dataOnly="0" labelOnly="1" fieldPosition="0">
        <references count="4">
          <reference field="4" count="1" selected="0">
            <x v="4"/>
          </reference>
          <reference field="6" count="1" selected="0">
            <x v="3"/>
          </reference>
          <reference field="7" count="1" selected="0">
            <x v="0"/>
          </reference>
          <reference field="8" count="2">
            <x v="0"/>
            <x v="1"/>
          </reference>
        </references>
      </pivotArea>
    </format>
    <format dxfId="3137">
      <pivotArea dataOnly="0" labelOnly="1" fieldPosition="0">
        <references count="4">
          <reference field="4" count="1" selected="0">
            <x v="4"/>
          </reference>
          <reference field="6" count="1" selected="0">
            <x v="3"/>
          </reference>
          <reference field="7" count="1" selected="0">
            <x v="1"/>
          </reference>
          <reference field="8" count="4">
            <x v="2"/>
            <x v="3"/>
            <x v="4"/>
            <x v="5"/>
          </reference>
        </references>
      </pivotArea>
    </format>
    <format dxfId="3136">
      <pivotArea dataOnly="0" labelOnly="1" fieldPosition="0">
        <references count="4">
          <reference field="4" count="1" selected="0">
            <x v="5"/>
          </reference>
          <reference field="6" count="1" selected="0">
            <x v="0"/>
          </reference>
          <reference field="7" count="1" selected="0">
            <x v="18"/>
          </reference>
          <reference field="8" count="3">
            <x v="73"/>
            <x v="74"/>
            <x v="77"/>
          </reference>
        </references>
      </pivotArea>
    </format>
    <format dxfId="3135">
      <pivotArea dataOnly="0" labelOnly="1" fieldPosition="0">
        <references count="4">
          <reference field="4" count="1" selected="0">
            <x v="5"/>
          </reference>
          <reference field="6" count="1" selected="0">
            <x v="0"/>
          </reference>
          <reference field="7" count="1" selected="0">
            <x v="22"/>
          </reference>
          <reference field="8" count="1">
            <x v="94"/>
          </reference>
        </references>
      </pivotArea>
    </format>
    <format dxfId="3134">
      <pivotArea dataOnly="0" labelOnly="1" fieldPosition="0">
        <references count="4">
          <reference field="4" count="1" selected="0">
            <x v="5"/>
          </reference>
          <reference field="6" count="1" selected="0">
            <x v="4"/>
          </reference>
          <reference field="7" count="1" selected="0">
            <x v="8"/>
          </reference>
          <reference field="8" count="1">
            <x v="37"/>
          </reference>
        </references>
      </pivotArea>
    </format>
    <format dxfId="3133">
      <pivotArea dataOnly="0" labelOnly="1" fieldPosition="0">
        <references count="4">
          <reference field="4" count="1" selected="0">
            <x v="6"/>
          </reference>
          <reference field="6" count="1" selected="0">
            <x v="1"/>
          </reference>
          <reference field="7" count="1" selected="0">
            <x v="24"/>
          </reference>
          <reference field="8" count="8">
            <x v="105"/>
            <x v="107"/>
            <x v="108"/>
            <x v="109"/>
            <x v="110"/>
            <x v="111"/>
            <x v="112"/>
            <x v="113"/>
          </reference>
        </references>
      </pivotArea>
    </format>
    <format dxfId="3132">
      <pivotArea dataOnly="0" labelOnly="1" fieldPosition="0">
        <references count="4">
          <reference field="4" count="1" selected="0">
            <x v="7"/>
          </reference>
          <reference field="6" count="1" selected="0">
            <x v="0"/>
          </reference>
          <reference field="7" count="1" selected="0">
            <x v="16"/>
          </reference>
          <reference field="8" count="1">
            <x v="64"/>
          </reference>
        </references>
      </pivotArea>
    </format>
    <format dxfId="3131">
      <pivotArea dataOnly="0" labelOnly="1" fieldPosition="0">
        <references count="4">
          <reference field="4" count="1" selected="0">
            <x v="7"/>
          </reference>
          <reference field="6" count="1" selected="0">
            <x v="2"/>
          </reference>
          <reference field="7" count="1" selected="0">
            <x v="29"/>
          </reference>
          <reference field="8" count="4">
            <x v="140"/>
            <x v="141"/>
            <x v="144"/>
            <x v="145"/>
          </reference>
        </references>
      </pivotArea>
    </format>
    <format dxfId="3130">
      <pivotArea dataOnly="0" labelOnly="1" fieldPosition="0">
        <references count="4">
          <reference field="4" count="1" selected="0">
            <x v="7"/>
          </reference>
          <reference field="6" count="1" selected="0">
            <x v="2"/>
          </reference>
          <reference field="7" count="1" selected="0">
            <x v="30"/>
          </reference>
          <reference field="8" count="1">
            <x v="154"/>
          </reference>
        </references>
      </pivotArea>
    </format>
    <format dxfId="3129">
      <pivotArea dataOnly="0" labelOnly="1" fieldPosition="0">
        <references count="4">
          <reference field="4" count="1" selected="0">
            <x v="7"/>
          </reference>
          <reference field="6" count="1" selected="0">
            <x v="3"/>
          </reference>
          <reference field="7" count="1" selected="0">
            <x v="6"/>
          </reference>
          <reference field="8" count="1">
            <x v="28"/>
          </reference>
        </references>
      </pivotArea>
    </format>
    <format dxfId="3128">
      <pivotArea dataOnly="0" labelOnly="1" fieldPosition="0">
        <references count="4">
          <reference field="4" count="1" selected="0">
            <x v="7"/>
          </reference>
          <reference field="6" count="1" selected="0">
            <x v="4"/>
          </reference>
          <reference field="7" count="1" selected="0">
            <x v="8"/>
          </reference>
          <reference field="8" count="2">
            <x v="35"/>
            <x v="36"/>
          </reference>
        </references>
      </pivotArea>
    </format>
    <format dxfId="3127">
      <pivotArea dataOnly="0" labelOnly="1" fieldPosition="0">
        <references count="4">
          <reference field="4" count="1" selected="0">
            <x v="7"/>
          </reference>
          <reference field="6" count="1" selected="0">
            <x v="4"/>
          </reference>
          <reference field="7" count="1" selected="0">
            <x v="9"/>
          </reference>
          <reference field="8" count="4">
            <x v="40"/>
            <x v="41"/>
            <x v="42"/>
            <x v="43"/>
          </reference>
        </references>
      </pivotArea>
    </format>
    <format dxfId="3126">
      <pivotArea dataOnly="0" labelOnly="1" fieldPosition="0">
        <references count="4">
          <reference field="4" count="1" selected="0">
            <x v="7"/>
          </reference>
          <reference field="6" count="1" selected="0">
            <x v="4"/>
          </reference>
          <reference field="7" count="1" selected="0">
            <x v="10"/>
          </reference>
          <reference field="8" count="4">
            <x v="44"/>
            <x v="45"/>
            <x v="46"/>
            <x v="47"/>
          </reference>
        </references>
      </pivotArea>
    </format>
    <format dxfId="3125">
      <pivotArea dataOnly="0" labelOnly="1" fieldPosition="0">
        <references count="4">
          <reference field="4" count="1" selected="0">
            <x v="7"/>
          </reference>
          <reference field="6" count="1" selected="0">
            <x v="4"/>
          </reference>
          <reference field="7" count="1" selected="0">
            <x v="11"/>
          </reference>
          <reference field="8" count="2">
            <x v="48"/>
            <x v="49"/>
          </reference>
        </references>
      </pivotArea>
    </format>
    <format dxfId="3124">
      <pivotArea dataOnly="0" labelOnly="1" fieldPosition="0">
        <references count="4">
          <reference field="4" count="1" selected="0">
            <x v="7"/>
          </reference>
          <reference field="6" count="1" selected="0">
            <x v="4"/>
          </reference>
          <reference field="7" count="1" selected="0">
            <x v="12"/>
          </reference>
          <reference field="8" count="1">
            <x v="50"/>
          </reference>
        </references>
      </pivotArea>
    </format>
    <format dxfId="3123">
      <pivotArea dataOnly="0" labelOnly="1" fieldPosition="0">
        <references count="4">
          <reference field="4" count="1" selected="0">
            <x v="7"/>
          </reference>
          <reference field="6" count="1" selected="0">
            <x v="4"/>
          </reference>
          <reference field="7" count="1" selected="0">
            <x v="13"/>
          </reference>
          <reference field="8" count="3">
            <x v="51"/>
            <x v="52"/>
            <x v="53"/>
          </reference>
        </references>
      </pivotArea>
    </format>
    <format dxfId="3122">
      <pivotArea dataOnly="0" labelOnly="1" fieldPosition="0">
        <references count="4">
          <reference field="4" count="1" selected="0">
            <x v="7"/>
          </reference>
          <reference field="6" count="1" selected="0">
            <x v="4"/>
          </reference>
          <reference field="7" count="1" selected="0">
            <x v="14"/>
          </reference>
          <reference field="8" count="2">
            <x v="54"/>
            <x v="55"/>
          </reference>
        </references>
      </pivotArea>
    </format>
    <format dxfId="3121">
      <pivotArea dataOnly="0" labelOnly="1" fieldPosition="0">
        <references count="4">
          <reference field="4" count="1" selected="0">
            <x v="7"/>
          </reference>
          <reference field="6" count="1" selected="0">
            <x v="4"/>
          </reference>
          <reference field="7" count="1" selected="0">
            <x v="15"/>
          </reference>
          <reference field="8" count="1">
            <x v="56"/>
          </reference>
        </references>
      </pivotArea>
    </format>
    <format dxfId="3120">
      <pivotArea dataOnly="0" labelOnly="1" fieldPosition="0">
        <references count="4">
          <reference field="4" count="1" selected="0">
            <x v="8"/>
          </reference>
          <reference field="6" count="1" selected="0">
            <x v="0"/>
          </reference>
          <reference field="7" count="1" selected="0">
            <x v="18"/>
          </reference>
          <reference field="8" count="1">
            <x v="77"/>
          </reference>
        </references>
      </pivotArea>
    </format>
    <format dxfId="3119">
      <pivotArea dataOnly="0" labelOnly="1" fieldPosition="0">
        <references count="4">
          <reference field="4" count="1" selected="0">
            <x v="8"/>
          </reference>
          <reference field="6" count="1" selected="0">
            <x v="0"/>
          </reference>
          <reference field="7" count="1" selected="0">
            <x v="22"/>
          </reference>
          <reference field="8" count="3">
            <x v="92"/>
            <x v="93"/>
            <x v="94"/>
          </reference>
        </references>
      </pivotArea>
    </format>
    <format dxfId="3118">
      <pivotArea dataOnly="0" labelOnly="1" fieldPosition="0">
        <references count="4">
          <reference field="4" count="1" selected="0">
            <x v="8"/>
          </reference>
          <reference field="6" count="1" selected="0">
            <x v="1"/>
          </reference>
          <reference field="7" count="1" selected="0">
            <x v="28"/>
          </reference>
          <reference field="8" count="2">
            <x v="138"/>
            <x v="139"/>
          </reference>
        </references>
      </pivotArea>
    </format>
    <format dxfId="3117">
      <pivotArea dataOnly="0" labelOnly="1" fieldPosition="0">
        <references count="4">
          <reference field="4" count="1" selected="0">
            <x v="8"/>
          </reference>
          <reference field="6" count="1" selected="0">
            <x v="2"/>
          </reference>
          <reference field="7" count="1" selected="0">
            <x v="32"/>
          </reference>
          <reference field="8" count="2">
            <x v="158"/>
            <x v="159"/>
          </reference>
        </references>
      </pivotArea>
    </format>
    <format dxfId="3116">
      <pivotArea dataOnly="0" labelOnly="1" fieldPosition="0">
        <references count="4">
          <reference field="4" count="1" selected="0">
            <x v="8"/>
          </reference>
          <reference field="6" count="1" selected="0">
            <x v="3"/>
          </reference>
          <reference field="7" count="1" selected="0">
            <x v="6"/>
          </reference>
          <reference field="8" count="2">
            <x v="29"/>
            <x v="30"/>
          </reference>
        </references>
      </pivotArea>
    </format>
    <format dxfId="3115">
      <pivotArea dataOnly="0" labelOnly="1" fieldPosition="0">
        <references count="4">
          <reference field="4" count="1" selected="0">
            <x v="9"/>
          </reference>
          <reference field="6" count="1" selected="0">
            <x v="1"/>
          </reference>
          <reference field="7" count="1" selected="0">
            <x v="25"/>
          </reference>
          <reference field="8" count="10">
            <x v="115"/>
            <x v="116"/>
            <x v="117"/>
            <x v="118"/>
            <x v="119"/>
            <x v="120"/>
            <x v="121"/>
            <x v="122"/>
            <x v="123"/>
            <x v="124"/>
          </reference>
        </references>
      </pivotArea>
    </format>
    <format dxfId="3114">
      <pivotArea dataOnly="0" labelOnly="1" fieldPosition="0">
        <references count="4">
          <reference field="4" count="1" selected="0">
            <x v="10"/>
          </reference>
          <reference field="6" count="1" selected="0">
            <x v="3"/>
          </reference>
          <reference field="7" count="1" selected="0">
            <x v="6"/>
          </reference>
          <reference field="8" count="1">
            <x v="29"/>
          </reference>
        </references>
      </pivotArea>
    </format>
    <format dxfId="3113">
      <pivotArea dataOnly="0" labelOnly="1" fieldPosition="0">
        <references count="4">
          <reference field="4" count="1" selected="0">
            <x v="11"/>
          </reference>
          <reference field="6" count="1" selected="0">
            <x v="0"/>
          </reference>
          <reference field="7" count="1" selected="0">
            <x v="17"/>
          </reference>
          <reference field="8" count="3">
            <x v="70"/>
            <x v="71"/>
            <x v="72"/>
          </reference>
        </references>
      </pivotArea>
    </format>
    <format dxfId="3112">
      <pivotArea dataOnly="0" labelOnly="1" fieldPosition="0">
        <references count="4">
          <reference field="4" count="1" selected="0">
            <x v="12"/>
          </reference>
          <reference field="6" count="1" selected="0">
            <x v="0"/>
          </reference>
          <reference field="7" count="1" selected="0">
            <x v="18"/>
          </reference>
          <reference field="8" count="3">
            <x v="74"/>
            <x v="75"/>
            <x v="76"/>
          </reference>
        </references>
      </pivotArea>
    </format>
    <format dxfId="3111">
      <pivotArea dataOnly="0" labelOnly="1" fieldPosition="0">
        <references count="4">
          <reference field="4" count="1" selected="0">
            <x v="13"/>
          </reference>
          <reference field="6" count="1" selected="0">
            <x v="3"/>
          </reference>
          <reference field="7" count="1" selected="0">
            <x v="1"/>
          </reference>
          <reference field="8" count="1">
            <x v="6"/>
          </reference>
        </references>
      </pivotArea>
    </format>
    <format dxfId="3110">
      <pivotArea dataOnly="0" labelOnly="1" fieldPosition="0">
        <references count="4">
          <reference field="4" count="1" selected="0">
            <x v="13"/>
          </reference>
          <reference field="6" count="1" selected="0">
            <x v="3"/>
          </reference>
          <reference field="7" count="1" selected="0">
            <x v="5"/>
          </reference>
          <reference field="8" count="6">
            <x v="22"/>
            <x v="23"/>
            <x v="24"/>
            <x v="25"/>
            <x v="26"/>
            <x v="27"/>
          </reference>
        </references>
      </pivotArea>
    </format>
    <format dxfId="3109">
      <pivotArea dataOnly="0" labelOnly="1" fieldPosition="0">
        <references count="4">
          <reference field="4" count="1" selected="0">
            <x v="14"/>
          </reference>
          <reference field="6" count="1" selected="0">
            <x v="1"/>
          </reference>
          <reference field="7" count="1" selected="0">
            <x v="26"/>
          </reference>
          <reference field="8" count="7">
            <x v="125"/>
            <x v="126"/>
            <x v="127"/>
            <x v="128"/>
            <x v="129"/>
            <x v="130"/>
            <x v="131"/>
          </reference>
        </references>
      </pivotArea>
    </format>
    <format dxfId="3108">
      <pivotArea dataOnly="0" labelOnly="1" fieldPosition="0">
        <references count="4">
          <reference field="4" count="1" selected="0">
            <x v="15"/>
          </reference>
          <reference field="6" count="1" selected="0">
            <x v="0"/>
          </reference>
          <reference field="7" count="1" selected="0">
            <x v="20"/>
          </reference>
          <reference field="8" count="5">
            <x v="82"/>
            <x v="83"/>
            <x v="84"/>
            <x v="85"/>
            <x v="86"/>
          </reference>
        </references>
      </pivotArea>
    </format>
    <format dxfId="3107">
      <pivotArea dataOnly="0" labelOnly="1" fieldPosition="0">
        <references count="4">
          <reference field="4" count="1" selected="0">
            <x v="16"/>
          </reference>
          <reference field="6" count="1" selected="0">
            <x v="1"/>
          </reference>
          <reference field="7" count="1" selected="0">
            <x v="27"/>
          </reference>
          <reference field="8" count="6">
            <x v="132"/>
            <x v="133"/>
            <x v="134"/>
            <x v="135"/>
            <x v="136"/>
            <x v="137"/>
          </reference>
        </references>
      </pivotArea>
    </format>
    <format dxfId="3106">
      <pivotArea dataOnly="0" labelOnly="1" fieldPosition="0">
        <references count="4">
          <reference field="4" count="1" selected="0">
            <x v="16"/>
          </reference>
          <reference field="6" count="1" selected="0">
            <x v="3"/>
          </reference>
          <reference field="7" count="1" selected="0">
            <x v="1"/>
          </reference>
          <reference field="8" count="1">
            <x v="6"/>
          </reference>
        </references>
      </pivotArea>
    </format>
    <format dxfId="3105">
      <pivotArea dataOnly="0" labelOnly="1" fieldPosition="0">
        <references count="4">
          <reference field="4" count="1" selected="0">
            <x v="16"/>
          </reference>
          <reference field="6" count="1" selected="0">
            <x v="4"/>
          </reference>
          <reference field="7" count="1" selected="0">
            <x v="8"/>
          </reference>
          <reference field="8" count="1">
            <x v="38"/>
          </reference>
        </references>
      </pivotArea>
    </format>
    <format dxfId="3104">
      <pivotArea dataOnly="0" labelOnly="1" fieldPosition="0">
        <references count="4">
          <reference field="4" count="1" selected="0">
            <x v="16"/>
          </reference>
          <reference field="6" count="1" selected="0">
            <x v="4"/>
          </reference>
          <reference field="7" count="1" selected="0">
            <x v="11"/>
          </reference>
          <reference field="8" count="1">
            <x v="48"/>
          </reference>
        </references>
      </pivotArea>
    </format>
    <format dxfId="3103">
      <pivotArea dataOnly="0" labelOnly="1" fieldPosition="0">
        <references count="4">
          <reference field="4" count="1" selected="0">
            <x v="17"/>
          </reference>
          <reference field="6" count="1" selected="0">
            <x v="0"/>
          </reference>
          <reference field="7" count="1" selected="0">
            <x v="16"/>
          </reference>
          <reference field="8" count="7">
            <x v="57"/>
            <x v="58"/>
            <x v="59"/>
            <x v="60"/>
            <x v="61"/>
            <x v="62"/>
            <x v="63"/>
          </reference>
        </references>
      </pivotArea>
    </format>
    <format dxfId="3102">
      <pivotArea dataOnly="0" labelOnly="1" fieldPosition="0">
        <references count="4">
          <reference field="4" count="1" selected="0">
            <x v="17"/>
          </reference>
          <reference field="6" count="1" selected="0">
            <x v="0"/>
          </reference>
          <reference field="7" count="1" selected="0">
            <x v="22"/>
          </reference>
          <reference field="8" count="1">
            <x v="94"/>
          </reference>
        </references>
      </pivotArea>
    </format>
    <format dxfId="3101">
      <pivotArea dataOnly="0" labelOnly="1" fieldPosition="0">
        <references count="4">
          <reference field="4" count="1" selected="0">
            <x v="18"/>
          </reference>
          <reference field="6" count="1" selected="0">
            <x v="3"/>
          </reference>
          <reference field="7" count="1" selected="0">
            <x v="2"/>
          </reference>
          <reference field="8" count="4">
            <x v="8"/>
            <x v="9"/>
            <x v="16"/>
            <x v="17"/>
          </reference>
        </references>
      </pivotArea>
    </format>
    <format dxfId="3100">
      <pivotArea dataOnly="0" labelOnly="1" fieldPosition="0">
        <references count="4">
          <reference field="4" count="1" selected="0">
            <x v="19"/>
          </reference>
          <reference field="6" count="1" selected="0">
            <x v="3"/>
          </reference>
          <reference field="7" count="1" selected="0">
            <x v="6"/>
          </reference>
          <reference field="8" count="1">
            <x v="29"/>
          </reference>
        </references>
      </pivotArea>
    </format>
    <format dxfId="3099">
      <pivotArea dataOnly="0" labelOnly="1" fieldPosition="0">
        <references count="4">
          <reference field="4" count="1" selected="0">
            <x v="20"/>
          </reference>
          <reference field="6" count="1" selected="0">
            <x v="1"/>
          </reference>
          <reference field="7" count="1" selected="0">
            <x v="24"/>
          </reference>
          <reference field="8" count="1">
            <x v="106"/>
          </reference>
        </references>
      </pivotArea>
    </format>
    <format dxfId="3098">
      <pivotArea dataOnly="0" labelOnly="1" fieldPosition="0">
        <references count="5">
          <reference field="4" count="1" selected="0">
            <x v="0"/>
          </reference>
          <reference field="6" count="1" selected="0">
            <x v="0"/>
          </reference>
          <reference field="7" count="1" selected="0">
            <x v="17"/>
          </reference>
          <reference field="8" count="1" selected="0">
            <x v="65"/>
          </reference>
          <reference field="15" count="1">
            <x v="108"/>
          </reference>
        </references>
      </pivotArea>
    </format>
    <format dxfId="3097">
      <pivotArea dataOnly="0" labelOnly="1" fieldPosition="0">
        <references count="5">
          <reference field="4" count="1" selected="0">
            <x v="0"/>
          </reference>
          <reference field="6" count="1" selected="0">
            <x v="0"/>
          </reference>
          <reference field="7" count="1" selected="0">
            <x v="17"/>
          </reference>
          <reference field="8" count="1" selected="0">
            <x v="66"/>
          </reference>
          <reference field="15" count="2">
            <x v="365"/>
            <x v="366"/>
          </reference>
        </references>
      </pivotArea>
    </format>
    <format dxfId="3096">
      <pivotArea dataOnly="0" labelOnly="1" fieldPosition="0">
        <references count="5">
          <reference field="4" count="1" selected="0">
            <x v="0"/>
          </reference>
          <reference field="6" count="1" selected="0">
            <x v="0"/>
          </reference>
          <reference field="7" count="1" selected="0">
            <x v="17"/>
          </reference>
          <reference field="8" count="1" selected="0">
            <x v="67"/>
          </reference>
          <reference field="15" count="2">
            <x v="364"/>
            <x v="370"/>
          </reference>
        </references>
      </pivotArea>
    </format>
    <format dxfId="3095">
      <pivotArea dataOnly="0" labelOnly="1" fieldPosition="0">
        <references count="5">
          <reference field="4" count="1" selected="0">
            <x v="0"/>
          </reference>
          <reference field="6" count="1" selected="0">
            <x v="0"/>
          </reference>
          <reference field="7" count="1" selected="0">
            <x v="17"/>
          </reference>
          <reference field="8" count="1" selected="0">
            <x v="68"/>
          </reference>
          <reference field="15" count="1">
            <x v="79"/>
          </reference>
        </references>
      </pivotArea>
    </format>
    <format dxfId="3094">
      <pivotArea dataOnly="0" labelOnly="1" fieldPosition="0">
        <references count="5">
          <reference field="4" count="1" selected="0">
            <x v="0"/>
          </reference>
          <reference field="6" count="1" selected="0">
            <x v="0"/>
          </reference>
          <reference field="7" count="1" selected="0">
            <x v="17"/>
          </reference>
          <reference field="8" count="1" selected="0">
            <x v="69"/>
          </reference>
          <reference field="15" count="1">
            <x v="42"/>
          </reference>
        </references>
      </pivotArea>
    </format>
    <format dxfId="3093">
      <pivotArea dataOnly="0" labelOnly="1" fieldPosition="0">
        <references count="5">
          <reference field="4" count="1" selected="0">
            <x v="0"/>
          </reference>
          <reference field="6" count="1" selected="0">
            <x v="0"/>
          </reference>
          <reference field="7" count="1" selected="0">
            <x v="19"/>
          </reference>
          <reference field="8" count="1" selected="0">
            <x v="78"/>
          </reference>
          <reference field="15" count="1">
            <x v="236"/>
          </reference>
        </references>
      </pivotArea>
    </format>
    <format dxfId="3092">
      <pivotArea dataOnly="0" labelOnly="1" fieldPosition="0">
        <references count="5">
          <reference field="4" count="1" selected="0">
            <x v="0"/>
          </reference>
          <reference field="6" count="1" selected="0">
            <x v="0"/>
          </reference>
          <reference field="7" count="1" selected="0">
            <x v="19"/>
          </reference>
          <reference field="8" count="1" selected="0">
            <x v="79"/>
          </reference>
          <reference field="15" count="1">
            <x v="12"/>
          </reference>
        </references>
      </pivotArea>
    </format>
    <format dxfId="3091">
      <pivotArea dataOnly="0" labelOnly="1" fieldPosition="0">
        <references count="5">
          <reference field="4" count="1" selected="0">
            <x v="0"/>
          </reference>
          <reference field="6" count="1" selected="0">
            <x v="0"/>
          </reference>
          <reference field="7" count="1" selected="0">
            <x v="19"/>
          </reference>
          <reference field="8" count="1" selected="0">
            <x v="80"/>
          </reference>
          <reference field="15" count="2">
            <x v="10"/>
            <x v="11"/>
          </reference>
        </references>
      </pivotArea>
    </format>
    <format dxfId="3090">
      <pivotArea dataOnly="0" labelOnly="1" fieldPosition="0">
        <references count="5">
          <reference field="4" count="1" selected="0">
            <x v="0"/>
          </reference>
          <reference field="6" count="1" selected="0">
            <x v="1"/>
          </reference>
          <reference field="7" count="1" selected="0">
            <x v="23"/>
          </reference>
          <reference field="8" count="1" selected="0">
            <x v="95"/>
          </reference>
          <reference field="15" count="1">
            <x v="250"/>
          </reference>
        </references>
      </pivotArea>
    </format>
    <format dxfId="3089">
      <pivotArea dataOnly="0" labelOnly="1" fieldPosition="0">
        <references count="5">
          <reference field="4" count="1" selected="0">
            <x v="0"/>
          </reference>
          <reference field="6" count="1" selected="0">
            <x v="1"/>
          </reference>
          <reference field="7" count="1" selected="0">
            <x v="23"/>
          </reference>
          <reference field="8" count="1" selected="0">
            <x v="96"/>
          </reference>
          <reference field="15" count="2">
            <x v="251"/>
            <x v="358"/>
          </reference>
        </references>
      </pivotArea>
    </format>
    <format dxfId="3088">
      <pivotArea dataOnly="0" labelOnly="1" fieldPosition="0">
        <references count="5">
          <reference field="4" count="1" selected="0">
            <x v="0"/>
          </reference>
          <reference field="6" count="1" selected="0">
            <x v="1"/>
          </reference>
          <reference field="7" count="1" selected="0">
            <x v="23"/>
          </reference>
          <reference field="8" count="1" selected="0">
            <x v="97"/>
          </reference>
          <reference field="15" count="1">
            <x v="257"/>
          </reference>
        </references>
      </pivotArea>
    </format>
    <format dxfId="3087">
      <pivotArea dataOnly="0" labelOnly="1" fieldPosition="0">
        <references count="5">
          <reference field="4" count="1" selected="0">
            <x v="0"/>
          </reference>
          <reference field="6" count="1" selected="0">
            <x v="1"/>
          </reference>
          <reference field="7" count="1" selected="0">
            <x v="23"/>
          </reference>
          <reference field="8" count="1" selected="0">
            <x v="98"/>
          </reference>
          <reference field="15" count="1">
            <x v="43"/>
          </reference>
        </references>
      </pivotArea>
    </format>
    <format dxfId="3086">
      <pivotArea dataOnly="0" labelOnly="1" fieldPosition="0">
        <references count="5">
          <reference field="4" count="1" selected="0">
            <x v="0"/>
          </reference>
          <reference field="6" count="1" selected="0">
            <x v="1"/>
          </reference>
          <reference field="7" count="1" selected="0">
            <x v="23"/>
          </reference>
          <reference field="8" count="1" selected="0">
            <x v="99"/>
          </reference>
          <reference field="15" count="1">
            <x v="254"/>
          </reference>
        </references>
      </pivotArea>
    </format>
    <format dxfId="3085">
      <pivotArea dataOnly="0" labelOnly="1" fieldPosition="0">
        <references count="5">
          <reference field="4" count="1" selected="0">
            <x v="0"/>
          </reference>
          <reference field="6" count="1" selected="0">
            <x v="1"/>
          </reference>
          <reference field="7" count="1" selected="0">
            <x v="23"/>
          </reference>
          <reference field="8" count="1" selected="0">
            <x v="100"/>
          </reference>
          <reference field="15" count="1">
            <x v="253"/>
          </reference>
        </references>
      </pivotArea>
    </format>
    <format dxfId="3084">
      <pivotArea dataOnly="0" labelOnly="1" fieldPosition="0">
        <references count="5">
          <reference field="4" count="1" selected="0">
            <x v="0"/>
          </reference>
          <reference field="6" count="1" selected="0">
            <x v="1"/>
          </reference>
          <reference field="7" count="1" selected="0">
            <x v="23"/>
          </reference>
          <reference field="8" count="1" selected="0">
            <x v="101"/>
          </reference>
          <reference field="15" count="1">
            <x v="255"/>
          </reference>
        </references>
      </pivotArea>
    </format>
    <format dxfId="3083">
      <pivotArea dataOnly="0" labelOnly="1" fieldPosition="0">
        <references count="5">
          <reference field="4" count="1" selected="0">
            <x v="0"/>
          </reference>
          <reference field="6" count="1" selected="0">
            <x v="1"/>
          </reference>
          <reference field="7" count="1" selected="0">
            <x v="23"/>
          </reference>
          <reference field="8" count="1" selected="0">
            <x v="102"/>
          </reference>
          <reference field="15" count="1">
            <x v="40"/>
          </reference>
        </references>
      </pivotArea>
    </format>
    <format dxfId="3082">
      <pivotArea dataOnly="0" labelOnly="1" fieldPosition="0">
        <references count="5">
          <reference field="4" count="1" selected="0">
            <x v="0"/>
          </reference>
          <reference field="6" count="1" selected="0">
            <x v="1"/>
          </reference>
          <reference field="7" count="1" selected="0">
            <x v="23"/>
          </reference>
          <reference field="8" count="1" selected="0">
            <x v="103"/>
          </reference>
          <reference field="15" count="1">
            <x v="252"/>
          </reference>
        </references>
      </pivotArea>
    </format>
    <format dxfId="3081">
      <pivotArea dataOnly="0" labelOnly="1" fieldPosition="0">
        <references count="5">
          <reference field="4" count="1" selected="0">
            <x v="0"/>
          </reference>
          <reference field="6" count="1" selected="0">
            <x v="1"/>
          </reference>
          <reference field="7" count="1" selected="0">
            <x v="23"/>
          </reference>
          <reference field="8" count="1" selected="0">
            <x v="104"/>
          </reference>
          <reference field="15" count="1">
            <x v="256"/>
          </reference>
        </references>
      </pivotArea>
    </format>
    <format dxfId="3080">
      <pivotArea dataOnly="0" labelOnly="1" fieldPosition="0">
        <references count="5">
          <reference field="4" count="1" selected="0">
            <x v="0"/>
          </reference>
          <reference field="6" count="1" selected="0">
            <x v="1"/>
          </reference>
          <reference field="7" count="1" selected="0">
            <x v="26"/>
          </reference>
          <reference field="8" count="1" selected="0">
            <x v="131"/>
          </reference>
          <reference field="15" count="1">
            <x v="13"/>
          </reference>
        </references>
      </pivotArea>
    </format>
    <format dxfId="3079">
      <pivotArea dataOnly="0" labelOnly="1" fieldPosition="0">
        <references count="5">
          <reference field="4" count="1" selected="0">
            <x v="1"/>
          </reference>
          <reference field="6" count="1" selected="0">
            <x v="0"/>
          </reference>
          <reference field="7" count="1" selected="0">
            <x v="19"/>
          </reference>
          <reference field="8" count="1" selected="0">
            <x v="81"/>
          </reference>
          <reference field="15" count="1">
            <x v="231"/>
          </reference>
        </references>
      </pivotArea>
    </format>
    <format dxfId="3078">
      <pivotArea dataOnly="0" labelOnly="1" fieldPosition="0">
        <references count="5">
          <reference field="4" count="1" selected="0">
            <x v="1"/>
          </reference>
          <reference field="6" count="1" selected="0">
            <x v="3"/>
          </reference>
          <reference field="7" count="1" selected="0">
            <x v="2"/>
          </reference>
          <reference field="8" count="1" selected="0">
            <x v="7"/>
          </reference>
          <reference field="15" count="5">
            <x v="117"/>
            <x v="124"/>
            <x v="131"/>
            <x v="380"/>
            <x v="400"/>
          </reference>
        </references>
      </pivotArea>
    </format>
    <format dxfId="3077">
      <pivotArea dataOnly="0" labelOnly="1" fieldPosition="0">
        <references count="5">
          <reference field="4" count="1" selected="0">
            <x v="1"/>
          </reference>
          <reference field="6" count="1" selected="0">
            <x v="3"/>
          </reference>
          <reference field="7" count="1" selected="0">
            <x v="2"/>
          </reference>
          <reference field="8" count="1" selected="0">
            <x v="10"/>
          </reference>
          <reference field="15" count="2">
            <x v="17"/>
            <x v="18"/>
          </reference>
        </references>
      </pivotArea>
    </format>
    <format dxfId="3076">
      <pivotArea dataOnly="0" labelOnly="1" fieldPosition="0">
        <references count="5">
          <reference field="4" count="1" selected="0">
            <x v="1"/>
          </reference>
          <reference field="6" count="1" selected="0">
            <x v="3"/>
          </reference>
          <reference field="7" count="1" selected="0">
            <x v="2"/>
          </reference>
          <reference field="8" count="1" selected="0">
            <x v="11"/>
          </reference>
          <reference field="15" count="2">
            <x v="7"/>
            <x v="8"/>
          </reference>
        </references>
      </pivotArea>
    </format>
    <format dxfId="3075">
      <pivotArea dataOnly="0" labelOnly="1" fieldPosition="0">
        <references count="5">
          <reference field="4" count="1" selected="0">
            <x v="1"/>
          </reference>
          <reference field="6" count="1" selected="0">
            <x v="3"/>
          </reference>
          <reference field="7" count="1" selected="0">
            <x v="2"/>
          </reference>
          <reference field="8" count="1" selected="0">
            <x v="12"/>
          </reference>
          <reference field="15" count="1">
            <x v="107"/>
          </reference>
        </references>
      </pivotArea>
    </format>
    <format dxfId="3074">
      <pivotArea dataOnly="0" labelOnly="1" fieldPosition="0">
        <references count="5">
          <reference field="4" count="1" selected="0">
            <x v="1"/>
          </reference>
          <reference field="6" count="1" selected="0">
            <x v="3"/>
          </reference>
          <reference field="7" count="1" selected="0">
            <x v="2"/>
          </reference>
          <reference field="8" count="1" selected="0">
            <x v="13"/>
          </reference>
          <reference field="15" count="1">
            <x v="6"/>
          </reference>
        </references>
      </pivotArea>
    </format>
    <format dxfId="3073">
      <pivotArea dataOnly="0" labelOnly="1" fieldPosition="0">
        <references count="5">
          <reference field="4" count="1" selected="0">
            <x v="1"/>
          </reference>
          <reference field="6" count="1" selected="0">
            <x v="3"/>
          </reference>
          <reference field="7" count="1" selected="0">
            <x v="2"/>
          </reference>
          <reference field="8" count="1" selected="0">
            <x v="14"/>
          </reference>
          <reference field="15" count="2">
            <x v="46"/>
            <x v="47"/>
          </reference>
        </references>
      </pivotArea>
    </format>
    <format dxfId="3072">
      <pivotArea dataOnly="0" labelOnly="1" fieldPosition="0">
        <references count="5">
          <reference field="4" count="1" selected="0">
            <x v="1"/>
          </reference>
          <reference field="6" count="1" selected="0">
            <x v="3"/>
          </reference>
          <reference field="7" count="1" selected="0">
            <x v="2"/>
          </reference>
          <reference field="8" count="1" selected="0">
            <x v="15"/>
          </reference>
          <reference field="15" count="1">
            <x v="372"/>
          </reference>
        </references>
      </pivotArea>
    </format>
    <format dxfId="3071">
      <pivotArea dataOnly="0" labelOnly="1" fieldPosition="0">
        <references count="5">
          <reference field="4" count="1" selected="0">
            <x v="1"/>
          </reference>
          <reference field="6" count="1" selected="0">
            <x v="3"/>
          </reference>
          <reference field="7" count="1" selected="0">
            <x v="3"/>
          </reference>
          <reference field="8" count="1" selected="0">
            <x v="18"/>
          </reference>
          <reference field="15" count="1">
            <x v="232"/>
          </reference>
        </references>
      </pivotArea>
    </format>
    <format dxfId="3070">
      <pivotArea dataOnly="0" labelOnly="1" fieldPosition="0">
        <references count="5">
          <reference field="4" count="1" selected="0">
            <x v="1"/>
          </reference>
          <reference field="6" count="1" selected="0">
            <x v="3"/>
          </reference>
          <reference field="7" count="1" selected="0">
            <x v="3"/>
          </reference>
          <reference field="8" count="1" selected="0">
            <x v="19"/>
          </reference>
          <reference field="15" count="1">
            <x v="9"/>
          </reference>
        </references>
      </pivotArea>
    </format>
    <format dxfId="3069">
      <pivotArea dataOnly="0" labelOnly="1" fieldPosition="0">
        <references count="5">
          <reference field="4" count="1" selected="0">
            <x v="1"/>
          </reference>
          <reference field="6" count="1" selected="0">
            <x v="3"/>
          </reference>
          <reference field="7" count="1" selected="0">
            <x v="4"/>
          </reference>
          <reference field="8" count="1" selected="0">
            <x v="20"/>
          </reference>
          <reference field="15" count="1">
            <x v="34"/>
          </reference>
        </references>
      </pivotArea>
    </format>
    <format dxfId="3068">
      <pivotArea dataOnly="0" labelOnly="1" fieldPosition="0">
        <references count="5">
          <reference field="4" count="1" selected="0">
            <x v="1"/>
          </reference>
          <reference field="6" count="1" selected="0">
            <x v="3"/>
          </reference>
          <reference field="7" count="1" selected="0">
            <x v="4"/>
          </reference>
          <reference field="8" count="1" selected="0">
            <x v="21"/>
          </reference>
          <reference field="15" count="1">
            <x v="98"/>
          </reference>
        </references>
      </pivotArea>
    </format>
    <format dxfId="3067">
      <pivotArea dataOnly="0" labelOnly="1" fieldPosition="0">
        <references count="5">
          <reference field="4" count="1" selected="0">
            <x v="1"/>
          </reference>
          <reference field="6" count="1" selected="0">
            <x v="4"/>
          </reference>
          <reference field="7" count="1" selected="0">
            <x v="8"/>
          </reference>
          <reference field="8" count="1" selected="0">
            <x v="33"/>
          </reference>
          <reference field="15" count="1">
            <x v="237"/>
          </reference>
        </references>
      </pivotArea>
    </format>
    <format dxfId="3066">
      <pivotArea dataOnly="0" labelOnly="1" fieldPosition="0">
        <references count="5">
          <reference field="4" count="1" selected="0">
            <x v="1"/>
          </reference>
          <reference field="6" count="1" selected="0">
            <x v="4"/>
          </reference>
          <reference field="7" count="1" selected="0">
            <x v="8"/>
          </reference>
          <reference field="8" count="1" selected="0">
            <x v="34"/>
          </reference>
          <reference field="15" count="1">
            <x v="373"/>
          </reference>
        </references>
      </pivotArea>
    </format>
    <format dxfId="3065">
      <pivotArea dataOnly="0" labelOnly="1" fieldPosition="0">
        <references count="5">
          <reference field="4" count="1" selected="0">
            <x v="1"/>
          </reference>
          <reference field="6" count="1" selected="0">
            <x v="4"/>
          </reference>
          <reference field="7" count="1" selected="0">
            <x v="8"/>
          </reference>
          <reference field="8" count="1" selected="0">
            <x v="39"/>
          </reference>
          <reference field="15" count="2">
            <x v="233"/>
            <x v="234"/>
          </reference>
        </references>
      </pivotArea>
    </format>
    <format dxfId="3064">
      <pivotArea dataOnly="0" labelOnly="1" fieldPosition="0">
        <references count="5">
          <reference field="4" count="1" selected="0">
            <x v="2"/>
          </reference>
          <reference field="6" count="1" selected="0">
            <x v="2"/>
          </reference>
          <reference field="7" count="1" selected="0">
            <x v="29"/>
          </reference>
          <reference field="8" count="1" selected="0">
            <x v="145"/>
          </reference>
          <reference field="15" count="1">
            <x v="377"/>
          </reference>
        </references>
      </pivotArea>
    </format>
    <format dxfId="3063">
      <pivotArea dataOnly="0" labelOnly="1" fieldPosition="0">
        <references count="5">
          <reference field="4" count="1" selected="0">
            <x v="2"/>
          </reference>
          <reference field="6" count="1" selected="0">
            <x v="2"/>
          </reference>
          <reference field="7" count="1" selected="0">
            <x v="29"/>
          </reference>
          <reference field="8" count="1" selected="0">
            <x v="146"/>
          </reference>
          <reference field="15" count="1">
            <x v="139"/>
          </reference>
        </references>
      </pivotArea>
    </format>
    <format dxfId="3062">
      <pivotArea dataOnly="0" labelOnly="1" fieldPosition="0">
        <references count="5">
          <reference field="4" count="1" selected="0">
            <x v="2"/>
          </reference>
          <reference field="6" count="1" selected="0">
            <x v="2"/>
          </reference>
          <reference field="7" count="1" selected="0">
            <x v="29"/>
          </reference>
          <reference field="8" count="1" selected="0">
            <x v="147"/>
          </reference>
          <reference field="15" count="1">
            <x v="127"/>
          </reference>
        </references>
      </pivotArea>
    </format>
    <format dxfId="3061">
      <pivotArea dataOnly="0" labelOnly="1" fieldPosition="0">
        <references count="5">
          <reference field="4" count="1" selected="0">
            <x v="2"/>
          </reference>
          <reference field="6" count="1" selected="0">
            <x v="2"/>
          </reference>
          <reference field="7" count="1" selected="0">
            <x v="29"/>
          </reference>
          <reference field="8" count="1" selected="0">
            <x v="148"/>
          </reference>
          <reference field="15" count="1">
            <x v="142"/>
          </reference>
        </references>
      </pivotArea>
    </format>
    <format dxfId="3060">
      <pivotArea dataOnly="0" labelOnly="1" fieldPosition="0">
        <references count="5">
          <reference field="4" count="1" selected="0">
            <x v="2"/>
          </reference>
          <reference field="6" count="1" selected="0">
            <x v="2"/>
          </reference>
          <reference field="7" count="1" selected="0">
            <x v="29"/>
          </reference>
          <reference field="8" count="1" selected="0">
            <x v="149"/>
          </reference>
          <reference field="15" count="1">
            <x v="140"/>
          </reference>
        </references>
      </pivotArea>
    </format>
    <format dxfId="3059">
      <pivotArea dataOnly="0" labelOnly="1" fieldPosition="0">
        <references count="5">
          <reference field="4" count="1" selected="0">
            <x v="2"/>
          </reference>
          <reference field="6" count="1" selected="0">
            <x v="2"/>
          </reference>
          <reference field="7" count="1" selected="0">
            <x v="29"/>
          </reference>
          <reference field="8" count="1" selected="0">
            <x v="150"/>
          </reference>
          <reference field="15" count="1">
            <x v="144"/>
          </reference>
        </references>
      </pivotArea>
    </format>
    <format dxfId="3058">
      <pivotArea dataOnly="0" labelOnly="1" fieldPosition="0">
        <references count="5">
          <reference field="4" count="1" selected="0">
            <x v="2"/>
          </reference>
          <reference field="6" count="1" selected="0">
            <x v="2"/>
          </reference>
          <reference field="7" count="1" selected="0">
            <x v="30"/>
          </reference>
          <reference field="8" count="1" selected="0">
            <x v="152"/>
          </reference>
          <reference field="15" count="2">
            <x v="128"/>
            <x v="129"/>
          </reference>
        </references>
      </pivotArea>
    </format>
    <format dxfId="3057">
      <pivotArea dataOnly="0" labelOnly="1" fieldPosition="0">
        <references count="5">
          <reference field="4" count="1" selected="0">
            <x v="2"/>
          </reference>
          <reference field="6" count="1" selected="0">
            <x v="2"/>
          </reference>
          <reference field="7" count="1" selected="0">
            <x v="30"/>
          </reference>
          <reference field="8" count="1" selected="0">
            <x v="153"/>
          </reference>
          <reference field="15" count="1">
            <x v="141"/>
          </reference>
        </references>
      </pivotArea>
    </format>
    <format dxfId="3056">
      <pivotArea dataOnly="0" labelOnly="1" fieldPosition="0">
        <references count="5">
          <reference field="4" count="1" selected="0">
            <x v="2"/>
          </reference>
          <reference field="6" count="1" selected="0">
            <x v="3"/>
          </reference>
          <reference field="7" count="1" selected="0">
            <x v="5"/>
          </reference>
          <reference field="8" count="1" selected="0">
            <x v="24"/>
          </reference>
          <reference field="15" count="1">
            <x v="339"/>
          </reference>
        </references>
      </pivotArea>
    </format>
    <format dxfId="3055">
      <pivotArea dataOnly="0" labelOnly="1" fieldPosition="0">
        <references count="5">
          <reference field="4" count="1" selected="0">
            <x v="2"/>
          </reference>
          <reference field="6" count="1" selected="0">
            <x v="3"/>
          </reference>
          <reference field="7" count="1" selected="0">
            <x v="7"/>
          </reference>
          <reference field="8" count="1" selected="0">
            <x v="31"/>
          </reference>
          <reference field="15" count="2">
            <x v="391"/>
            <x v="392"/>
          </reference>
        </references>
      </pivotArea>
    </format>
    <format dxfId="3054">
      <pivotArea dataOnly="0" labelOnly="1" fieldPosition="0">
        <references count="5">
          <reference field="4" count="1" selected="0">
            <x v="2"/>
          </reference>
          <reference field="6" count="1" selected="0">
            <x v="3"/>
          </reference>
          <reference field="7" count="1" selected="0">
            <x v="7"/>
          </reference>
          <reference field="8" count="1" selected="0">
            <x v="32"/>
          </reference>
          <reference field="15" count="1">
            <x v="371"/>
          </reference>
        </references>
      </pivotArea>
    </format>
    <format dxfId="3053">
      <pivotArea dataOnly="0" labelOnly="1" fieldPosition="0">
        <references count="5">
          <reference field="4" count="1" selected="0">
            <x v="2"/>
          </reference>
          <reference field="6" count="1" selected="0">
            <x v="4"/>
          </reference>
          <reference field="7" count="1" selected="0">
            <x v="8"/>
          </reference>
          <reference field="8" count="1" selected="0">
            <x v="36"/>
          </reference>
          <reference field="15" count="1">
            <x v="379"/>
          </reference>
        </references>
      </pivotArea>
    </format>
    <format dxfId="3052">
      <pivotArea dataOnly="0" labelOnly="1" fieldPosition="0">
        <references count="5">
          <reference field="4" count="1" selected="0">
            <x v="2"/>
          </reference>
          <reference field="6" count="1" selected="0">
            <x v="4"/>
          </reference>
          <reference field="7" count="1" selected="0">
            <x v="8"/>
          </reference>
          <reference field="8" count="1" selected="0">
            <x v="39"/>
          </reference>
          <reference field="15" count="1">
            <x v="378"/>
          </reference>
        </references>
      </pivotArea>
    </format>
    <format dxfId="3051">
      <pivotArea dataOnly="0" labelOnly="1" fieldPosition="0">
        <references count="5">
          <reference field="4" count="1" selected="0">
            <x v="3"/>
          </reference>
          <reference field="6" count="1" selected="0">
            <x v="3"/>
          </reference>
          <reference field="7" count="1" selected="0">
            <x v="6"/>
          </reference>
          <reference field="8" count="1" selected="0">
            <x v="29"/>
          </reference>
          <reference field="15" count="41">
            <x v="0"/>
            <x v="1"/>
            <x v="167"/>
            <x v="175"/>
            <x v="176"/>
            <x v="177"/>
            <x v="178"/>
            <x v="179"/>
            <x v="180"/>
            <x v="181"/>
            <x v="182"/>
            <x v="201"/>
            <x v="202"/>
            <x v="205"/>
            <x v="206"/>
            <x v="207"/>
            <x v="208"/>
            <x v="209"/>
            <x v="210"/>
            <x v="211"/>
            <x v="212"/>
            <x v="213"/>
            <x v="214"/>
            <x v="215"/>
            <x v="216"/>
            <x v="217"/>
            <x v="218"/>
            <x v="219"/>
            <x v="220"/>
            <x v="221"/>
            <x v="224"/>
            <x v="225"/>
            <x v="226"/>
            <x v="227"/>
            <x v="228"/>
            <x v="393"/>
            <x v="394"/>
            <x v="396"/>
            <x v="397"/>
            <x v="398"/>
            <x v="399"/>
          </reference>
        </references>
      </pivotArea>
    </format>
    <format dxfId="3050">
      <pivotArea dataOnly="0" labelOnly="1" fieldPosition="0">
        <references count="5">
          <reference field="4" count="1" selected="0">
            <x v="4"/>
          </reference>
          <reference field="6" count="1" selected="0">
            <x v="0"/>
          </reference>
          <reference field="7" count="1" selected="0">
            <x v="21"/>
          </reference>
          <reference field="8" count="1" selected="0">
            <x v="87"/>
          </reference>
          <reference field="15" count="8">
            <x v="126"/>
            <x v="293"/>
            <x v="305"/>
            <x v="306"/>
            <x v="317"/>
            <x v="388"/>
            <x v="389"/>
            <x v="390"/>
          </reference>
        </references>
      </pivotArea>
    </format>
    <format dxfId="3049">
      <pivotArea dataOnly="0" labelOnly="1" fieldPosition="0">
        <references count="5">
          <reference field="4" count="1" selected="0">
            <x v="4"/>
          </reference>
          <reference field="6" count="1" selected="0">
            <x v="0"/>
          </reference>
          <reference field="7" count="1" selected="0">
            <x v="21"/>
          </reference>
          <reference field="8" count="1" selected="0">
            <x v="88"/>
          </reference>
          <reference field="15" count="3">
            <x v="291"/>
            <x v="292"/>
            <x v="301"/>
          </reference>
        </references>
      </pivotArea>
    </format>
    <format dxfId="3048">
      <pivotArea dataOnly="0" labelOnly="1" fieldPosition="0">
        <references count="5">
          <reference field="4" count="1" selected="0">
            <x v="4"/>
          </reference>
          <reference field="6" count="1" selected="0">
            <x v="0"/>
          </reference>
          <reference field="7" count="1" selected="0">
            <x v="21"/>
          </reference>
          <reference field="8" count="1" selected="0">
            <x v="89"/>
          </reference>
          <reference field="15" count="1">
            <x v="310"/>
          </reference>
        </references>
      </pivotArea>
    </format>
    <format dxfId="3047">
      <pivotArea dataOnly="0" labelOnly="1" fieldPosition="0">
        <references count="5">
          <reference field="4" count="1" selected="0">
            <x v="4"/>
          </reference>
          <reference field="6" count="1" selected="0">
            <x v="0"/>
          </reference>
          <reference field="7" count="1" selected="0">
            <x v="21"/>
          </reference>
          <reference field="8" count="1" selected="0">
            <x v="90"/>
          </reference>
          <reference field="15" count="1">
            <x v="385"/>
          </reference>
        </references>
      </pivotArea>
    </format>
    <format dxfId="3046">
      <pivotArea dataOnly="0" labelOnly="1" fieldPosition="0">
        <references count="5">
          <reference field="4" count="1" selected="0">
            <x v="4"/>
          </reference>
          <reference field="6" count="1" selected="0">
            <x v="0"/>
          </reference>
          <reference field="7" count="1" selected="0">
            <x v="21"/>
          </reference>
          <reference field="8" count="1" selected="0">
            <x v="91"/>
          </reference>
          <reference field="15" count="2">
            <x v="264"/>
            <x v="265"/>
          </reference>
        </references>
      </pivotArea>
    </format>
    <format dxfId="3045">
      <pivotArea dataOnly="0" labelOnly="1" fieldPosition="0">
        <references count="5">
          <reference field="4" count="1" selected="0">
            <x v="4"/>
          </reference>
          <reference field="6" count="1" selected="0">
            <x v="1"/>
          </reference>
          <reference field="7" count="1" selected="0">
            <x v="24"/>
          </reference>
          <reference field="8" count="1" selected="0">
            <x v="114"/>
          </reference>
          <reference field="15" count="1">
            <x v="263"/>
          </reference>
        </references>
      </pivotArea>
    </format>
    <format dxfId="3044">
      <pivotArea dataOnly="0" labelOnly="1" fieldPosition="0">
        <references count="5">
          <reference field="4" count="1" selected="0">
            <x v="4"/>
          </reference>
          <reference field="6" count="1" selected="0">
            <x v="2"/>
          </reference>
          <reference field="7" count="1" selected="0">
            <x v="29"/>
          </reference>
          <reference field="8" count="1" selected="0">
            <x v="142"/>
          </reference>
          <reference field="15" count="1">
            <x v="283"/>
          </reference>
        </references>
      </pivotArea>
    </format>
    <format dxfId="3043">
      <pivotArea dataOnly="0" labelOnly="1" fieldPosition="0">
        <references count="5">
          <reference field="4" count="1" selected="0">
            <x v="4"/>
          </reference>
          <reference field="6" count="1" selected="0">
            <x v="2"/>
          </reference>
          <reference field="7" count="1" selected="0">
            <x v="29"/>
          </reference>
          <reference field="8" count="1" selected="0">
            <x v="143"/>
          </reference>
          <reference field="15" count="2">
            <x v="289"/>
            <x v="314"/>
          </reference>
        </references>
      </pivotArea>
    </format>
    <format dxfId="3042">
      <pivotArea dataOnly="0" labelOnly="1" fieldPosition="0">
        <references count="5">
          <reference field="4" count="1" selected="0">
            <x v="4"/>
          </reference>
          <reference field="6" count="1" selected="0">
            <x v="2"/>
          </reference>
          <reference field="7" count="1" selected="0">
            <x v="29"/>
          </reference>
          <reference field="8" count="1" selected="0">
            <x v="151"/>
          </reference>
          <reference field="15" count="1">
            <x v="387"/>
          </reference>
        </references>
      </pivotArea>
    </format>
    <format dxfId="3041">
      <pivotArea dataOnly="0" labelOnly="1" fieldPosition="0">
        <references count="5">
          <reference field="4" count="1" selected="0">
            <x v="4"/>
          </reference>
          <reference field="6" count="1" selected="0">
            <x v="2"/>
          </reference>
          <reference field="7" count="1" selected="0">
            <x v="31"/>
          </reference>
          <reference field="8" count="1" selected="0">
            <x v="155"/>
          </reference>
          <reference field="15" count="4">
            <x v="235"/>
            <x v="303"/>
            <x v="374"/>
            <x v="386"/>
          </reference>
        </references>
      </pivotArea>
    </format>
    <format dxfId="3040">
      <pivotArea dataOnly="0" labelOnly="1" fieldPosition="0">
        <references count="5">
          <reference field="4" count="1" selected="0">
            <x v="4"/>
          </reference>
          <reference field="6" count="1" selected="0">
            <x v="2"/>
          </reference>
          <reference field="7" count="1" selected="0">
            <x v="31"/>
          </reference>
          <reference field="8" count="1" selected="0">
            <x v="156"/>
          </reference>
          <reference field="15" count="1">
            <x v="304"/>
          </reference>
        </references>
      </pivotArea>
    </format>
    <format dxfId="3039">
      <pivotArea dataOnly="0" labelOnly="1" fieldPosition="0">
        <references count="5">
          <reference field="4" count="1" selected="0">
            <x v="4"/>
          </reference>
          <reference field="6" count="1" selected="0">
            <x v="2"/>
          </reference>
          <reference field="7" count="1" selected="0">
            <x v="31"/>
          </reference>
          <reference field="8" count="1" selected="0">
            <x v="157"/>
          </reference>
          <reference field="15" count="1">
            <x v="302"/>
          </reference>
        </references>
      </pivotArea>
    </format>
    <format dxfId="3038">
      <pivotArea dataOnly="0" labelOnly="1" fieldPosition="0">
        <references count="5">
          <reference field="4" count="1" selected="0">
            <x v="4"/>
          </reference>
          <reference field="6" count="1" selected="0">
            <x v="3"/>
          </reference>
          <reference field="7" count="1" selected="0">
            <x v="0"/>
          </reference>
          <reference field="8" count="1" selected="0">
            <x v="0"/>
          </reference>
          <reference field="15" count="2">
            <x v="125"/>
            <x v="269"/>
          </reference>
        </references>
      </pivotArea>
    </format>
    <format dxfId="3037">
      <pivotArea dataOnly="0" labelOnly="1" fieldPosition="0">
        <references count="5">
          <reference field="4" count="1" selected="0">
            <x v="4"/>
          </reference>
          <reference field="6" count="1" selected="0">
            <x v="3"/>
          </reference>
          <reference field="7" count="1" selected="0">
            <x v="0"/>
          </reference>
          <reference field="8" count="1" selected="0">
            <x v="1"/>
          </reference>
          <reference field="15" count="1">
            <x v="382"/>
          </reference>
        </references>
      </pivotArea>
    </format>
    <format dxfId="3036">
      <pivotArea dataOnly="0" labelOnly="1" fieldPosition="0">
        <references count="5">
          <reference field="4" count="1" selected="0">
            <x v="4"/>
          </reference>
          <reference field="6" count="1" selected="0">
            <x v="3"/>
          </reference>
          <reference field="7" count="1" selected="0">
            <x v="1"/>
          </reference>
          <reference field="8" count="1" selected="0">
            <x v="2"/>
          </reference>
          <reference field="15" count="1">
            <x v="282"/>
          </reference>
        </references>
      </pivotArea>
    </format>
    <format dxfId="3035">
      <pivotArea dataOnly="0" labelOnly="1" fieldPosition="0">
        <references count="5">
          <reference field="4" count="1" selected="0">
            <x v="4"/>
          </reference>
          <reference field="6" count="1" selected="0">
            <x v="3"/>
          </reference>
          <reference field="7" count="1" selected="0">
            <x v="1"/>
          </reference>
          <reference field="8" count="1" selected="0">
            <x v="3"/>
          </reference>
          <reference field="15" count="1">
            <x v="384"/>
          </reference>
        </references>
      </pivotArea>
    </format>
    <format dxfId="3034">
      <pivotArea dataOnly="0" labelOnly="1" fieldPosition="0">
        <references count="5">
          <reference field="4" count="1" selected="0">
            <x v="4"/>
          </reference>
          <reference field="6" count="1" selected="0">
            <x v="3"/>
          </reference>
          <reference field="7" count="1" selected="0">
            <x v="1"/>
          </reference>
          <reference field="8" count="1" selected="0">
            <x v="4"/>
          </reference>
          <reference field="15" count="1">
            <x v="298"/>
          </reference>
        </references>
      </pivotArea>
    </format>
    <format dxfId="3033">
      <pivotArea dataOnly="0" labelOnly="1" fieldPosition="0">
        <references count="5">
          <reference field="4" count="1" selected="0">
            <x v="4"/>
          </reference>
          <reference field="6" count="1" selected="0">
            <x v="3"/>
          </reference>
          <reference field="7" count="1" selected="0">
            <x v="1"/>
          </reference>
          <reference field="8" count="1" selected="0">
            <x v="5"/>
          </reference>
          <reference field="15" count="2">
            <x v="381"/>
            <x v="383"/>
          </reference>
        </references>
      </pivotArea>
    </format>
    <format dxfId="3032">
      <pivotArea dataOnly="0" labelOnly="1" fieldPosition="0">
        <references count="5">
          <reference field="4" count="1" selected="0">
            <x v="5"/>
          </reference>
          <reference field="6" count="1" selected="0">
            <x v="0"/>
          </reference>
          <reference field="7" count="1" selected="0">
            <x v="18"/>
          </reference>
          <reference field="8" count="1" selected="0">
            <x v="73"/>
          </reference>
          <reference field="15" count="3">
            <x v="245"/>
            <x v="246"/>
            <x v="313"/>
          </reference>
        </references>
      </pivotArea>
    </format>
    <format dxfId="3031">
      <pivotArea dataOnly="0" labelOnly="1" fieldPosition="0">
        <references count="5">
          <reference field="4" count="1" selected="0">
            <x v="5"/>
          </reference>
          <reference field="6" count="1" selected="0">
            <x v="0"/>
          </reference>
          <reference field="7" count="1" selected="0">
            <x v="18"/>
          </reference>
          <reference field="8" count="1" selected="0">
            <x v="74"/>
          </reference>
          <reference field="15" count="1">
            <x v="230"/>
          </reference>
        </references>
      </pivotArea>
    </format>
    <format dxfId="3030">
      <pivotArea dataOnly="0" labelOnly="1" fieldPosition="0">
        <references count="5">
          <reference field="4" count="1" selected="0">
            <x v="5"/>
          </reference>
          <reference field="6" count="1" selected="0">
            <x v="0"/>
          </reference>
          <reference field="7" count="1" selected="0">
            <x v="18"/>
          </reference>
          <reference field="8" count="1" selected="0">
            <x v="77"/>
          </reference>
          <reference field="15" count="2">
            <x v="276"/>
            <x v="277"/>
          </reference>
        </references>
      </pivotArea>
    </format>
    <format dxfId="3029">
      <pivotArea dataOnly="0" labelOnly="1" fieldPosition="0">
        <references count="5">
          <reference field="4" count="1" selected="0">
            <x v="5"/>
          </reference>
          <reference field="6" count="1" selected="0">
            <x v="0"/>
          </reference>
          <reference field="7" count="1" selected="0">
            <x v="22"/>
          </reference>
          <reference field="8" count="1" selected="0">
            <x v="94"/>
          </reference>
          <reference field="15" count="1">
            <x v="164"/>
          </reference>
        </references>
      </pivotArea>
    </format>
    <format dxfId="3028">
      <pivotArea dataOnly="0" labelOnly="1" fieldPosition="0">
        <references count="5">
          <reference field="4" count="1" selected="0">
            <x v="5"/>
          </reference>
          <reference field="6" count="1" selected="0">
            <x v="4"/>
          </reference>
          <reference field="7" count="1" selected="0">
            <x v="8"/>
          </reference>
          <reference field="8" count="1" selected="0">
            <x v="37"/>
          </reference>
          <reference field="15" count="1">
            <x v="222"/>
          </reference>
        </references>
      </pivotArea>
    </format>
    <format dxfId="3027">
      <pivotArea dataOnly="0" labelOnly="1" fieldPosition="0">
        <references count="5">
          <reference field="4" count="1" selected="0">
            <x v="6"/>
          </reference>
          <reference field="6" count="1" selected="0">
            <x v="1"/>
          </reference>
          <reference field="7" count="1" selected="0">
            <x v="24"/>
          </reference>
          <reference field="8" count="1" selected="0">
            <x v="105"/>
          </reference>
          <reference field="15" count="13">
            <x v="24"/>
            <x v="25"/>
            <x v="31"/>
            <x v="37"/>
            <x v="44"/>
            <x v="45"/>
            <x v="48"/>
            <x v="49"/>
            <x v="50"/>
            <x v="56"/>
            <x v="66"/>
            <x v="100"/>
            <x v="101"/>
          </reference>
        </references>
      </pivotArea>
    </format>
    <format dxfId="3026">
      <pivotArea dataOnly="0" labelOnly="1" fieldPosition="0">
        <references count="5">
          <reference field="4" count="1" selected="0">
            <x v="6"/>
          </reference>
          <reference field="6" count="1" selected="0">
            <x v="1"/>
          </reference>
          <reference field="7" count="1" selected="0">
            <x v="24"/>
          </reference>
          <reference field="8" count="1" selected="0">
            <x v="107"/>
          </reference>
          <reference field="15" count="3">
            <x v="118"/>
            <x v="123"/>
            <x v="165"/>
          </reference>
        </references>
      </pivotArea>
    </format>
    <format dxfId="3025">
      <pivotArea dataOnly="0" labelOnly="1" fieldPosition="0">
        <references count="5">
          <reference field="4" count="1" selected="0">
            <x v="6"/>
          </reference>
          <reference field="6" count="1" selected="0">
            <x v="1"/>
          </reference>
          <reference field="7" count="1" selected="0">
            <x v="24"/>
          </reference>
          <reference field="8" count="1" selected="0">
            <x v="108"/>
          </reference>
          <reference field="15" count="2">
            <x v="97"/>
            <x v="119"/>
          </reference>
        </references>
      </pivotArea>
    </format>
    <format dxfId="3024">
      <pivotArea dataOnly="0" labelOnly="1" fieldPosition="0">
        <references count="5">
          <reference field="4" count="1" selected="0">
            <x v="6"/>
          </reference>
          <reference field="6" count="1" selected="0">
            <x v="1"/>
          </reference>
          <reference field="7" count="1" selected="0">
            <x v="24"/>
          </reference>
          <reference field="8" count="1" selected="0">
            <x v="109"/>
          </reference>
          <reference field="15" count="2">
            <x v="96"/>
            <x v="327"/>
          </reference>
        </references>
      </pivotArea>
    </format>
    <format dxfId="3023">
      <pivotArea dataOnly="0" labelOnly="1" fieldPosition="0">
        <references count="5">
          <reference field="4" count="1" selected="0">
            <x v="6"/>
          </reference>
          <reference field="6" count="1" selected="0">
            <x v="1"/>
          </reference>
          <reference field="7" count="1" selected="0">
            <x v="24"/>
          </reference>
          <reference field="8" count="1" selected="0">
            <x v="110"/>
          </reference>
          <reference field="15" count="2">
            <x v="115"/>
            <x v="324"/>
          </reference>
        </references>
      </pivotArea>
    </format>
    <format dxfId="3022">
      <pivotArea dataOnly="0" labelOnly="1" fieldPosition="0">
        <references count="5">
          <reference field="4" count="1" selected="0">
            <x v="6"/>
          </reference>
          <reference field="6" count="1" selected="0">
            <x v="1"/>
          </reference>
          <reference field="7" count="1" selected="0">
            <x v="24"/>
          </reference>
          <reference field="8" count="1" selected="0">
            <x v="111"/>
          </reference>
          <reference field="15" count="1">
            <x v="326"/>
          </reference>
        </references>
      </pivotArea>
    </format>
    <format dxfId="3021">
      <pivotArea dataOnly="0" labelOnly="1" fieldPosition="0">
        <references count="5">
          <reference field="4" count="1" selected="0">
            <x v="6"/>
          </reference>
          <reference field="6" count="1" selected="0">
            <x v="1"/>
          </reference>
          <reference field="7" count="1" selected="0">
            <x v="24"/>
          </reference>
          <reference field="8" count="1" selected="0">
            <x v="112"/>
          </reference>
          <reference field="15" count="5">
            <x v="80"/>
            <x v="120"/>
            <x v="121"/>
            <x v="122"/>
            <x v="135"/>
          </reference>
        </references>
      </pivotArea>
    </format>
    <format dxfId="3020">
      <pivotArea dataOnly="0" labelOnly="1" fieldPosition="0">
        <references count="5">
          <reference field="4" count="1" selected="0">
            <x v="6"/>
          </reference>
          <reference field="6" count="1" selected="0">
            <x v="1"/>
          </reference>
          <reference field="7" count="1" selected="0">
            <x v="24"/>
          </reference>
          <reference field="8" count="1" selected="0">
            <x v="113"/>
          </reference>
          <reference field="15" count="3">
            <x v="67"/>
            <x v="84"/>
            <x v="166"/>
          </reference>
        </references>
      </pivotArea>
    </format>
    <format dxfId="3019">
      <pivotArea dataOnly="0" labelOnly="1" fieldPosition="0">
        <references count="5">
          <reference field="4" count="1" selected="0">
            <x v="7"/>
          </reference>
          <reference field="6" count="1" selected="0">
            <x v="0"/>
          </reference>
          <reference field="7" count="1" selected="0">
            <x v="16"/>
          </reference>
          <reference field="8" count="1" selected="0">
            <x v="64"/>
          </reference>
          <reference field="15" count="3">
            <x v="274"/>
            <x v="278"/>
            <x v="325"/>
          </reference>
        </references>
      </pivotArea>
    </format>
    <format dxfId="3018">
      <pivotArea dataOnly="0" labelOnly="1" fieldPosition="0">
        <references count="5">
          <reference field="4" count="1" selected="0">
            <x v="7"/>
          </reference>
          <reference field="6" count="1" selected="0">
            <x v="2"/>
          </reference>
          <reference field="7" count="1" selected="0">
            <x v="29"/>
          </reference>
          <reference field="8" count="1" selected="0">
            <x v="140"/>
          </reference>
          <reference field="15" count="1">
            <x v="53"/>
          </reference>
        </references>
      </pivotArea>
    </format>
    <format dxfId="3017">
      <pivotArea dataOnly="0" labelOnly="1" fieldPosition="0">
        <references count="5">
          <reference field="4" count="1" selected="0">
            <x v="7"/>
          </reference>
          <reference field="6" count="1" selected="0">
            <x v="2"/>
          </reference>
          <reference field="7" count="1" selected="0">
            <x v="29"/>
          </reference>
          <reference field="8" count="1" selected="0">
            <x v="141"/>
          </reference>
          <reference field="15" count="1">
            <x v="279"/>
          </reference>
        </references>
      </pivotArea>
    </format>
    <format dxfId="3016">
      <pivotArea dataOnly="0" labelOnly="1" fieldPosition="0">
        <references count="5">
          <reference field="4" count="1" selected="0">
            <x v="7"/>
          </reference>
          <reference field="6" count="1" selected="0">
            <x v="2"/>
          </reference>
          <reference field="7" count="1" selected="0">
            <x v="29"/>
          </reference>
          <reference field="8" count="1" selected="0">
            <x v="144"/>
          </reference>
          <reference field="15" count="1">
            <x v="52"/>
          </reference>
        </references>
      </pivotArea>
    </format>
    <format dxfId="3015">
      <pivotArea dataOnly="0" labelOnly="1" fieldPosition="0">
        <references count="5">
          <reference field="4" count="1" selected="0">
            <x v="7"/>
          </reference>
          <reference field="6" count="1" selected="0">
            <x v="2"/>
          </reference>
          <reference field="7" count="1" selected="0">
            <x v="29"/>
          </reference>
          <reference field="8" count="1" selected="0">
            <x v="145"/>
          </reference>
          <reference field="15" count="1">
            <x v="51"/>
          </reference>
        </references>
      </pivotArea>
    </format>
    <format dxfId="3014">
      <pivotArea dataOnly="0" labelOnly="1" fieldPosition="0">
        <references count="5">
          <reference field="4" count="1" selected="0">
            <x v="7"/>
          </reference>
          <reference field="6" count="1" selected="0">
            <x v="2"/>
          </reference>
          <reference field="7" count="1" selected="0">
            <x v="30"/>
          </reference>
          <reference field="8" count="1" selected="0">
            <x v="154"/>
          </reference>
          <reference field="15" count="1">
            <x v="275"/>
          </reference>
        </references>
      </pivotArea>
    </format>
    <format dxfId="3013">
      <pivotArea dataOnly="0" labelOnly="1" fieldPosition="0">
        <references count="5">
          <reference field="4" count="1" selected="0">
            <x v="7"/>
          </reference>
          <reference field="6" count="1" selected="0">
            <x v="3"/>
          </reference>
          <reference field="7" count="1" selected="0">
            <x v="6"/>
          </reference>
          <reference field="8" count="1" selected="0">
            <x v="28"/>
          </reference>
          <reference field="15" count="3">
            <x v="318"/>
            <x v="319"/>
            <x v="320"/>
          </reference>
        </references>
      </pivotArea>
    </format>
    <format dxfId="3012">
      <pivotArea dataOnly="0" labelOnly="1" fieldPosition="0">
        <references count="5">
          <reference field="4" count="1" selected="0">
            <x v="7"/>
          </reference>
          <reference field="6" count="1" selected="0">
            <x v="4"/>
          </reference>
          <reference field="7" count="1" selected="0">
            <x v="8"/>
          </reference>
          <reference field="8" count="1" selected="0">
            <x v="35"/>
          </reference>
          <reference field="15" count="1">
            <x v="337"/>
          </reference>
        </references>
      </pivotArea>
    </format>
    <format dxfId="3011">
      <pivotArea dataOnly="0" labelOnly="1" fieldPosition="0">
        <references count="5">
          <reference field="4" count="1" selected="0">
            <x v="7"/>
          </reference>
          <reference field="6" count="1" selected="0">
            <x v="4"/>
          </reference>
          <reference field="7" count="1" selected="0">
            <x v="8"/>
          </reference>
          <reference field="8" count="1" selected="0">
            <x v="36"/>
          </reference>
          <reference field="15" count="1">
            <x v="280"/>
          </reference>
        </references>
      </pivotArea>
    </format>
    <format dxfId="3010">
      <pivotArea dataOnly="0" labelOnly="1" fieldPosition="0">
        <references count="5">
          <reference field="4" count="1" selected="0">
            <x v="7"/>
          </reference>
          <reference field="6" count="1" selected="0">
            <x v="4"/>
          </reference>
          <reference field="7" count="1" selected="0">
            <x v="9"/>
          </reference>
          <reference field="8" count="1" selected="0">
            <x v="40"/>
          </reference>
          <reference field="15" count="3">
            <x v="311"/>
            <x v="312"/>
            <x v="334"/>
          </reference>
        </references>
      </pivotArea>
    </format>
    <format dxfId="3009">
      <pivotArea dataOnly="0" labelOnly="1" fieldPosition="0">
        <references count="5">
          <reference field="4" count="1" selected="0">
            <x v="7"/>
          </reference>
          <reference field="6" count="1" selected="0">
            <x v="4"/>
          </reference>
          <reference field="7" count="1" selected="0">
            <x v="9"/>
          </reference>
          <reference field="8" count="1" selected="0">
            <x v="41"/>
          </reference>
          <reference field="15" count="1">
            <x v="328"/>
          </reference>
        </references>
      </pivotArea>
    </format>
    <format dxfId="3008">
      <pivotArea dataOnly="0" labelOnly="1" fieldPosition="0">
        <references count="5">
          <reference field="4" count="1" selected="0">
            <x v="7"/>
          </reference>
          <reference field="6" count="1" selected="0">
            <x v="4"/>
          </reference>
          <reference field="7" count="1" selected="0">
            <x v="9"/>
          </reference>
          <reference field="8" count="1" selected="0">
            <x v="42"/>
          </reference>
          <reference field="15" count="1">
            <x v="329"/>
          </reference>
        </references>
      </pivotArea>
    </format>
    <format dxfId="3007">
      <pivotArea dataOnly="0" labelOnly="1" fieldPosition="0">
        <references count="5">
          <reference field="4" count="1" selected="0">
            <x v="7"/>
          </reference>
          <reference field="6" count="1" selected="0">
            <x v="4"/>
          </reference>
          <reference field="7" count="1" selected="0">
            <x v="9"/>
          </reference>
          <reference field="8" count="1" selected="0">
            <x v="43"/>
          </reference>
          <reference field="15" count="1">
            <x v="321"/>
          </reference>
        </references>
      </pivotArea>
    </format>
    <format dxfId="3006">
      <pivotArea dataOnly="0" labelOnly="1" fieldPosition="0">
        <references count="5">
          <reference field="4" count="1" selected="0">
            <x v="7"/>
          </reference>
          <reference field="6" count="1" selected="0">
            <x v="4"/>
          </reference>
          <reference field="7" count="1" selected="0">
            <x v="10"/>
          </reference>
          <reference field="8" count="1" selected="0">
            <x v="44"/>
          </reference>
          <reference field="15" count="2">
            <x v="57"/>
            <x v="58"/>
          </reference>
        </references>
      </pivotArea>
    </format>
    <format dxfId="3005">
      <pivotArea dataOnly="0" labelOnly="1" fieldPosition="0">
        <references count="5">
          <reference field="4" count="1" selected="0">
            <x v="7"/>
          </reference>
          <reference field="6" count="1" selected="0">
            <x v="4"/>
          </reference>
          <reference field="7" count="1" selected="0">
            <x v="10"/>
          </reference>
          <reference field="8" count="1" selected="0">
            <x v="45"/>
          </reference>
          <reference field="15" count="1">
            <x v="55"/>
          </reference>
        </references>
      </pivotArea>
    </format>
    <format dxfId="3004">
      <pivotArea dataOnly="0" labelOnly="1" fieldPosition="0">
        <references count="5">
          <reference field="4" count="1" selected="0">
            <x v="7"/>
          </reference>
          <reference field="6" count="1" selected="0">
            <x v="4"/>
          </reference>
          <reference field="7" count="1" selected="0">
            <x v="10"/>
          </reference>
          <reference field="8" count="1" selected="0">
            <x v="46"/>
          </reference>
          <reference field="15" count="1">
            <x v="59"/>
          </reference>
        </references>
      </pivotArea>
    </format>
    <format dxfId="3003">
      <pivotArea dataOnly="0" labelOnly="1" fieldPosition="0">
        <references count="5">
          <reference field="4" count="1" selected="0">
            <x v="7"/>
          </reference>
          <reference field="6" count="1" selected="0">
            <x v="4"/>
          </reference>
          <reference field="7" count="1" selected="0">
            <x v="10"/>
          </reference>
          <reference field="8" count="1" selected="0">
            <x v="47"/>
          </reference>
          <reference field="15" count="1">
            <x v="54"/>
          </reference>
        </references>
      </pivotArea>
    </format>
    <format dxfId="3002">
      <pivotArea dataOnly="0" labelOnly="1" fieldPosition="0">
        <references count="5">
          <reference field="4" count="1" selected="0">
            <x v="7"/>
          </reference>
          <reference field="6" count="1" selected="0">
            <x v="4"/>
          </reference>
          <reference field="7" count="1" selected="0">
            <x v="11"/>
          </reference>
          <reference field="8" count="1" selected="0">
            <x v="48"/>
          </reference>
          <reference field="15" count="1">
            <x v="88"/>
          </reference>
        </references>
      </pivotArea>
    </format>
    <format dxfId="3001">
      <pivotArea dataOnly="0" labelOnly="1" fieldPosition="0">
        <references count="5">
          <reference field="4" count="1" selected="0">
            <x v="7"/>
          </reference>
          <reference field="6" count="1" selected="0">
            <x v="4"/>
          </reference>
          <reference field="7" count="1" selected="0">
            <x v="11"/>
          </reference>
          <reference field="8" count="1" selected="0">
            <x v="49"/>
          </reference>
          <reference field="15" count="1">
            <x v="86"/>
          </reference>
        </references>
      </pivotArea>
    </format>
    <format dxfId="3000">
      <pivotArea dataOnly="0" labelOnly="1" fieldPosition="0">
        <references count="5">
          <reference field="4" count="1" selected="0">
            <x v="7"/>
          </reference>
          <reference field="6" count="1" selected="0">
            <x v="4"/>
          </reference>
          <reference field="7" count="1" selected="0">
            <x v="12"/>
          </reference>
          <reference field="8" count="1" selected="0">
            <x v="50"/>
          </reference>
          <reference field="15" count="3">
            <x v="64"/>
            <x v="65"/>
            <x v="136"/>
          </reference>
        </references>
      </pivotArea>
    </format>
    <format dxfId="2999">
      <pivotArea dataOnly="0" labelOnly="1" fieldPosition="0">
        <references count="5">
          <reference field="4" count="1" selected="0">
            <x v="7"/>
          </reference>
          <reference field="6" count="1" selected="0">
            <x v="4"/>
          </reference>
          <reference field="7" count="1" selected="0">
            <x v="13"/>
          </reference>
          <reference field="8" count="1" selected="0">
            <x v="51"/>
          </reference>
          <reference field="15" count="1">
            <x v="307"/>
          </reference>
        </references>
      </pivotArea>
    </format>
    <format dxfId="2998">
      <pivotArea dataOnly="0" labelOnly="1" fieldPosition="0">
        <references count="5">
          <reference field="4" count="1" selected="0">
            <x v="7"/>
          </reference>
          <reference field="6" count="1" selected="0">
            <x v="4"/>
          </reference>
          <reference field="7" count="1" selected="0">
            <x v="13"/>
          </reference>
          <reference field="8" count="1" selected="0">
            <x v="52"/>
          </reference>
          <reference field="15" count="1">
            <x v="309"/>
          </reference>
        </references>
      </pivotArea>
    </format>
    <format dxfId="2997">
      <pivotArea dataOnly="0" labelOnly="1" fieldPosition="0">
        <references count="5">
          <reference field="4" count="1" selected="0">
            <x v="7"/>
          </reference>
          <reference field="6" count="1" selected="0">
            <x v="4"/>
          </reference>
          <reference field="7" count="1" selected="0">
            <x v="13"/>
          </reference>
          <reference field="8" count="1" selected="0">
            <x v="53"/>
          </reference>
          <reference field="15" count="1">
            <x v="308"/>
          </reference>
        </references>
      </pivotArea>
    </format>
    <format dxfId="2996">
      <pivotArea dataOnly="0" labelOnly="1" fieldPosition="0">
        <references count="5">
          <reference field="4" count="1" selected="0">
            <x v="7"/>
          </reference>
          <reference field="6" count="1" selected="0">
            <x v="4"/>
          </reference>
          <reference field="7" count="1" selected="0">
            <x v="14"/>
          </reference>
          <reference field="8" count="1" selected="0">
            <x v="54"/>
          </reference>
          <reference field="15" count="1">
            <x v="281"/>
          </reference>
        </references>
      </pivotArea>
    </format>
    <format dxfId="2995">
      <pivotArea dataOnly="0" labelOnly="1" fieldPosition="0">
        <references count="5">
          <reference field="4" count="1" selected="0">
            <x v="7"/>
          </reference>
          <reference field="6" count="1" selected="0">
            <x v="4"/>
          </reference>
          <reference field="7" count="1" selected="0">
            <x v="14"/>
          </reference>
          <reference field="8" count="1" selected="0">
            <x v="55"/>
          </reference>
          <reference field="15" count="1">
            <x v="138"/>
          </reference>
        </references>
      </pivotArea>
    </format>
    <format dxfId="2994">
      <pivotArea dataOnly="0" labelOnly="1" fieldPosition="0">
        <references count="5">
          <reference field="4" count="1" selected="0">
            <x v="7"/>
          </reference>
          <reference field="6" count="1" selected="0">
            <x v="4"/>
          </reference>
          <reference field="7" count="1" selected="0">
            <x v="15"/>
          </reference>
          <reference field="8" count="1" selected="0">
            <x v="56"/>
          </reference>
          <reference field="15" count="2">
            <x v="335"/>
            <x v="336"/>
          </reference>
        </references>
      </pivotArea>
    </format>
    <format dxfId="2993">
      <pivotArea dataOnly="0" labelOnly="1" fieldPosition="0">
        <references count="5">
          <reference field="4" count="1" selected="0">
            <x v="8"/>
          </reference>
          <reference field="6" count="1" selected="0">
            <x v="0"/>
          </reference>
          <reference field="7" count="1" selected="0">
            <x v="18"/>
          </reference>
          <reference field="8" count="1" selected="0">
            <x v="77"/>
          </reference>
          <reference field="15" count="1">
            <x v="290"/>
          </reference>
        </references>
      </pivotArea>
    </format>
    <format dxfId="2992">
      <pivotArea dataOnly="0" labelOnly="1" fieldPosition="0">
        <references count="5">
          <reference field="4" count="1" selected="0">
            <x v="8"/>
          </reference>
          <reference field="6" count="1" selected="0">
            <x v="0"/>
          </reference>
          <reference field="7" count="1" selected="0">
            <x v="22"/>
          </reference>
          <reference field="8" count="1" selected="0">
            <x v="92"/>
          </reference>
          <reference field="15" count="4">
            <x v="130"/>
            <x v="359"/>
            <x v="360"/>
            <x v="361"/>
          </reference>
        </references>
      </pivotArea>
    </format>
    <format dxfId="2991">
      <pivotArea dataOnly="0" labelOnly="1" fieldPosition="0">
        <references count="5">
          <reference field="4" count="1" selected="0">
            <x v="8"/>
          </reference>
          <reference field="6" count="1" selected="0">
            <x v="0"/>
          </reference>
          <reference field="7" count="1" selected="0">
            <x v="22"/>
          </reference>
          <reference field="8" count="1" selected="0">
            <x v="93"/>
          </reference>
          <reference field="15" count="1">
            <x v="369"/>
          </reference>
        </references>
      </pivotArea>
    </format>
    <format dxfId="2990">
      <pivotArea dataOnly="0" labelOnly="1" fieldPosition="0">
        <references count="5">
          <reference field="4" count="1" selected="0">
            <x v="8"/>
          </reference>
          <reference field="6" count="1" selected="0">
            <x v="0"/>
          </reference>
          <reference field="7" count="1" selected="0">
            <x v="22"/>
          </reference>
          <reference field="8" count="1" selected="0">
            <x v="94"/>
          </reference>
          <reference field="15" count="1">
            <x v="273"/>
          </reference>
        </references>
      </pivotArea>
    </format>
    <format dxfId="2989">
      <pivotArea dataOnly="0" labelOnly="1" fieldPosition="0">
        <references count="5">
          <reference field="4" count="1" selected="0">
            <x v="8"/>
          </reference>
          <reference field="6" count="1" selected="0">
            <x v="1"/>
          </reference>
          <reference field="7" count="1" selected="0">
            <x v="28"/>
          </reference>
          <reference field="8" count="1" selected="0">
            <x v="138"/>
          </reference>
          <reference field="15" count="3">
            <x v="270"/>
            <x v="343"/>
            <x v="355"/>
          </reference>
        </references>
      </pivotArea>
    </format>
    <format dxfId="2988">
      <pivotArea dataOnly="0" labelOnly="1" fieldPosition="0">
        <references count="5">
          <reference field="4" count="1" selected="0">
            <x v="8"/>
          </reference>
          <reference field="6" count="1" selected="0">
            <x v="1"/>
          </reference>
          <reference field="7" count="1" selected="0">
            <x v="28"/>
          </reference>
          <reference field="8" count="1" selected="0">
            <x v="139"/>
          </reference>
          <reference field="15" count="1">
            <x v="147"/>
          </reference>
        </references>
      </pivotArea>
    </format>
    <format dxfId="2987">
      <pivotArea dataOnly="0" labelOnly="1" fieldPosition="0">
        <references count="5">
          <reference field="4" count="1" selected="0">
            <x v="8"/>
          </reference>
          <reference field="6" count="1" selected="0">
            <x v="2"/>
          </reference>
          <reference field="7" count="1" selected="0">
            <x v="32"/>
          </reference>
          <reference field="8" count="1" selected="0">
            <x v="158"/>
          </reference>
          <reference field="15" count="1">
            <x v="344"/>
          </reference>
        </references>
      </pivotArea>
    </format>
    <format dxfId="2986">
      <pivotArea dataOnly="0" labelOnly="1" fieldPosition="0">
        <references count="5">
          <reference field="4" count="1" selected="0">
            <x v="8"/>
          </reference>
          <reference field="6" count="1" selected="0">
            <x v="2"/>
          </reference>
          <reference field="7" count="1" selected="0">
            <x v="32"/>
          </reference>
          <reference field="8" count="1" selected="0">
            <x v="159"/>
          </reference>
          <reference field="15" count="1">
            <x v="137"/>
          </reference>
        </references>
      </pivotArea>
    </format>
    <format dxfId="2985">
      <pivotArea dataOnly="0" labelOnly="1" fieldPosition="0">
        <references count="5">
          <reference field="4" count="1" selected="0">
            <x v="8"/>
          </reference>
          <reference field="6" count="1" selected="0">
            <x v="3"/>
          </reference>
          <reference field="7" count="1" selected="0">
            <x v="6"/>
          </reference>
          <reference field="8" count="1" selected="0">
            <x v="29"/>
          </reference>
          <reference field="15" count="4">
            <x v="145"/>
            <x v="146"/>
            <x v="356"/>
            <x v="357"/>
          </reference>
        </references>
      </pivotArea>
    </format>
    <format dxfId="2984">
      <pivotArea dataOnly="0" labelOnly="1" fieldPosition="0">
        <references count="5">
          <reference field="4" count="1" selected="0">
            <x v="8"/>
          </reference>
          <reference field="6" count="1" selected="0">
            <x v="3"/>
          </reference>
          <reference field="7" count="1" selected="0">
            <x v="6"/>
          </reference>
          <reference field="8" count="1" selected="0">
            <x v="30"/>
          </reference>
          <reference field="15" count="2">
            <x v="267"/>
            <x v="268"/>
          </reference>
        </references>
      </pivotArea>
    </format>
    <format dxfId="2983">
      <pivotArea dataOnly="0" labelOnly="1" fieldPosition="0">
        <references count="5">
          <reference field="4" count="1" selected="0">
            <x v="9"/>
          </reference>
          <reference field="6" count="1" selected="0">
            <x v="1"/>
          </reference>
          <reference field="7" count="1" selected="0">
            <x v="25"/>
          </reference>
          <reference field="8" count="1" selected="0">
            <x v="115"/>
          </reference>
          <reference field="15" count="13">
            <x v="35"/>
            <x v="36"/>
            <x v="63"/>
            <x v="72"/>
            <x v="77"/>
            <x v="238"/>
            <x v="241"/>
            <x v="242"/>
            <x v="243"/>
            <x v="247"/>
            <x v="248"/>
            <x v="260"/>
            <x v="262"/>
          </reference>
        </references>
      </pivotArea>
    </format>
    <format dxfId="2982">
      <pivotArea dataOnly="0" labelOnly="1" fieldPosition="0">
        <references count="5">
          <reference field="4" count="1" selected="0">
            <x v="9"/>
          </reference>
          <reference field="6" count="1" selected="0">
            <x v="1"/>
          </reference>
          <reference field="7" count="1" selected="0">
            <x v="25"/>
          </reference>
          <reference field="8" count="1" selected="0">
            <x v="116"/>
          </reference>
          <reference field="15" count="1">
            <x v="61"/>
          </reference>
        </references>
      </pivotArea>
    </format>
    <format dxfId="2981">
      <pivotArea dataOnly="0" labelOnly="1" fieldPosition="0">
        <references count="5">
          <reference field="4" count="1" selected="0">
            <x v="9"/>
          </reference>
          <reference field="6" count="1" selected="0">
            <x v="1"/>
          </reference>
          <reference field="7" count="1" selected="0">
            <x v="25"/>
          </reference>
          <reference field="8" count="1" selected="0">
            <x v="117"/>
          </reference>
          <reference field="15" count="2">
            <x v="92"/>
            <x v="249"/>
          </reference>
        </references>
      </pivotArea>
    </format>
    <format dxfId="2980">
      <pivotArea dataOnly="0" labelOnly="1" fieldPosition="0">
        <references count="5">
          <reference field="4" count="1" selected="0">
            <x v="9"/>
          </reference>
          <reference field="6" count="1" selected="0">
            <x v="1"/>
          </reference>
          <reference field="7" count="1" selected="0">
            <x v="25"/>
          </reference>
          <reference field="8" count="1" selected="0">
            <x v="118"/>
          </reference>
          <reference field="15" count="3">
            <x v="71"/>
            <x v="87"/>
            <x v="91"/>
          </reference>
        </references>
      </pivotArea>
    </format>
    <format dxfId="2979">
      <pivotArea dataOnly="0" labelOnly="1" fieldPosition="0">
        <references count="5">
          <reference field="4" count="1" selected="0">
            <x v="9"/>
          </reference>
          <reference field="6" count="1" selected="0">
            <x v="1"/>
          </reference>
          <reference field="7" count="1" selected="0">
            <x v="25"/>
          </reference>
          <reference field="8" count="1" selected="0">
            <x v="119"/>
          </reference>
          <reference field="15" count="4">
            <x v="62"/>
            <x v="68"/>
            <x v="69"/>
            <x v="70"/>
          </reference>
        </references>
      </pivotArea>
    </format>
    <format dxfId="2978">
      <pivotArea dataOnly="0" labelOnly="1" fieldPosition="0">
        <references count="5">
          <reference field="4" count="1" selected="0">
            <x v="9"/>
          </reference>
          <reference field="6" count="1" selected="0">
            <x v="1"/>
          </reference>
          <reference field="7" count="1" selected="0">
            <x v="25"/>
          </reference>
          <reference field="8" count="1" selected="0">
            <x v="120"/>
          </reference>
          <reference field="15" count="1">
            <x v="85"/>
          </reference>
        </references>
      </pivotArea>
    </format>
    <format dxfId="2977">
      <pivotArea dataOnly="0" labelOnly="1" fieldPosition="0">
        <references count="5">
          <reference field="4" count="1" selected="0">
            <x v="9"/>
          </reference>
          <reference field="6" count="1" selected="0">
            <x v="1"/>
          </reference>
          <reference field="7" count="1" selected="0">
            <x v="25"/>
          </reference>
          <reference field="8" count="1" selected="0">
            <x v="121"/>
          </reference>
          <reference field="15" count="2">
            <x v="41"/>
            <x v="78"/>
          </reference>
        </references>
      </pivotArea>
    </format>
    <format dxfId="2976">
      <pivotArea dataOnly="0" labelOnly="1" fieldPosition="0">
        <references count="5">
          <reference field="4" count="1" selected="0">
            <x v="9"/>
          </reference>
          <reference field="6" count="1" selected="0">
            <x v="1"/>
          </reference>
          <reference field="7" count="1" selected="0">
            <x v="25"/>
          </reference>
          <reference field="8" count="1" selected="0">
            <x v="122"/>
          </reference>
          <reference field="15" count="2">
            <x v="38"/>
            <x v="39"/>
          </reference>
        </references>
      </pivotArea>
    </format>
    <format dxfId="2975">
      <pivotArea dataOnly="0" labelOnly="1" fieldPosition="0">
        <references count="5">
          <reference field="4" count="1" selected="0">
            <x v="9"/>
          </reference>
          <reference field="6" count="1" selected="0">
            <x v="1"/>
          </reference>
          <reference field="7" count="1" selected="0">
            <x v="25"/>
          </reference>
          <reference field="8" count="1" selected="0">
            <x v="123"/>
          </reference>
          <reference field="15" count="7">
            <x v="32"/>
            <x v="33"/>
            <x v="60"/>
            <x v="82"/>
            <x v="83"/>
            <x v="89"/>
            <x v="90"/>
          </reference>
        </references>
      </pivotArea>
    </format>
    <format dxfId="2974">
      <pivotArea dataOnly="0" labelOnly="1" fieldPosition="0">
        <references count="5">
          <reference field="4" count="1" selected="0">
            <x v="9"/>
          </reference>
          <reference field="6" count="1" selected="0">
            <x v="1"/>
          </reference>
          <reference field="7" count="1" selected="0">
            <x v="25"/>
          </reference>
          <reference field="8" count="1" selected="0">
            <x v="124"/>
          </reference>
          <reference field="15" count="1">
            <x v="261"/>
          </reference>
        </references>
      </pivotArea>
    </format>
    <format dxfId="2973">
      <pivotArea dataOnly="0" labelOnly="1" fieldPosition="0">
        <references count="5">
          <reference field="4" count="1" selected="0">
            <x v="10"/>
          </reference>
          <reference field="6" count="1" selected="0">
            <x v="3"/>
          </reference>
          <reference field="7" count="1" selected="0">
            <x v="6"/>
          </reference>
          <reference field="8" count="1" selected="0">
            <x v="29"/>
          </reference>
          <reference field="15" count="21">
            <x v="2"/>
            <x v="3"/>
            <x v="5"/>
            <x v="152"/>
            <x v="153"/>
            <x v="154"/>
            <x v="155"/>
            <x v="156"/>
            <x v="157"/>
            <x v="158"/>
            <x v="159"/>
            <x v="160"/>
            <x v="161"/>
            <x v="162"/>
            <x v="163"/>
            <x v="189"/>
            <x v="190"/>
            <x v="191"/>
            <x v="192"/>
            <x v="193"/>
            <x v="395"/>
          </reference>
        </references>
      </pivotArea>
    </format>
    <format dxfId="2972">
      <pivotArea dataOnly="0" labelOnly="1" fieldPosition="0">
        <references count="5">
          <reference field="4" count="1" selected="0">
            <x v="11"/>
          </reference>
          <reference field="6" count="1" selected="0">
            <x v="0"/>
          </reference>
          <reference field="7" count="1" selected="0">
            <x v="17"/>
          </reference>
          <reference field="8" count="1" selected="0">
            <x v="70"/>
          </reference>
          <reference field="15" count="4">
            <x v="345"/>
            <x v="346"/>
            <x v="347"/>
            <x v="351"/>
          </reference>
        </references>
      </pivotArea>
    </format>
    <format dxfId="2971">
      <pivotArea dataOnly="0" labelOnly="1" fieldPosition="0">
        <references count="5">
          <reference field="4" count="1" selected="0">
            <x v="11"/>
          </reference>
          <reference field="6" count="1" selected="0">
            <x v="0"/>
          </reference>
          <reference field="7" count="1" selected="0">
            <x v="17"/>
          </reference>
          <reference field="8" count="1" selected="0">
            <x v="71"/>
          </reference>
          <reference field="15" count="3">
            <x v="348"/>
            <x v="352"/>
            <x v="353"/>
          </reference>
        </references>
      </pivotArea>
    </format>
    <format dxfId="2970">
      <pivotArea dataOnly="0" labelOnly="1" fieldPosition="0">
        <references count="5">
          <reference field="4" count="1" selected="0">
            <x v="11"/>
          </reference>
          <reference field="6" count="1" selected="0">
            <x v="0"/>
          </reference>
          <reference field="7" count="1" selected="0">
            <x v="17"/>
          </reference>
          <reference field="8" count="1" selected="0">
            <x v="72"/>
          </reference>
          <reference field="15" count="3">
            <x v="143"/>
            <x v="349"/>
            <x v="350"/>
          </reference>
        </references>
      </pivotArea>
    </format>
    <format dxfId="2969">
      <pivotArea dataOnly="0" labelOnly="1" fieldPosition="0">
        <references count="5">
          <reference field="4" count="1" selected="0">
            <x v="12"/>
          </reference>
          <reference field="6" count="1" selected="0">
            <x v="0"/>
          </reference>
          <reference field="7" count="1" selected="0">
            <x v="18"/>
          </reference>
          <reference field="8" count="1" selected="0">
            <x v="74"/>
          </reference>
          <reference field="15" count="2">
            <x v="113"/>
            <x v="114"/>
          </reference>
        </references>
      </pivotArea>
    </format>
    <format dxfId="2968">
      <pivotArea dataOnly="0" labelOnly="1" fieldPosition="0">
        <references count="5">
          <reference field="4" count="1" selected="0">
            <x v="12"/>
          </reference>
          <reference field="6" count="1" selected="0">
            <x v="0"/>
          </reference>
          <reference field="7" count="1" selected="0">
            <x v="18"/>
          </reference>
          <reference field="8" count="1" selected="0">
            <x v="75"/>
          </reference>
          <reference field="15" count="1">
            <x v="116"/>
          </reference>
        </references>
      </pivotArea>
    </format>
    <format dxfId="2967">
      <pivotArea dataOnly="0" labelOnly="1" fieldPosition="0">
        <references count="5">
          <reference field="4" count="1" selected="0">
            <x v="12"/>
          </reference>
          <reference field="6" count="1" selected="0">
            <x v="0"/>
          </reference>
          <reference field="7" count="1" selected="0">
            <x v="18"/>
          </reference>
          <reference field="8" count="1" selected="0">
            <x v="76"/>
          </reference>
          <reference field="15" count="1">
            <x v="244"/>
          </reference>
        </references>
      </pivotArea>
    </format>
    <format dxfId="2966">
      <pivotArea dataOnly="0" labelOnly="1" fieldPosition="0">
        <references count="5">
          <reference field="4" count="1" selected="0">
            <x v="13"/>
          </reference>
          <reference field="6" count="1" selected="0">
            <x v="3"/>
          </reference>
          <reference field="7" count="1" selected="0">
            <x v="1"/>
          </reference>
          <reference field="8" count="1" selected="0">
            <x v="6"/>
          </reference>
          <reference field="15" count="1">
            <x v="340"/>
          </reference>
        </references>
      </pivotArea>
    </format>
    <format dxfId="2965">
      <pivotArea dataOnly="0" labelOnly="1" fieldPosition="0">
        <references count="5">
          <reference field="4" count="1" selected="0">
            <x v="13"/>
          </reference>
          <reference field="6" count="1" selected="0">
            <x v="3"/>
          </reference>
          <reference field="7" count="1" selected="0">
            <x v="5"/>
          </reference>
          <reference field="8" count="1" selected="0">
            <x v="22"/>
          </reference>
          <reference field="15" count="1">
            <x v="333"/>
          </reference>
        </references>
      </pivotArea>
    </format>
    <format dxfId="2964">
      <pivotArea dataOnly="0" labelOnly="1" fieldPosition="0">
        <references count="5">
          <reference field="4" count="1" selected="0">
            <x v="13"/>
          </reference>
          <reference field="6" count="1" selected="0">
            <x v="3"/>
          </reference>
          <reference field="7" count="1" selected="0">
            <x v="5"/>
          </reference>
          <reference field="8" count="1" selected="0">
            <x v="23"/>
          </reference>
          <reference field="15" count="1">
            <x v="332"/>
          </reference>
        </references>
      </pivotArea>
    </format>
    <format dxfId="2963">
      <pivotArea dataOnly="0" labelOnly="1" fieldPosition="0">
        <references count="5">
          <reference field="4" count="1" selected="0">
            <x v="13"/>
          </reference>
          <reference field="6" count="1" selected="0">
            <x v="3"/>
          </reference>
          <reference field="7" count="1" selected="0">
            <x v="5"/>
          </reference>
          <reference field="8" count="1" selected="0">
            <x v="24"/>
          </reference>
          <reference field="15" count="1">
            <x v="339"/>
          </reference>
        </references>
      </pivotArea>
    </format>
    <format dxfId="2962">
      <pivotArea dataOnly="0" labelOnly="1" fieldPosition="0">
        <references count="5">
          <reference field="4" count="1" selected="0">
            <x v="13"/>
          </reference>
          <reference field="6" count="1" selected="0">
            <x v="3"/>
          </reference>
          <reference field="7" count="1" selected="0">
            <x v="5"/>
          </reference>
          <reference field="8" count="1" selected="0">
            <x v="25"/>
          </reference>
          <reference field="15" count="1">
            <x v="342"/>
          </reference>
        </references>
      </pivotArea>
    </format>
    <format dxfId="2961">
      <pivotArea dataOnly="0" labelOnly="1" fieldPosition="0">
        <references count="5">
          <reference field="4" count="1" selected="0">
            <x v="13"/>
          </reference>
          <reference field="6" count="1" selected="0">
            <x v="3"/>
          </reference>
          <reference field="7" count="1" selected="0">
            <x v="5"/>
          </reference>
          <reference field="8" count="1" selected="0">
            <x v="26"/>
          </reference>
          <reference field="15" count="1">
            <x v="338"/>
          </reference>
        </references>
      </pivotArea>
    </format>
    <format dxfId="2960">
      <pivotArea dataOnly="0" labelOnly="1" fieldPosition="0">
        <references count="5">
          <reference field="4" count="1" selected="0">
            <x v="13"/>
          </reference>
          <reference field="6" count="1" selected="0">
            <x v="3"/>
          </reference>
          <reference field="7" count="1" selected="0">
            <x v="5"/>
          </reference>
          <reference field="8" count="1" selected="0">
            <x v="27"/>
          </reference>
          <reference field="15" count="1">
            <x v="341"/>
          </reference>
        </references>
      </pivotArea>
    </format>
    <format dxfId="2959">
      <pivotArea dataOnly="0" labelOnly="1" fieldPosition="0">
        <references count="5">
          <reference field="4" count="1" selected="0">
            <x v="14"/>
          </reference>
          <reference field="6" count="1" selected="0">
            <x v="1"/>
          </reference>
          <reference field="7" count="1" selected="0">
            <x v="26"/>
          </reference>
          <reference field="8" count="1" selected="0">
            <x v="125"/>
          </reference>
          <reference field="15" count="4">
            <x v="26"/>
            <x v="27"/>
            <x v="28"/>
            <x v="99"/>
          </reference>
        </references>
      </pivotArea>
    </format>
    <format dxfId="2958">
      <pivotArea dataOnly="0" labelOnly="1" fieldPosition="0">
        <references count="5">
          <reference field="4" count="1" selected="0">
            <x v="14"/>
          </reference>
          <reference field="6" count="1" selected="0">
            <x v="1"/>
          </reference>
          <reference field="7" count="1" selected="0">
            <x v="26"/>
          </reference>
          <reference field="8" count="1" selected="0">
            <x v="126"/>
          </reference>
          <reference field="15" count="1">
            <x v="19"/>
          </reference>
        </references>
      </pivotArea>
    </format>
    <format dxfId="2957">
      <pivotArea dataOnly="0" labelOnly="1" fieldPosition="0">
        <references count="5">
          <reference field="4" count="1" selected="0">
            <x v="14"/>
          </reference>
          <reference field="6" count="1" selected="0">
            <x v="1"/>
          </reference>
          <reference field="7" count="1" selected="0">
            <x v="26"/>
          </reference>
          <reference field="8" count="1" selected="0">
            <x v="127"/>
          </reference>
          <reference field="15" count="2">
            <x v="150"/>
            <x v="151"/>
          </reference>
        </references>
      </pivotArea>
    </format>
    <format dxfId="2956">
      <pivotArea dataOnly="0" labelOnly="1" fieldPosition="0">
        <references count="5">
          <reference field="4" count="1" selected="0">
            <x v="14"/>
          </reference>
          <reference field="6" count="1" selected="0">
            <x v="1"/>
          </reference>
          <reference field="7" count="1" selected="0">
            <x v="26"/>
          </reference>
          <reference field="8" count="1" selected="0">
            <x v="128"/>
          </reference>
          <reference field="15" count="2">
            <x v="29"/>
            <x v="30"/>
          </reference>
        </references>
      </pivotArea>
    </format>
    <format dxfId="2955">
      <pivotArea dataOnly="0" labelOnly="1" fieldPosition="0">
        <references count="5">
          <reference field="4" count="1" selected="0">
            <x v="14"/>
          </reference>
          <reference field="6" count="1" selected="0">
            <x v="1"/>
          </reference>
          <reference field="7" count="1" selected="0">
            <x v="26"/>
          </reference>
          <reference field="8" count="1" selected="0">
            <x v="129"/>
          </reference>
          <reference field="15" count="2">
            <x v="330"/>
            <x v="331"/>
          </reference>
        </references>
      </pivotArea>
    </format>
    <format dxfId="2954">
      <pivotArea dataOnly="0" labelOnly="1" fieldPosition="0">
        <references count="5">
          <reference field="4" count="1" selected="0">
            <x v="14"/>
          </reference>
          <reference field="6" count="1" selected="0">
            <x v="1"/>
          </reference>
          <reference field="7" count="1" selected="0">
            <x v="26"/>
          </reference>
          <reference field="8" count="1" selected="0">
            <x v="130"/>
          </reference>
          <reference field="15" count="2">
            <x v="367"/>
            <x v="368"/>
          </reference>
        </references>
      </pivotArea>
    </format>
    <format dxfId="2953">
      <pivotArea dataOnly="0" labelOnly="1" fieldPosition="0">
        <references count="5">
          <reference field="4" count="1" selected="0">
            <x v="14"/>
          </reference>
          <reference field="6" count="1" selected="0">
            <x v="1"/>
          </reference>
          <reference field="7" count="1" selected="0">
            <x v="26"/>
          </reference>
          <reference field="8" count="1" selected="0">
            <x v="131"/>
          </reference>
          <reference field="15" count="3">
            <x v="14"/>
            <x v="15"/>
            <x v="16"/>
          </reference>
        </references>
      </pivotArea>
    </format>
    <format dxfId="2952">
      <pivotArea dataOnly="0" labelOnly="1" fieldPosition="0">
        <references count="5">
          <reference field="4" count="1" selected="0">
            <x v="15"/>
          </reference>
          <reference field="6" count="1" selected="0">
            <x v="0"/>
          </reference>
          <reference field="7" count="1" selected="0">
            <x v="20"/>
          </reference>
          <reference field="8" count="1" selected="0">
            <x v="82"/>
          </reference>
          <reference field="15" count="2">
            <x v="73"/>
            <x v="74"/>
          </reference>
        </references>
      </pivotArea>
    </format>
    <format dxfId="2951">
      <pivotArea dataOnly="0" labelOnly="1" fieldPosition="0">
        <references count="5">
          <reference field="4" count="1" selected="0">
            <x v="15"/>
          </reference>
          <reference field="6" count="1" selected="0">
            <x v="0"/>
          </reference>
          <reference field="7" count="1" selected="0">
            <x v="20"/>
          </reference>
          <reference field="8" count="1" selected="0">
            <x v="83"/>
          </reference>
          <reference field="15" count="1">
            <x v="75"/>
          </reference>
        </references>
      </pivotArea>
    </format>
    <format dxfId="2950">
      <pivotArea dataOnly="0" labelOnly="1" fieldPosition="0">
        <references count="5">
          <reference field="4" count="1" selected="0">
            <x v="15"/>
          </reference>
          <reference field="6" count="1" selected="0">
            <x v="0"/>
          </reference>
          <reference field="7" count="1" selected="0">
            <x v="20"/>
          </reference>
          <reference field="8" count="1" selected="0">
            <x v="84"/>
          </reference>
          <reference field="15" count="1">
            <x v="76"/>
          </reference>
        </references>
      </pivotArea>
    </format>
    <format dxfId="2949">
      <pivotArea dataOnly="0" labelOnly="1" fieldPosition="0">
        <references count="5">
          <reference field="4" count="1" selected="0">
            <x v="15"/>
          </reference>
          <reference field="6" count="1" selected="0">
            <x v="0"/>
          </reference>
          <reference field="7" count="1" selected="0">
            <x v="20"/>
          </reference>
          <reference field="8" count="1" selected="0">
            <x v="85"/>
          </reference>
          <reference field="15" count="1">
            <x v="259"/>
          </reference>
        </references>
      </pivotArea>
    </format>
    <format dxfId="2948">
      <pivotArea dataOnly="0" labelOnly="1" fieldPosition="0">
        <references count="5">
          <reference field="4" count="1" selected="0">
            <x v="15"/>
          </reference>
          <reference field="6" count="1" selected="0">
            <x v="0"/>
          </reference>
          <reference field="7" count="1" selected="0">
            <x v="20"/>
          </reference>
          <reference field="8" count="1" selected="0">
            <x v="86"/>
          </reference>
          <reference field="15" count="3">
            <x v="132"/>
            <x v="133"/>
            <x v="134"/>
          </reference>
        </references>
      </pivotArea>
    </format>
    <format dxfId="2947">
      <pivotArea dataOnly="0" labelOnly="1" fieldPosition="0">
        <references count="5">
          <reference field="4" count="1" selected="0">
            <x v="16"/>
          </reference>
          <reference field="6" count="1" selected="0">
            <x v="1"/>
          </reference>
          <reference field="7" count="1" selected="0">
            <x v="27"/>
          </reference>
          <reference field="8" count="1" selected="0">
            <x v="132"/>
          </reference>
          <reference field="15" count="1">
            <x v="20"/>
          </reference>
        </references>
      </pivotArea>
    </format>
    <format dxfId="2946">
      <pivotArea dataOnly="0" labelOnly="1" fieldPosition="0">
        <references count="5">
          <reference field="4" count="1" selected="0">
            <x v="16"/>
          </reference>
          <reference field="6" count="1" selected="0">
            <x v="1"/>
          </reference>
          <reference field="7" count="1" selected="0">
            <x v="27"/>
          </reference>
          <reference field="8" count="1" selected="0">
            <x v="133"/>
          </reference>
          <reference field="15" count="3">
            <x v="21"/>
            <x v="22"/>
            <x v="23"/>
          </reference>
        </references>
      </pivotArea>
    </format>
    <format dxfId="2945">
      <pivotArea dataOnly="0" labelOnly="1" fieldPosition="0">
        <references count="5">
          <reference field="4" count="1" selected="0">
            <x v="16"/>
          </reference>
          <reference field="6" count="1" selected="0">
            <x v="1"/>
          </reference>
          <reference field="7" count="1" selected="0">
            <x v="27"/>
          </reference>
          <reference field="8" count="1" selected="0">
            <x v="134"/>
          </reference>
          <reference field="15" count="2">
            <x v="149"/>
            <x v="354"/>
          </reference>
        </references>
      </pivotArea>
    </format>
    <format dxfId="2944">
      <pivotArea dataOnly="0" labelOnly="1" fieldPosition="0">
        <references count="5">
          <reference field="4" count="1" selected="0">
            <x v="16"/>
          </reference>
          <reference field="6" count="1" selected="0">
            <x v="1"/>
          </reference>
          <reference field="7" count="1" selected="0">
            <x v="27"/>
          </reference>
          <reference field="8" count="1" selected="0">
            <x v="135"/>
          </reference>
          <reference field="15" count="2">
            <x v="109"/>
            <x v="363"/>
          </reference>
        </references>
      </pivotArea>
    </format>
    <format dxfId="2943">
      <pivotArea dataOnly="0" labelOnly="1" fieldPosition="0">
        <references count="5">
          <reference field="4" count="1" selected="0">
            <x v="16"/>
          </reference>
          <reference field="6" count="1" selected="0">
            <x v="1"/>
          </reference>
          <reference field="7" count="1" selected="0">
            <x v="27"/>
          </reference>
          <reference field="8" count="1" selected="0">
            <x v="136"/>
          </reference>
          <reference field="15" count="2">
            <x v="81"/>
            <x v="148"/>
          </reference>
        </references>
      </pivotArea>
    </format>
    <format dxfId="2942">
      <pivotArea dataOnly="0" labelOnly="1" fieldPosition="0">
        <references count="5">
          <reference field="4" count="1" selected="0">
            <x v="16"/>
          </reference>
          <reference field="6" count="1" selected="0">
            <x v="1"/>
          </reference>
          <reference field="7" count="1" selected="0">
            <x v="27"/>
          </reference>
          <reference field="8" count="1" selected="0">
            <x v="137"/>
          </reference>
          <reference field="15" count="2">
            <x v="111"/>
            <x v="112"/>
          </reference>
        </references>
      </pivotArea>
    </format>
    <format dxfId="2941">
      <pivotArea dataOnly="0" labelOnly="1" fieldPosition="0">
        <references count="5">
          <reference field="4" count="1" selected="0">
            <x v="16"/>
          </reference>
          <reference field="6" count="1" selected="0">
            <x v="3"/>
          </reference>
          <reference field="7" count="1" selected="0">
            <x v="1"/>
          </reference>
          <reference field="8" count="1" selected="0">
            <x v="6"/>
          </reference>
          <reference field="15" count="1">
            <x v="362"/>
          </reference>
        </references>
      </pivotArea>
    </format>
    <format dxfId="2940">
      <pivotArea dataOnly="0" labelOnly="1" fieldPosition="0">
        <references count="5">
          <reference field="4" count="1" selected="0">
            <x v="16"/>
          </reference>
          <reference field="6" count="1" selected="0">
            <x v="4"/>
          </reference>
          <reference field="7" count="1" selected="0">
            <x v="8"/>
          </reference>
          <reference field="8" count="1" selected="0">
            <x v="38"/>
          </reference>
          <reference field="15" count="1">
            <x v="229"/>
          </reference>
        </references>
      </pivotArea>
    </format>
    <format dxfId="2939">
      <pivotArea dataOnly="0" labelOnly="1" fieldPosition="0">
        <references count="5">
          <reference field="4" count="1" selected="0">
            <x v="16"/>
          </reference>
          <reference field="6" count="1" selected="0">
            <x v="4"/>
          </reference>
          <reference field="7" count="1" selected="0">
            <x v="11"/>
          </reference>
          <reference field="8" count="1" selected="0">
            <x v="48"/>
          </reference>
          <reference field="15" count="1">
            <x v="200"/>
          </reference>
        </references>
      </pivotArea>
    </format>
    <format dxfId="2938">
      <pivotArea dataOnly="0" labelOnly="1" fieldPosition="0">
        <references count="5">
          <reference field="4" count="1" selected="0">
            <x v="17"/>
          </reference>
          <reference field="6" count="1" selected="0">
            <x v="0"/>
          </reference>
          <reference field="7" count="1" selected="0">
            <x v="16"/>
          </reference>
          <reference field="8" count="1" selected="0">
            <x v="57"/>
          </reference>
          <reference field="15" count="5">
            <x v="110"/>
            <x v="284"/>
            <x v="285"/>
            <x v="294"/>
            <x v="295"/>
          </reference>
        </references>
      </pivotArea>
    </format>
    <format dxfId="2937">
      <pivotArea dataOnly="0" labelOnly="1" fieldPosition="0">
        <references count="5">
          <reference field="4" count="1" selected="0">
            <x v="17"/>
          </reference>
          <reference field="6" count="1" selected="0">
            <x v="0"/>
          </reference>
          <reference field="7" count="1" selected="0">
            <x v="16"/>
          </reference>
          <reference field="8" count="1" selected="0">
            <x v="58"/>
          </reference>
          <reference field="15" count="2">
            <x v="299"/>
            <x v="300"/>
          </reference>
        </references>
      </pivotArea>
    </format>
    <format dxfId="2936">
      <pivotArea dataOnly="0" labelOnly="1" fieldPosition="0">
        <references count="5">
          <reference field="4" count="1" selected="0">
            <x v="17"/>
          </reference>
          <reference field="6" count="1" selected="0">
            <x v="0"/>
          </reference>
          <reference field="7" count="1" selected="0">
            <x v="16"/>
          </reference>
          <reference field="8" count="1" selected="0">
            <x v="59"/>
          </reference>
          <reference field="15" count="2">
            <x v="94"/>
            <x v="95"/>
          </reference>
        </references>
      </pivotArea>
    </format>
    <format dxfId="2935">
      <pivotArea dataOnly="0" labelOnly="1" fieldPosition="0">
        <references count="5">
          <reference field="4" count="1" selected="0">
            <x v="17"/>
          </reference>
          <reference field="6" count="1" selected="0">
            <x v="0"/>
          </reference>
          <reference field="7" count="1" selected="0">
            <x v="16"/>
          </reference>
          <reference field="8" count="1" selected="0">
            <x v="60"/>
          </reference>
          <reference field="15" count="5">
            <x v="102"/>
            <x v="103"/>
            <x v="104"/>
            <x v="322"/>
            <x v="323"/>
          </reference>
        </references>
      </pivotArea>
    </format>
    <format dxfId="2934">
      <pivotArea dataOnly="0" labelOnly="1" fieldPosition="0">
        <references count="5">
          <reference field="4" count="1" selected="0">
            <x v="17"/>
          </reference>
          <reference field="6" count="1" selected="0">
            <x v="0"/>
          </reference>
          <reference field="7" count="1" selected="0">
            <x v="16"/>
          </reference>
          <reference field="8" count="1" selected="0">
            <x v="61"/>
          </reference>
          <reference field="15" count="2">
            <x v="296"/>
            <x v="297"/>
          </reference>
        </references>
      </pivotArea>
    </format>
    <format dxfId="2933">
      <pivotArea dataOnly="0" labelOnly="1" fieldPosition="0">
        <references count="5">
          <reference field="4" count="1" selected="0">
            <x v="17"/>
          </reference>
          <reference field="6" count="1" selected="0">
            <x v="0"/>
          </reference>
          <reference field="7" count="1" selected="0">
            <x v="16"/>
          </reference>
          <reference field="8" count="1" selected="0">
            <x v="62"/>
          </reference>
          <reference field="15" count="1">
            <x v="93"/>
          </reference>
        </references>
      </pivotArea>
    </format>
    <format dxfId="2932">
      <pivotArea dataOnly="0" labelOnly="1" fieldPosition="0">
        <references count="5">
          <reference field="4" count="1" selected="0">
            <x v="17"/>
          </reference>
          <reference field="6" count="1" selected="0">
            <x v="0"/>
          </reference>
          <reference field="7" count="1" selected="0">
            <x v="16"/>
          </reference>
          <reference field="8" count="1" selected="0">
            <x v="63"/>
          </reference>
          <reference field="15" count="2">
            <x v="315"/>
            <x v="316"/>
          </reference>
        </references>
      </pivotArea>
    </format>
    <format dxfId="2931">
      <pivotArea dataOnly="0" labelOnly="1" fieldPosition="0">
        <references count="5">
          <reference field="4" count="1" selected="0">
            <x v="17"/>
          </reference>
          <reference field="6" count="1" selected="0">
            <x v="0"/>
          </reference>
          <reference field="7" count="1" selected="0">
            <x v="22"/>
          </reference>
          <reference field="8" count="1" selected="0">
            <x v="94"/>
          </reference>
          <reference field="15" count="2">
            <x v="105"/>
            <x v="106"/>
          </reference>
        </references>
      </pivotArea>
    </format>
    <format dxfId="2930">
      <pivotArea dataOnly="0" labelOnly="1" fieldPosition="0">
        <references count="5">
          <reference field="4" count="1" selected="0">
            <x v="18"/>
          </reference>
          <reference field="6" count="1" selected="0">
            <x v="3"/>
          </reference>
          <reference field="7" count="1" selected="0">
            <x v="2"/>
          </reference>
          <reference field="8" count="1" selected="0">
            <x v="8"/>
          </reference>
          <reference field="15" count="2">
            <x v="375"/>
            <x v="376"/>
          </reference>
        </references>
      </pivotArea>
    </format>
    <format dxfId="2929">
      <pivotArea dataOnly="0" labelOnly="1" fieldPosition="0">
        <references count="5">
          <reference field="4" count="1" selected="0">
            <x v="18"/>
          </reference>
          <reference field="6" count="1" selected="0">
            <x v="3"/>
          </reference>
          <reference field="7" count="1" selected="0">
            <x v="2"/>
          </reference>
          <reference field="8" count="1" selected="0">
            <x v="9"/>
          </reference>
          <reference field="15" count="1">
            <x v="266"/>
          </reference>
        </references>
      </pivotArea>
    </format>
    <format dxfId="2928">
      <pivotArea dataOnly="0" labelOnly="1" fieldPosition="0">
        <references count="5">
          <reference field="4" count="1" selected="0">
            <x v="18"/>
          </reference>
          <reference field="6" count="1" selected="0">
            <x v="3"/>
          </reference>
          <reference field="7" count="1" selected="0">
            <x v="2"/>
          </reference>
          <reference field="8" count="1" selected="0">
            <x v="16"/>
          </reference>
          <reference field="15" count="2">
            <x v="271"/>
            <x v="272"/>
          </reference>
        </references>
      </pivotArea>
    </format>
    <format dxfId="2927">
      <pivotArea dataOnly="0" labelOnly="1" fieldPosition="0">
        <references count="5">
          <reference field="4" count="1" selected="0">
            <x v="18"/>
          </reference>
          <reference field="6" count="1" selected="0">
            <x v="3"/>
          </reference>
          <reference field="7" count="1" selected="0">
            <x v="2"/>
          </reference>
          <reference field="8" count="1" selected="0">
            <x v="17"/>
          </reference>
          <reference field="15" count="3">
            <x v="286"/>
            <x v="287"/>
            <x v="288"/>
          </reference>
        </references>
      </pivotArea>
    </format>
    <format dxfId="2926">
      <pivotArea dataOnly="0" labelOnly="1" fieldPosition="0">
        <references count="5">
          <reference field="4" count="1" selected="0">
            <x v="19"/>
          </reference>
          <reference field="6" count="1" selected="0">
            <x v="3"/>
          </reference>
          <reference field="7" count="1" selected="0">
            <x v="6"/>
          </reference>
          <reference field="8" count="1" selected="0">
            <x v="29"/>
          </reference>
          <reference field="15" count="24">
            <x v="4"/>
            <x v="168"/>
            <x v="169"/>
            <x v="170"/>
            <x v="171"/>
            <x v="172"/>
            <x v="173"/>
            <x v="174"/>
            <x v="183"/>
            <x v="184"/>
            <x v="185"/>
            <x v="186"/>
            <x v="187"/>
            <x v="188"/>
            <x v="194"/>
            <x v="195"/>
            <x v="196"/>
            <x v="197"/>
            <x v="198"/>
            <x v="199"/>
            <x v="203"/>
            <x v="204"/>
            <x v="223"/>
            <x v="258"/>
          </reference>
        </references>
      </pivotArea>
    </format>
    <format dxfId="2925">
      <pivotArea dataOnly="0" labelOnly="1" fieldPosition="0">
        <references count="5">
          <reference field="4" count="1" selected="0">
            <x v="20"/>
          </reference>
          <reference field="6" count="1" selected="0">
            <x v="1"/>
          </reference>
          <reference field="7" count="1" selected="0">
            <x v="24"/>
          </reference>
          <reference field="8" count="1" selected="0">
            <x v="106"/>
          </reference>
          <reference field="15" count="2">
            <x v="239"/>
            <x v="240"/>
          </reference>
        </references>
      </pivotArea>
    </format>
    <format dxfId="2924">
      <pivotArea dataOnly="0" labelOnly="1" outline="0" fieldPosition="0">
        <references count="1">
          <reference field="4294967294" count="2">
            <x v="7"/>
            <x v="8"/>
          </reference>
        </references>
      </pivotArea>
    </format>
    <format dxfId="2923">
      <pivotArea outline="0" collapsedLevelsAreSubtotals="1" fieldPosition="0"/>
    </format>
    <format dxfId="2922">
      <pivotArea dataOnly="0" labelOnly="1" outline="0" fieldPosition="0">
        <references count="1">
          <reference field="2" count="0"/>
        </references>
      </pivotArea>
    </format>
    <format dxfId="2921">
      <pivotArea dataOnly="0" labelOnly="1" outline="0" fieldPosition="0">
        <references count="1">
          <reference field="4294967294" count="9">
            <x v="0"/>
            <x v="1"/>
            <x v="2"/>
            <x v="3"/>
            <x v="4"/>
            <x v="5"/>
            <x v="6"/>
            <x v="7"/>
            <x v="8"/>
          </reference>
        </references>
      </pivotArea>
    </format>
    <format dxfId="2920">
      <pivotArea outline="0" collapsedLevelsAreSubtotals="1" fieldPosition="0">
        <references count="1">
          <reference field="4294967294" count="2" selected="0">
            <x v="7"/>
            <x v="8"/>
          </reference>
        </references>
      </pivotArea>
    </format>
    <format dxfId="2919">
      <pivotArea dataOnly="0" labelOnly="1" outline="0" fieldPosition="0">
        <references count="1">
          <reference field="4294967294" count="2">
            <x v="7"/>
            <x v="8"/>
          </reference>
        </references>
      </pivotArea>
    </format>
    <format dxfId="2918">
      <pivotArea field="2" type="button" dataOnly="0" labelOnly="1" outline="0" axis="axisPage" fieldPosition="0"/>
    </format>
    <format dxfId="2917">
      <pivotArea field="4" type="button" dataOnly="0" labelOnly="1" outline="0" axis="axisRow" fieldPosition="0"/>
    </format>
    <format dxfId="2916">
      <pivotArea dataOnly="0" labelOnly="1" fieldPosition="0">
        <references count="1">
          <reference field="4" count="1">
            <x v="12"/>
          </reference>
        </references>
      </pivotArea>
    </format>
    <format dxfId="2915">
      <pivotArea dataOnly="0" labelOnly="1" grandRow="1" outline="0" fieldPosition="0"/>
    </format>
    <format dxfId="2914">
      <pivotArea dataOnly="0" labelOnly="1" fieldPosition="0">
        <references count="2">
          <reference field="4" count="1" selected="0">
            <x v="12"/>
          </reference>
          <reference field="6" count="1">
            <x v="0"/>
          </reference>
        </references>
      </pivotArea>
    </format>
    <format dxfId="2913">
      <pivotArea dataOnly="0" labelOnly="1" fieldPosition="0">
        <references count="3">
          <reference field="4" count="1" selected="0">
            <x v="12"/>
          </reference>
          <reference field="6" count="1" selected="0">
            <x v="0"/>
          </reference>
          <reference field="7" count="1">
            <x v="18"/>
          </reference>
        </references>
      </pivotArea>
    </format>
    <format dxfId="2912">
      <pivotArea dataOnly="0" labelOnly="1" fieldPosition="0">
        <references count="4">
          <reference field="4" count="1" selected="0">
            <x v="12"/>
          </reference>
          <reference field="6" count="1" selected="0">
            <x v="0"/>
          </reference>
          <reference field="7" count="1" selected="0">
            <x v="18"/>
          </reference>
          <reference field="8" count="3">
            <x v="74"/>
            <x v="75"/>
            <x v="76"/>
          </reference>
        </references>
      </pivotArea>
    </format>
    <format dxfId="2911">
      <pivotArea dataOnly="0" labelOnly="1" fieldPosition="0">
        <references count="5">
          <reference field="4" count="1" selected="0">
            <x v="12"/>
          </reference>
          <reference field="6" count="1" selected="0">
            <x v="0"/>
          </reference>
          <reference field="7" count="1" selected="0">
            <x v="18"/>
          </reference>
          <reference field="8" count="1" selected="0">
            <x v="74"/>
          </reference>
          <reference field="15" count="2">
            <x v="113"/>
            <x v="114"/>
          </reference>
        </references>
      </pivotArea>
    </format>
    <format dxfId="2910">
      <pivotArea dataOnly="0" labelOnly="1" fieldPosition="0">
        <references count="5">
          <reference field="4" count="1" selected="0">
            <x v="12"/>
          </reference>
          <reference field="6" count="1" selected="0">
            <x v="0"/>
          </reference>
          <reference field="7" count="1" selected="0">
            <x v="18"/>
          </reference>
          <reference field="8" count="1" selected="0">
            <x v="75"/>
          </reference>
          <reference field="15" count="1">
            <x v="116"/>
          </reference>
        </references>
      </pivotArea>
    </format>
    <format dxfId="2909">
      <pivotArea dataOnly="0" labelOnly="1" fieldPosition="0">
        <references count="5">
          <reference field="4" count="1" selected="0">
            <x v="12"/>
          </reference>
          <reference field="6" count="1" selected="0">
            <x v="0"/>
          </reference>
          <reference field="7" count="1" selected="0">
            <x v="18"/>
          </reference>
          <reference field="8" count="1" selected="0">
            <x v="76"/>
          </reference>
          <reference field="15" count="1">
            <x v="24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8" cacheId="2" applyNumberFormats="0" applyBorderFormats="0" applyFontFormats="0" applyPatternFormats="0" applyAlignmentFormats="0" applyWidthHeightFormats="1" dataCaption="Valores" grandTotalCaption="TOTAL " updatedVersion="8" minRefreshableVersion="3" useAutoFormatting="1" itemPrintTitles="1" createdVersion="8" indent="0" outline="1" outlineData="1" multipleFieldFilters="0" rowHeaderCaption="UNIDAD EJECUTORA">
  <location ref="A3:J22" firstHeaderRow="0" firstDataRow="1" firstDataCol="1" rowPageCount="1" colPageCount="1"/>
  <pivotFields count="33">
    <pivotField showAll="0"/>
    <pivotField showAll="0"/>
    <pivotField axis="axisPage" showAll="0">
      <items count="22">
        <item x="4"/>
        <item x="3"/>
        <item x="14"/>
        <item x="0"/>
        <item x="13"/>
        <item x="17"/>
        <item x="7"/>
        <item x="9"/>
        <item x="15"/>
        <item x="8"/>
        <item x="1"/>
        <item x="16"/>
        <item x="12"/>
        <item x="20"/>
        <item x="5"/>
        <item x="10"/>
        <item x="6"/>
        <item x="11"/>
        <item x="19"/>
        <item x="2"/>
        <item x="18"/>
        <item t="default"/>
      </items>
    </pivotField>
    <pivotField showAll="0"/>
    <pivotField axis="axisRow" showAll="0">
      <items count="22">
        <item x="4"/>
        <item x="3"/>
        <item x="14"/>
        <item x="0"/>
        <item x="13"/>
        <item x="17"/>
        <item x="7"/>
        <item x="9"/>
        <item x="15"/>
        <item x="8"/>
        <item x="1"/>
        <item x="16"/>
        <item x="12"/>
        <item x="20"/>
        <item x="5"/>
        <item x="10"/>
        <item x="6"/>
        <item x="11"/>
        <item x="19"/>
        <item x="2"/>
        <item x="18"/>
        <item t="default"/>
      </items>
    </pivotField>
    <pivotField numFmtId="1" showAll="0"/>
    <pivotField axis="axisRow" showAll="0">
      <items count="6">
        <item x="1"/>
        <item x="2"/>
        <item x="3"/>
        <item x="0"/>
        <item x="4"/>
        <item t="default"/>
      </items>
    </pivotField>
    <pivotField axis="axisRow" showAll="0">
      <items count="34">
        <item x="19"/>
        <item x="27"/>
        <item x="1"/>
        <item x="2"/>
        <item x="8"/>
        <item x="30"/>
        <item x="0"/>
        <item x="32"/>
        <item x="25"/>
        <item x="29"/>
        <item x="12"/>
        <item x="15"/>
        <item x="13"/>
        <item x="28"/>
        <item x="23"/>
        <item x="31"/>
        <item x="16"/>
        <item x="10"/>
        <item x="18"/>
        <item x="3"/>
        <item x="14"/>
        <item x="20"/>
        <item x="17"/>
        <item x="9"/>
        <item x="6"/>
        <item x="7"/>
        <item x="4"/>
        <item x="5"/>
        <item x="24"/>
        <item x="11"/>
        <item x="21"/>
        <item x="26"/>
        <item x="22"/>
        <item t="default"/>
      </items>
    </pivotField>
    <pivotField axis="axisRow" showAll="0">
      <items count="161">
        <item x="62"/>
        <item x="155"/>
        <item x="112"/>
        <item x="156"/>
        <item x="118"/>
        <item x="154"/>
        <item x="140"/>
        <item x="60"/>
        <item x="153"/>
        <item x="102"/>
        <item x="7"/>
        <item x="2"/>
        <item x="52"/>
        <item x="1"/>
        <item x="22"/>
        <item x="151"/>
        <item x="105"/>
        <item x="114"/>
        <item x="82"/>
        <item x="3"/>
        <item x="15"/>
        <item x="49"/>
        <item x="135"/>
        <item x="134"/>
        <item x="139"/>
        <item x="142"/>
        <item x="138"/>
        <item x="141"/>
        <item x="128"/>
        <item x="0"/>
        <item x="103"/>
        <item x="159"/>
        <item x="150"/>
        <item x="86"/>
        <item x="152"/>
        <item x="137"/>
        <item x="110"/>
        <item x="79"/>
        <item x="80"/>
        <item x="83"/>
        <item x="126"/>
        <item x="131"/>
        <item x="132"/>
        <item x="129"/>
        <item x="28"/>
        <item x="27"/>
        <item x="29"/>
        <item x="26"/>
        <item x="43"/>
        <item x="42"/>
        <item x="32"/>
        <item x="122"/>
        <item x="124"/>
        <item x="123"/>
        <item x="111"/>
        <item x="69"/>
        <item x="136"/>
        <item x="55"/>
        <item x="119"/>
        <item x="46"/>
        <item x="50"/>
        <item x="117"/>
        <item x="45"/>
        <item x="127"/>
        <item x="106"/>
        <item x="53"/>
        <item x="147"/>
        <item x="146"/>
        <item x="38"/>
        <item x="20"/>
        <item x="144"/>
        <item x="145"/>
        <item x="74"/>
        <item x="89"/>
        <item x="57"/>
        <item x="59"/>
        <item x="88"/>
        <item x="108"/>
        <item x="85"/>
        <item x="5"/>
        <item x="4"/>
        <item x="81"/>
        <item x="35"/>
        <item x="36"/>
        <item x="37"/>
        <item x="98"/>
        <item x="67"/>
        <item x="63"/>
        <item x="116"/>
        <item x="125"/>
        <item x="157"/>
        <item x="101"/>
        <item x="66"/>
        <item x="149"/>
        <item x="51"/>
        <item x="90"/>
        <item x="91"/>
        <item x="97"/>
        <item x="21"/>
        <item x="94"/>
        <item x="93"/>
        <item x="95"/>
        <item x="18"/>
        <item x="92"/>
        <item x="96"/>
        <item x="11"/>
        <item x="87"/>
        <item x="61"/>
        <item x="48"/>
        <item x="47"/>
        <item x="58"/>
        <item x="130"/>
        <item x="39"/>
        <item x="33"/>
        <item x="100"/>
        <item x="16"/>
        <item x="30"/>
        <item x="44"/>
        <item x="34"/>
        <item x="31"/>
        <item x="41"/>
        <item x="19"/>
        <item x="17"/>
        <item x="14"/>
        <item x="99"/>
        <item x="12"/>
        <item x="8"/>
        <item x="78"/>
        <item x="13"/>
        <item x="133"/>
        <item x="148"/>
        <item x="6"/>
        <item x="9"/>
        <item x="10"/>
        <item x="77"/>
        <item x="54"/>
        <item x="40"/>
        <item x="56"/>
        <item x="104"/>
        <item x="76"/>
        <item x="25"/>
        <item x="109"/>
        <item x="113"/>
        <item x="115"/>
        <item x="24"/>
        <item x="23"/>
        <item x="70"/>
        <item x="64"/>
        <item x="73"/>
        <item x="71"/>
        <item x="75"/>
        <item x="158"/>
        <item x="65"/>
        <item x="72"/>
        <item x="107"/>
        <item x="84"/>
        <item x="121"/>
        <item x="120"/>
        <item x="143"/>
        <item x="68"/>
        <item t="default"/>
      </items>
    </pivotField>
    <pivotField showAll="0"/>
    <pivotField showAll="0"/>
    <pivotField showAll="0"/>
    <pivotField showAll="0"/>
    <pivotField showAll="0"/>
    <pivotField showAll="0"/>
    <pivotField axis="axisRow" showAll="0">
      <items count="402">
        <item x="1"/>
        <item x="0"/>
        <item x="3"/>
        <item x="2"/>
        <item x="4"/>
        <item x="5"/>
        <item x="6"/>
        <item x="8"/>
        <item x="7"/>
        <item x="9"/>
        <item x="11"/>
        <item x="10"/>
        <item x="12"/>
        <item x="13"/>
        <item x="16"/>
        <item x="15"/>
        <item x="14"/>
        <item x="18"/>
        <item x="17"/>
        <item x="19"/>
        <item x="20"/>
        <item x="21"/>
        <item x="22"/>
        <item x="23"/>
        <item x="25"/>
        <item x="24"/>
        <item x="27"/>
        <item x="26"/>
        <item x="28"/>
        <item x="29"/>
        <item x="30"/>
        <item x="31"/>
        <item x="32"/>
        <item x="33"/>
        <item x="34"/>
        <item x="35"/>
        <item x="36"/>
        <item x="37"/>
        <item x="38"/>
        <item x="39"/>
        <item x="40"/>
        <item x="41"/>
        <item x="42"/>
        <item x="43"/>
        <item x="44"/>
        <item x="45"/>
        <item x="46"/>
        <item x="47"/>
        <item x="48"/>
        <item x="49"/>
        <item x="50"/>
        <item x="51"/>
        <item x="52"/>
        <item x="53"/>
        <item x="54"/>
        <item x="55"/>
        <item x="56"/>
        <item x="58"/>
        <item x="57"/>
        <item x="59"/>
        <item x="60"/>
        <item x="61"/>
        <item x="62"/>
        <item x="63"/>
        <item x="65"/>
        <item x="64"/>
        <item x="66"/>
        <item x="67"/>
        <item x="68"/>
        <item x="69"/>
        <item x="70"/>
        <item x="71"/>
        <item x="72"/>
        <item x="74"/>
        <item x="73"/>
        <item x="75"/>
        <item x="76"/>
        <item x="77"/>
        <item x="78"/>
        <item x="79"/>
        <item x="80"/>
        <item x="81"/>
        <item x="82"/>
        <item x="83"/>
        <item x="84"/>
        <item x="85"/>
        <item x="86"/>
        <item x="87"/>
        <item x="88"/>
        <item x="89"/>
        <item x="90"/>
        <item x="91"/>
        <item x="92"/>
        <item x="93"/>
        <item x="95"/>
        <item x="94"/>
        <item x="96"/>
        <item x="97"/>
        <item x="98"/>
        <item x="99"/>
        <item x="101"/>
        <item x="100"/>
        <item x="103"/>
        <item x="102"/>
        <item x="104"/>
        <item x="105"/>
        <item x="106"/>
        <item x="107"/>
        <item x="108"/>
        <item x="109"/>
        <item x="110"/>
        <item x="111"/>
        <item x="112"/>
        <item x="114"/>
        <item x="113"/>
        <item x="115"/>
        <item x="116"/>
        <item x="117"/>
        <item x="118"/>
        <item x="119"/>
        <item x="122"/>
        <item x="120"/>
        <item x="121"/>
        <item x="123"/>
        <item x="124"/>
        <item x="125"/>
        <item x="126"/>
        <item x="127"/>
        <item x="129"/>
        <item x="128"/>
        <item x="130"/>
        <item x="131"/>
        <item x="132"/>
        <item x="133"/>
        <item x="134"/>
        <item x="135"/>
        <item x="136"/>
        <item x="137"/>
        <item x="138"/>
        <item x="139"/>
        <item x="140"/>
        <item x="141"/>
        <item x="142"/>
        <item x="143"/>
        <item x="144"/>
        <item x="145"/>
        <item x="146"/>
        <item x="147"/>
        <item x="148"/>
        <item x="149"/>
        <item x="151"/>
        <item x="150"/>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3"/>
        <item x="192"/>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4"/>
        <item x="233"/>
        <item x="235"/>
        <item x="236"/>
        <item x="237"/>
        <item x="238"/>
        <item x="239"/>
        <item x="240"/>
        <item x="241"/>
        <item x="242"/>
        <item x="243"/>
        <item x="244"/>
        <item x="246"/>
        <item x="245"/>
        <item x="247"/>
        <item x="248"/>
        <item x="249"/>
        <item x="250"/>
        <item x="251"/>
        <item x="252"/>
        <item x="253"/>
        <item x="254"/>
        <item x="255"/>
        <item x="256"/>
        <item x="257"/>
        <item x="258"/>
        <item x="259"/>
        <item x="260"/>
        <item x="261"/>
        <item x="262"/>
        <item x="263"/>
        <item x="264"/>
        <item x="265"/>
        <item x="266"/>
        <item x="268"/>
        <item x="267"/>
        <item x="269"/>
        <item x="270"/>
        <item x="271"/>
        <item x="272"/>
        <item x="273"/>
        <item x="274"/>
        <item x="275"/>
        <item x="277"/>
        <item x="276"/>
        <item x="278"/>
        <item x="279"/>
        <item x="280"/>
        <item x="281"/>
        <item x="282"/>
        <item x="283"/>
        <item x="285"/>
        <item x="284"/>
        <item x="288"/>
        <item x="286"/>
        <item x="287"/>
        <item x="289"/>
        <item x="290"/>
        <item x="291"/>
        <item x="292"/>
        <item x="293"/>
        <item x="294"/>
        <item x="295"/>
        <item x="297"/>
        <item x="296"/>
        <item x="298"/>
        <item x="299"/>
        <item x="300"/>
        <item x="301"/>
        <item x="302"/>
        <item x="303"/>
        <item x="304"/>
        <item x="305"/>
        <item x="306"/>
        <item x="307"/>
        <item x="308"/>
        <item x="309"/>
        <item x="310"/>
        <item x="311"/>
        <item x="312"/>
        <item x="313"/>
        <item x="314"/>
        <item x="316"/>
        <item x="315"/>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7"/>
        <item x="346"/>
        <item x="348"/>
        <item x="349"/>
        <item x="350"/>
        <item x="351"/>
        <item x="352"/>
        <item x="353"/>
        <item x="354"/>
        <item x="355"/>
        <item x="357"/>
        <item x="356"/>
        <item x="358"/>
        <item x="360"/>
        <item x="359"/>
        <item x="361"/>
        <item x="362"/>
        <item x="363"/>
        <item x="364"/>
        <item x="365"/>
        <item x="366"/>
        <item x="368"/>
        <item x="367"/>
        <item x="369"/>
        <item x="370"/>
        <item x="371"/>
        <item x="372"/>
        <item x="373"/>
        <item x="374"/>
        <item x="376"/>
        <item x="375"/>
        <item x="377"/>
        <item x="378"/>
        <item x="379"/>
        <item x="380"/>
        <item x="381"/>
        <item x="382"/>
        <item x="383"/>
        <item x="384"/>
        <item x="385"/>
        <item x="386"/>
        <item x="387"/>
        <item x="389"/>
        <item x="388"/>
        <item x="390"/>
        <item x="391"/>
        <item x="392"/>
        <item x="393"/>
        <item x="394"/>
        <item x="395"/>
        <item x="396"/>
        <item x="397"/>
        <item x="398"/>
        <item x="399"/>
        <item x="400"/>
        <item t="default"/>
      </items>
    </pivotField>
    <pivotField showAll="0"/>
    <pivotField showAll="0"/>
    <pivotField dataField="1" numFmtId="43" showAll="0"/>
    <pivotField numFmtId="43" showAll="0"/>
    <pivotField dataField="1" numFmtId="43" showAll="0"/>
    <pivotField numFmtId="43" showAll="0"/>
    <pivotField numFmtId="43" showAll="0"/>
    <pivotField dataField="1" numFmtId="43" showAll="0"/>
    <pivotField numFmtId="43" showAll="0"/>
    <pivotField dataField="1" numFmtId="43" showAll="0"/>
    <pivotField numFmtId="43" showAll="0"/>
    <pivotField numFmtId="43" showAll="0"/>
    <pivotField dataField="1" numFmtId="43" showAl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5">
    <field x="4"/>
    <field x="6"/>
    <field x="7"/>
    <field x="8"/>
    <field x="15"/>
  </rowFields>
  <rowItems count="19">
    <i>
      <x v="13"/>
    </i>
    <i r="1">
      <x v="3"/>
    </i>
    <i r="2">
      <x v="1"/>
    </i>
    <i r="3">
      <x v="6"/>
    </i>
    <i r="4">
      <x v="340"/>
    </i>
    <i r="2">
      <x v="5"/>
    </i>
    <i r="3">
      <x v="22"/>
    </i>
    <i r="4">
      <x v="333"/>
    </i>
    <i r="3">
      <x v="23"/>
    </i>
    <i r="4">
      <x v="332"/>
    </i>
    <i r="3">
      <x v="24"/>
    </i>
    <i r="4">
      <x v="339"/>
    </i>
    <i r="3">
      <x v="25"/>
    </i>
    <i r="4">
      <x v="342"/>
    </i>
    <i r="3">
      <x v="26"/>
    </i>
    <i r="4">
      <x v="338"/>
    </i>
    <i r="3">
      <x v="27"/>
    </i>
    <i r="4">
      <x v="341"/>
    </i>
    <i t="grand">
      <x/>
    </i>
  </rowItems>
  <colFields count="1">
    <field x="-2"/>
  </colFields>
  <colItems count="9">
    <i>
      <x/>
    </i>
    <i i="1">
      <x v="1"/>
    </i>
    <i i="2">
      <x v="2"/>
    </i>
    <i i="3">
      <x v="3"/>
    </i>
    <i i="4">
      <x v="4"/>
    </i>
    <i i="5">
      <x v="5"/>
    </i>
    <i i="6">
      <x v="6"/>
    </i>
    <i i="7">
      <x v="7"/>
    </i>
    <i i="8">
      <x v="8"/>
    </i>
  </colItems>
  <pageFields count="1">
    <pageField fld="2" item="13" hier="-1"/>
  </pageFields>
  <dataFields count="9">
    <dataField name="PPTO INICIAL" fld="18" baseField="4" baseItem="0"/>
    <dataField name="PPTO VIGENTE" fld="20" baseField="4" baseItem="0"/>
    <dataField name="COMPROMISOS." fld="23" baseField="4" baseItem="0"/>
    <dataField name="GIROS." fld="25" baseField="4" baseItem="0"/>
    <dataField name="PAGOS " fld="28" baseField="4" baseItem="0"/>
    <dataField name=" SALDO APROPIACIÓN CDP" fld="29" baseField="4" baseItem="0" numFmtId="43"/>
    <dataField name="SALDO APROPIACIÓN RP" fld="30" baseField="4" baseItem="0" numFmtId="43"/>
    <dataField name="Suma de % CDP" fld="31" baseField="0" baseItem="0" numFmtId="43"/>
    <dataField name="Suma de % RP" fld="32" baseField="0" baseItem="0" numFmtId="43"/>
  </dataFields>
  <formats count="326">
    <format dxfId="2908">
      <pivotArea dataOnly="0" labelOnly="1" fieldPosition="0">
        <references count="1">
          <reference field="4" count="0"/>
        </references>
      </pivotArea>
    </format>
    <format dxfId="2907">
      <pivotArea dataOnly="0" labelOnly="1" fieldPosition="0">
        <references count="1">
          <reference field="4" count="1">
            <x v="0"/>
          </reference>
        </references>
      </pivotArea>
    </format>
    <format dxfId="2906">
      <pivotArea dataOnly="0" labelOnly="1" fieldPosition="0">
        <references count="1">
          <reference field="6" count="0"/>
        </references>
      </pivotArea>
    </format>
    <format dxfId="2905">
      <pivotArea dataOnly="0" labelOnly="1" fieldPosition="0">
        <references count="1">
          <reference field="7" count="0"/>
        </references>
      </pivotArea>
    </format>
    <format dxfId="2904">
      <pivotArea dataOnly="0" labelOnly="1" fieldPosition="0">
        <references count="1">
          <reference field="7" count="0"/>
        </references>
      </pivotArea>
    </format>
    <format dxfId="2903">
      <pivotArea dataOnly="0" labelOnly="1" fieldPosition="0">
        <references count="1">
          <reference field="8" count="0"/>
        </references>
      </pivotArea>
    </format>
    <format dxfId="2902">
      <pivotArea outline="0" collapsedLevelsAreSubtotals="1" fieldPosition="0"/>
    </format>
    <format dxfId="2901">
      <pivotArea dataOnly="0" labelOnly="1" outline="0" fieldPosition="0">
        <references count="1">
          <reference field="2" count="0"/>
        </references>
      </pivotArea>
    </format>
    <format dxfId="2900">
      <pivotArea dataOnly="0" labelOnly="1" outline="0" fieldPosition="0">
        <references count="1">
          <reference field="4294967294" count="9">
            <x v="0"/>
            <x v="1"/>
            <x v="2"/>
            <x v="3"/>
            <x v="4"/>
            <x v="5"/>
            <x v="6"/>
            <x v="7"/>
            <x v="8"/>
          </reference>
        </references>
      </pivotArea>
    </format>
    <format dxfId="2899">
      <pivotArea field="2" type="button" dataOnly="0" labelOnly="1" outline="0" axis="axisPage" fieldPosition="0"/>
    </format>
    <format dxfId="2898">
      <pivotArea field="4" type="button" dataOnly="0" labelOnly="1" outline="0" axis="axisRow" fieldPosition="0"/>
    </format>
    <format dxfId="2897">
      <pivotArea dataOnly="0" labelOnly="1" fieldPosition="0">
        <references count="1">
          <reference field="4" count="0"/>
        </references>
      </pivotArea>
    </format>
    <format dxfId="2896">
      <pivotArea dataOnly="0" labelOnly="1" grandRow="1" outline="0" fieldPosition="0"/>
    </format>
    <format dxfId="2895">
      <pivotArea dataOnly="0" labelOnly="1" fieldPosition="0">
        <references count="2">
          <reference field="4" count="1" selected="0">
            <x v="0"/>
          </reference>
          <reference field="6" count="2">
            <x v="0"/>
            <x v="1"/>
          </reference>
        </references>
      </pivotArea>
    </format>
    <format dxfId="2894">
      <pivotArea dataOnly="0" labelOnly="1" fieldPosition="0">
        <references count="2">
          <reference field="4" count="1" selected="0">
            <x v="1"/>
          </reference>
          <reference field="6" count="3">
            <x v="0"/>
            <x v="3"/>
            <x v="4"/>
          </reference>
        </references>
      </pivotArea>
    </format>
    <format dxfId="2893">
      <pivotArea dataOnly="0" labelOnly="1" fieldPosition="0">
        <references count="2">
          <reference field="4" count="1" selected="0">
            <x v="2"/>
          </reference>
          <reference field="6" count="3">
            <x v="2"/>
            <x v="3"/>
            <x v="4"/>
          </reference>
        </references>
      </pivotArea>
    </format>
    <format dxfId="2892">
      <pivotArea dataOnly="0" labelOnly="1" fieldPosition="0">
        <references count="2">
          <reference field="4" count="1" selected="0">
            <x v="3"/>
          </reference>
          <reference field="6" count="1">
            <x v="3"/>
          </reference>
        </references>
      </pivotArea>
    </format>
    <format dxfId="2891">
      <pivotArea dataOnly="0" labelOnly="1" fieldPosition="0">
        <references count="2">
          <reference field="4" count="1" selected="0">
            <x v="4"/>
          </reference>
          <reference field="6" count="4">
            <x v="0"/>
            <x v="1"/>
            <x v="2"/>
            <x v="3"/>
          </reference>
        </references>
      </pivotArea>
    </format>
    <format dxfId="2890">
      <pivotArea dataOnly="0" labelOnly="1" fieldPosition="0">
        <references count="2">
          <reference field="4" count="1" selected="0">
            <x v="5"/>
          </reference>
          <reference field="6" count="2">
            <x v="0"/>
            <x v="4"/>
          </reference>
        </references>
      </pivotArea>
    </format>
    <format dxfId="2889">
      <pivotArea dataOnly="0" labelOnly="1" fieldPosition="0">
        <references count="2">
          <reference field="4" count="1" selected="0">
            <x v="6"/>
          </reference>
          <reference field="6" count="1">
            <x v="1"/>
          </reference>
        </references>
      </pivotArea>
    </format>
    <format dxfId="2888">
      <pivotArea dataOnly="0" labelOnly="1" fieldPosition="0">
        <references count="2">
          <reference field="4" count="1" selected="0">
            <x v="7"/>
          </reference>
          <reference field="6" count="4">
            <x v="0"/>
            <x v="2"/>
            <x v="3"/>
            <x v="4"/>
          </reference>
        </references>
      </pivotArea>
    </format>
    <format dxfId="2887">
      <pivotArea dataOnly="0" labelOnly="1" fieldPosition="0">
        <references count="2">
          <reference field="4" count="1" selected="0">
            <x v="8"/>
          </reference>
          <reference field="6" count="4">
            <x v="0"/>
            <x v="1"/>
            <x v="2"/>
            <x v="3"/>
          </reference>
        </references>
      </pivotArea>
    </format>
    <format dxfId="2886">
      <pivotArea dataOnly="0" labelOnly="1" fieldPosition="0">
        <references count="2">
          <reference field="4" count="1" selected="0">
            <x v="9"/>
          </reference>
          <reference field="6" count="1">
            <x v="1"/>
          </reference>
        </references>
      </pivotArea>
    </format>
    <format dxfId="2885">
      <pivotArea dataOnly="0" labelOnly="1" fieldPosition="0">
        <references count="2">
          <reference field="4" count="1" selected="0">
            <x v="10"/>
          </reference>
          <reference field="6" count="1">
            <x v="3"/>
          </reference>
        </references>
      </pivotArea>
    </format>
    <format dxfId="2884">
      <pivotArea dataOnly="0" labelOnly="1" fieldPosition="0">
        <references count="2">
          <reference field="4" count="1" selected="0">
            <x v="11"/>
          </reference>
          <reference field="6" count="1">
            <x v="0"/>
          </reference>
        </references>
      </pivotArea>
    </format>
    <format dxfId="2883">
      <pivotArea dataOnly="0" labelOnly="1" fieldPosition="0">
        <references count="2">
          <reference field="4" count="1" selected="0">
            <x v="12"/>
          </reference>
          <reference field="6" count="1">
            <x v="0"/>
          </reference>
        </references>
      </pivotArea>
    </format>
    <format dxfId="2882">
      <pivotArea dataOnly="0" labelOnly="1" fieldPosition="0">
        <references count="2">
          <reference field="4" count="1" selected="0">
            <x v="13"/>
          </reference>
          <reference field="6" count="1">
            <x v="3"/>
          </reference>
        </references>
      </pivotArea>
    </format>
    <format dxfId="2881">
      <pivotArea dataOnly="0" labelOnly="1" fieldPosition="0">
        <references count="2">
          <reference field="4" count="1" selected="0">
            <x v="14"/>
          </reference>
          <reference field="6" count="1">
            <x v="1"/>
          </reference>
        </references>
      </pivotArea>
    </format>
    <format dxfId="2880">
      <pivotArea dataOnly="0" labelOnly="1" fieldPosition="0">
        <references count="2">
          <reference field="4" count="1" selected="0">
            <x v="15"/>
          </reference>
          <reference field="6" count="1">
            <x v="0"/>
          </reference>
        </references>
      </pivotArea>
    </format>
    <format dxfId="2879">
      <pivotArea dataOnly="0" labelOnly="1" fieldPosition="0">
        <references count="2">
          <reference field="4" count="1" selected="0">
            <x v="16"/>
          </reference>
          <reference field="6" count="3">
            <x v="1"/>
            <x v="3"/>
            <x v="4"/>
          </reference>
        </references>
      </pivotArea>
    </format>
    <format dxfId="2878">
      <pivotArea dataOnly="0" labelOnly="1" fieldPosition="0">
        <references count="2">
          <reference field="4" count="1" selected="0">
            <x v="17"/>
          </reference>
          <reference field="6" count="1">
            <x v="0"/>
          </reference>
        </references>
      </pivotArea>
    </format>
    <format dxfId="2877">
      <pivotArea dataOnly="0" labelOnly="1" fieldPosition="0">
        <references count="2">
          <reference field="4" count="1" selected="0">
            <x v="18"/>
          </reference>
          <reference field="6" count="1">
            <x v="3"/>
          </reference>
        </references>
      </pivotArea>
    </format>
    <format dxfId="2876">
      <pivotArea dataOnly="0" labelOnly="1" fieldPosition="0">
        <references count="2">
          <reference field="4" count="1" selected="0">
            <x v="19"/>
          </reference>
          <reference field="6" count="1">
            <x v="3"/>
          </reference>
        </references>
      </pivotArea>
    </format>
    <format dxfId="2875">
      <pivotArea dataOnly="0" labelOnly="1" fieldPosition="0">
        <references count="2">
          <reference field="4" count="1" selected="0">
            <x v="20"/>
          </reference>
          <reference field="6" count="1">
            <x v="1"/>
          </reference>
        </references>
      </pivotArea>
    </format>
    <format dxfId="2874">
      <pivotArea dataOnly="0" labelOnly="1" fieldPosition="0">
        <references count="3">
          <reference field="4" count="1" selected="0">
            <x v="0"/>
          </reference>
          <reference field="6" count="1" selected="0">
            <x v="0"/>
          </reference>
          <reference field="7" count="2">
            <x v="17"/>
            <x v="19"/>
          </reference>
        </references>
      </pivotArea>
    </format>
    <format dxfId="2873">
      <pivotArea dataOnly="0" labelOnly="1" fieldPosition="0">
        <references count="3">
          <reference field="4" count="1" selected="0">
            <x v="0"/>
          </reference>
          <reference field="6" count="1" selected="0">
            <x v="1"/>
          </reference>
          <reference field="7" count="2">
            <x v="23"/>
            <x v="26"/>
          </reference>
        </references>
      </pivotArea>
    </format>
    <format dxfId="2872">
      <pivotArea dataOnly="0" labelOnly="1" fieldPosition="0">
        <references count="3">
          <reference field="4" count="1" selected="0">
            <x v="1"/>
          </reference>
          <reference field="6" count="1" selected="0">
            <x v="0"/>
          </reference>
          <reference field="7" count="1">
            <x v="19"/>
          </reference>
        </references>
      </pivotArea>
    </format>
    <format dxfId="2871">
      <pivotArea dataOnly="0" labelOnly="1" fieldPosition="0">
        <references count="3">
          <reference field="4" count="1" selected="0">
            <x v="1"/>
          </reference>
          <reference field="6" count="1" selected="0">
            <x v="3"/>
          </reference>
          <reference field="7" count="3">
            <x v="2"/>
            <x v="3"/>
            <x v="4"/>
          </reference>
        </references>
      </pivotArea>
    </format>
    <format dxfId="2870">
      <pivotArea dataOnly="0" labelOnly="1" fieldPosition="0">
        <references count="3">
          <reference field="4" count="1" selected="0">
            <x v="1"/>
          </reference>
          <reference field="6" count="1" selected="0">
            <x v="4"/>
          </reference>
          <reference field="7" count="1">
            <x v="8"/>
          </reference>
        </references>
      </pivotArea>
    </format>
    <format dxfId="2869">
      <pivotArea dataOnly="0" labelOnly="1" fieldPosition="0">
        <references count="3">
          <reference field="4" count="1" selected="0">
            <x v="2"/>
          </reference>
          <reference field="6" count="1" selected="0">
            <x v="2"/>
          </reference>
          <reference field="7" count="2">
            <x v="29"/>
            <x v="30"/>
          </reference>
        </references>
      </pivotArea>
    </format>
    <format dxfId="2868">
      <pivotArea dataOnly="0" labelOnly="1" fieldPosition="0">
        <references count="3">
          <reference field="4" count="1" selected="0">
            <x v="2"/>
          </reference>
          <reference field="6" count="1" selected="0">
            <x v="3"/>
          </reference>
          <reference field="7" count="2">
            <x v="5"/>
            <x v="7"/>
          </reference>
        </references>
      </pivotArea>
    </format>
    <format dxfId="2867">
      <pivotArea dataOnly="0" labelOnly="1" fieldPosition="0">
        <references count="3">
          <reference field="4" count="1" selected="0">
            <x v="2"/>
          </reference>
          <reference field="6" count="1" selected="0">
            <x v="4"/>
          </reference>
          <reference field="7" count="1">
            <x v="8"/>
          </reference>
        </references>
      </pivotArea>
    </format>
    <format dxfId="2866">
      <pivotArea dataOnly="0" labelOnly="1" fieldPosition="0">
        <references count="3">
          <reference field="4" count="1" selected="0">
            <x v="3"/>
          </reference>
          <reference field="6" count="1" selected="0">
            <x v="3"/>
          </reference>
          <reference field="7" count="1">
            <x v="6"/>
          </reference>
        </references>
      </pivotArea>
    </format>
    <format dxfId="2865">
      <pivotArea dataOnly="0" labelOnly="1" fieldPosition="0">
        <references count="3">
          <reference field="4" count="1" selected="0">
            <x v="4"/>
          </reference>
          <reference field="6" count="1" selected="0">
            <x v="0"/>
          </reference>
          <reference field="7" count="1">
            <x v="21"/>
          </reference>
        </references>
      </pivotArea>
    </format>
    <format dxfId="2864">
      <pivotArea dataOnly="0" labelOnly="1" fieldPosition="0">
        <references count="3">
          <reference field="4" count="1" selected="0">
            <x v="4"/>
          </reference>
          <reference field="6" count="1" selected="0">
            <x v="1"/>
          </reference>
          <reference field="7" count="1">
            <x v="24"/>
          </reference>
        </references>
      </pivotArea>
    </format>
    <format dxfId="2863">
      <pivotArea dataOnly="0" labelOnly="1" fieldPosition="0">
        <references count="3">
          <reference field="4" count="1" selected="0">
            <x v="4"/>
          </reference>
          <reference field="6" count="1" selected="0">
            <x v="2"/>
          </reference>
          <reference field="7" count="2">
            <x v="29"/>
            <x v="31"/>
          </reference>
        </references>
      </pivotArea>
    </format>
    <format dxfId="2862">
      <pivotArea dataOnly="0" labelOnly="1" fieldPosition="0">
        <references count="3">
          <reference field="4" count="1" selected="0">
            <x v="4"/>
          </reference>
          <reference field="6" count="1" selected="0">
            <x v="3"/>
          </reference>
          <reference field="7" count="2">
            <x v="0"/>
            <x v="1"/>
          </reference>
        </references>
      </pivotArea>
    </format>
    <format dxfId="2861">
      <pivotArea dataOnly="0" labelOnly="1" fieldPosition="0">
        <references count="3">
          <reference field="4" count="1" selected="0">
            <x v="5"/>
          </reference>
          <reference field="6" count="1" selected="0">
            <x v="0"/>
          </reference>
          <reference field="7" count="2">
            <x v="18"/>
            <x v="22"/>
          </reference>
        </references>
      </pivotArea>
    </format>
    <format dxfId="2860">
      <pivotArea dataOnly="0" labelOnly="1" fieldPosition="0">
        <references count="3">
          <reference field="4" count="1" selected="0">
            <x v="5"/>
          </reference>
          <reference field="6" count="1" selected="0">
            <x v="4"/>
          </reference>
          <reference field="7" count="1">
            <x v="8"/>
          </reference>
        </references>
      </pivotArea>
    </format>
    <format dxfId="2859">
      <pivotArea dataOnly="0" labelOnly="1" fieldPosition="0">
        <references count="3">
          <reference field="4" count="1" selected="0">
            <x v="6"/>
          </reference>
          <reference field="6" count="1" selected="0">
            <x v="1"/>
          </reference>
          <reference field="7" count="1">
            <x v="24"/>
          </reference>
        </references>
      </pivotArea>
    </format>
    <format dxfId="2858">
      <pivotArea dataOnly="0" labelOnly="1" fieldPosition="0">
        <references count="3">
          <reference field="4" count="1" selected="0">
            <x v="7"/>
          </reference>
          <reference field="6" count="1" selected="0">
            <x v="0"/>
          </reference>
          <reference field="7" count="1">
            <x v="16"/>
          </reference>
        </references>
      </pivotArea>
    </format>
    <format dxfId="2857">
      <pivotArea dataOnly="0" labelOnly="1" fieldPosition="0">
        <references count="3">
          <reference field="4" count="1" selected="0">
            <x v="7"/>
          </reference>
          <reference field="6" count="1" selected="0">
            <x v="2"/>
          </reference>
          <reference field="7" count="2">
            <x v="29"/>
            <x v="30"/>
          </reference>
        </references>
      </pivotArea>
    </format>
    <format dxfId="2856">
      <pivotArea dataOnly="0" labelOnly="1" fieldPosition="0">
        <references count="3">
          <reference field="4" count="1" selected="0">
            <x v="7"/>
          </reference>
          <reference field="6" count="1" selected="0">
            <x v="3"/>
          </reference>
          <reference field="7" count="1">
            <x v="6"/>
          </reference>
        </references>
      </pivotArea>
    </format>
    <format dxfId="2855">
      <pivotArea dataOnly="0" labelOnly="1" fieldPosition="0">
        <references count="3">
          <reference field="4" count="1" selected="0">
            <x v="7"/>
          </reference>
          <reference field="6" count="1" selected="0">
            <x v="4"/>
          </reference>
          <reference field="7" count="8">
            <x v="8"/>
            <x v="9"/>
            <x v="10"/>
            <x v="11"/>
            <x v="12"/>
            <x v="13"/>
            <x v="14"/>
            <x v="15"/>
          </reference>
        </references>
      </pivotArea>
    </format>
    <format dxfId="2854">
      <pivotArea dataOnly="0" labelOnly="1" fieldPosition="0">
        <references count="3">
          <reference field="4" count="1" selected="0">
            <x v="8"/>
          </reference>
          <reference field="6" count="1" selected="0">
            <x v="0"/>
          </reference>
          <reference field="7" count="2">
            <x v="18"/>
            <x v="22"/>
          </reference>
        </references>
      </pivotArea>
    </format>
    <format dxfId="2853">
      <pivotArea dataOnly="0" labelOnly="1" fieldPosition="0">
        <references count="3">
          <reference field="4" count="1" selected="0">
            <x v="8"/>
          </reference>
          <reference field="6" count="1" selected="0">
            <x v="1"/>
          </reference>
          <reference field="7" count="1">
            <x v="28"/>
          </reference>
        </references>
      </pivotArea>
    </format>
    <format dxfId="2852">
      <pivotArea dataOnly="0" labelOnly="1" fieldPosition="0">
        <references count="3">
          <reference field="4" count="1" selected="0">
            <x v="8"/>
          </reference>
          <reference field="6" count="1" selected="0">
            <x v="2"/>
          </reference>
          <reference field="7" count="1">
            <x v="32"/>
          </reference>
        </references>
      </pivotArea>
    </format>
    <format dxfId="2851">
      <pivotArea dataOnly="0" labelOnly="1" fieldPosition="0">
        <references count="3">
          <reference field="4" count="1" selected="0">
            <x v="8"/>
          </reference>
          <reference field="6" count="1" selected="0">
            <x v="3"/>
          </reference>
          <reference field="7" count="1">
            <x v="6"/>
          </reference>
        </references>
      </pivotArea>
    </format>
    <format dxfId="2850">
      <pivotArea dataOnly="0" labelOnly="1" fieldPosition="0">
        <references count="3">
          <reference field="4" count="1" selected="0">
            <x v="9"/>
          </reference>
          <reference field="6" count="1" selected="0">
            <x v="1"/>
          </reference>
          <reference field="7" count="1">
            <x v="25"/>
          </reference>
        </references>
      </pivotArea>
    </format>
    <format dxfId="2849">
      <pivotArea dataOnly="0" labelOnly="1" fieldPosition="0">
        <references count="3">
          <reference field="4" count="1" selected="0">
            <x v="10"/>
          </reference>
          <reference field="6" count="1" selected="0">
            <x v="3"/>
          </reference>
          <reference field="7" count="1">
            <x v="6"/>
          </reference>
        </references>
      </pivotArea>
    </format>
    <format dxfId="2848">
      <pivotArea dataOnly="0" labelOnly="1" fieldPosition="0">
        <references count="3">
          <reference field="4" count="1" selected="0">
            <x v="11"/>
          </reference>
          <reference field="6" count="1" selected="0">
            <x v="0"/>
          </reference>
          <reference field="7" count="1">
            <x v="17"/>
          </reference>
        </references>
      </pivotArea>
    </format>
    <format dxfId="2847">
      <pivotArea dataOnly="0" labelOnly="1" fieldPosition="0">
        <references count="3">
          <reference field="4" count="1" selected="0">
            <x v="12"/>
          </reference>
          <reference field="6" count="1" selected="0">
            <x v="0"/>
          </reference>
          <reference field="7" count="1">
            <x v="18"/>
          </reference>
        </references>
      </pivotArea>
    </format>
    <format dxfId="2846">
      <pivotArea dataOnly="0" labelOnly="1" fieldPosition="0">
        <references count="3">
          <reference field="4" count="1" selected="0">
            <x v="13"/>
          </reference>
          <reference field="6" count="1" selected="0">
            <x v="3"/>
          </reference>
          <reference field="7" count="2">
            <x v="1"/>
            <x v="5"/>
          </reference>
        </references>
      </pivotArea>
    </format>
    <format dxfId="2845">
      <pivotArea dataOnly="0" labelOnly="1" fieldPosition="0">
        <references count="3">
          <reference field="4" count="1" selected="0">
            <x v="14"/>
          </reference>
          <reference field="6" count="1" selected="0">
            <x v="1"/>
          </reference>
          <reference field="7" count="1">
            <x v="26"/>
          </reference>
        </references>
      </pivotArea>
    </format>
    <format dxfId="2844">
      <pivotArea dataOnly="0" labelOnly="1" fieldPosition="0">
        <references count="3">
          <reference field="4" count="1" selected="0">
            <x v="15"/>
          </reference>
          <reference field="6" count="1" selected="0">
            <x v="0"/>
          </reference>
          <reference field="7" count="1">
            <x v="20"/>
          </reference>
        </references>
      </pivotArea>
    </format>
    <format dxfId="2843">
      <pivotArea dataOnly="0" labelOnly="1" fieldPosition="0">
        <references count="3">
          <reference field="4" count="1" selected="0">
            <x v="16"/>
          </reference>
          <reference field="6" count="1" selected="0">
            <x v="1"/>
          </reference>
          <reference field="7" count="1">
            <x v="27"/>
          </reference>
        </references>
      </pivotArea>
    </format>
    <format dxfId="2842">
      <pivotArea dataOnly="0" labelOnly="1" fieldPosition="0">
        <references count="3">
          <reference field="4" count="1" selected="0">
            <x v="16"/>
          </reference>
          <reference field="6" count="1" selected="0">
            <x v="3"/>
          </reference>
          <reference field="7" count="1">
            <x v="1"/>
          </reference>
        </references>
      </pivotArea>
    </format>
    <format dxfId="2841">
      <pivotArea dataOnly="0" labelOnly="1" fieldPosition="0">
        <references count="3">
          <reference field="4" count="1" selected="0">
            <x v="16"/>
          </reference>
          <reference field="6" count="1" selected="0">
            <x v="4"/>
          </reference>
          <reference field="7" count="2">
            <x v="8"/>
            <x v="11"/>
          </reference>
        </references>
      </pivotArea>
    </format>
    <format dxfId="2840">
      <pivotArea dataOnly="0" labelOnly="1" fieldPosition="0">
        <references count="3">
          <reference field="4" count="1" selected="0">
            <x v="17"/>
          </reference>
          <reference field="6" count="1" selected="0">
            <x v="0"/>
          </reference>
          <reference field="7" count="2">
            <x v="16"/>
            <x v="22"/>
          </reference>
        </references>
      </pivotArea>
    </format>
    <format dxfId="2839">
      <pivotArea dataOnly="0" labelOnly="1" fieldPosition="0">
        <references count="3">
          <reference field="4" count="1" selected="0">
            <x v="18"/>
          </reference>
          <reference field="6" count="1" selected="0">
            <x v="3"/>
          </reference>
          <reference field="7" count="1">
            <x v="2"/>
          </reference>
        </references>
      </pivotArea>
    </format>
    <format dxfId="2838">
      <pivotArea dataOnly="0" labelOnly="1" fieldPosition="0">
        <references count="3">
          <reference field="4" count="1" selected="0">
            <x v="19"/>
          </reference>
          <reference field="6" count="1" selected="0">
            <x v="3"/>
          </reference>
          <reference field="7" count="1">
            <x v="6"/>
          </reference>
        </references>
      </pivotArea>
    </format>
    <format dxfId="2837">
      <pivotArea dataOnly="0" labelOnly="1" fieldPosition="0">
        <references count="3">
          <reference field="4" count="1" selected="0">
            <x v="20"/>
          </reference>
          <reference field="6" count="1" selected="0">
            <x v="1"/>
          </reference>
          <reference field="7" count="1">
            <x v="24"/>
          </reference>
        </references>
      </pivotArea>
    </format>
    <format dxfId="2836">
      <pivotArea dataOnly="0" labelOnly="1" fieldPosition="0">
        <references count="4">
          <reference field="4" count="1" selected="0">
            <x v="0"/>
          </reference>
          <reference field="6" count="1" selected="0">
            <x v="0"/>
          </reference>
          <reference field="7" count="1" selected="0">
            <x v="17"/>
          </reference>
          <reference field="8" count="5">
            <x v="65"/>
            <x v="66"/>
            <x v="67"/>
            <x v="68"/>
            <x v="69"/>
          </reference>
        </references>
      </pivotArea>
    </format>
    <format dxfId="2835">
      <pivotArea dataOnly="0" labelOnly="1" fieldPosition="0">
        <references count="4">
          <reference field="4" count="1" selected="0">
            <x v="0"/>
          </reference>
          <reference field="6" count="1" selected="0">
            <x v="0"/>
          </reference>
          <reference field="7" count="1" selected="0">
            <x v="19"/>
          </reference>
          <reference field="8" count="3">
            <x v="78"/>
            <x v="79"/>
            <x v="80"/>
          </reference>
        </references>
      </pivotArea>
    </format>
    <format dxfId="2834">
      <pivotArea dataOnly="0" labelOnly="1" fieldPosition="0">
        <references count="4">
          <reference field="4" count="1" selected="0">
            <x v="0"/>
          </reference>
          <reference field="6" count="1" selected="0">
            <x v="1"/>
          </reference>
          <reference field="7" count="1" selected="0">
            <x v="23"/>
          </reference>
          <reference field="8" count="10">
            <x v="95"/>
            <x v="96"/>
            <x v="97"/>
            <x v="98"/>
            <x v="99"/>
            <x v="100"/>
            <x v="101"/>
            <x v="102"/>
            <x v="103"/>
            <x v="104"/>
          </reference>
        </references>
      </pivotArea>
    </format>
    <format dxfId="2833">
      <pivotArea dataOnly="0" labelOnly="1" fieldPosition="0">
        <references count="4">
          <reference field="4" count="1" selected="0">
            <x v="0"/>
          </reference>
          <reference field="6" count="1" selected="0">
            <x v="1"/>
          </reference>
          <reference field="7" count="1" selected="0">
            <x v="26"/>
          </reference>
          <reference field="8" count="1">
            <x v="131"/>
          </reference>
        </references>
      </pivotArea>
    </format>
    <format dxfId="2832">
      <pivotArea dataOnly="0" labelOnly="1" fieldPosition="0">
        <references count="4">
          <reference field="4" count="1" selected="0">
            <x v="1"/>
          </reference>
          <reference field="6" count="1" selected="0">
            <x v="0"/>
          </reference>
          <reference field="7" count="1" selected="0">
            <x v="19"/>
          </reference>
          <reference field="8" count="1">
            <x v="81"/>
          </reference>
        </references>
      </pivotArea>
    </format>
    <format dxfId="2831">
      <pivotArea dataOnly="0" labelOnly="1" fieldPosition="0">
        <references count="4">
          <reference field="4" count="1" selected="0">
            <x v="1"/>
          </reference>
          <reference field="6" count="1" selected="0">
            <x v="3"/>
          </reference>
          <reference field="7" count="1" selected="0">
            <x v="2"/>
          </reference>
          <reference field="8" count="7">
            <x v="7"/>
            <x v="10"/>
            <x v="11"/>
            <x v="12"/>
            <x v="13"/>
            <x v="14"/>
            <x v="15"/>
          </reference>
        </references>
      </pivotArea>
    </format>
    <format dxfId="2830">
      <pivotArea dataOnly="0" labelOnly="1" fieldPosition="0">
        <references count="4">
          <reference field="4" count="1" selected="0">
            <x v="1"/>
          </reference>
          <reference field="6" count="1" selected="0">
            <x v="3"/>
          </reference>
          <reference field="7" count="1" selected="0">
            <x v="3"/>
          </reference>
          <reference field="8" count="2">
            <x v="18"/>
            <x v="19"/>
          </reference>
        </references>
      </pivotArea>
    </format>
    <format dxfId="2829">
      <pivotArea dataOnly="0" labelOnly="1" fieldPosition="0">
        <references count="4">
          <reference field="4" count="1" selected="0">
            <x v="1"/>
          </reference>
          <reference field="6" count="1" selected="0">
            <x v="3"/>
          </reference>
          <reference field="7" count="1" selected="0">
            <x v="4"/>
          </reference>
          <reference field="8" count="2">
            <x v="20"/>
            <x v="21"/>
          </reference>
        </references>
      </pivotArea>
    </format>
    <format dxfId="2828">
      <pivotArea dataOnly="0" labelOnly="1" fieldPosition="0">
        <references count="4">
          <reference field="4" count="1" selected="0">
            <x v="1"/>
          </reference>
          <reference field="6" count="1" selected="0">
            <x v="4"/>
          </reference>
          <reference field="7" count="1" selected="0">
            <x v="8"/>
          </reference>
          <reference field="8" count="3">
            <x v="33"/>
            <x v="34"/>
            <x v="39"/>
          </reference>
        </references>
      </pivotArea>
    </format>
    <format dxfId="2827">
      <pivotArea dataOnly="0" labelOnly="1" fieldPosition="0">
        <references count="4">
          <reference field="4" count="1" selected="0">
            <x v="2"/>
          </reference>
          <reference field="6" count="1" selected="0">
            <x v="2"/>
          </reference>
          <reference field="7" count="1" selected="0">
            <x v="29"/>
          </reference>
          <reference field="8" count="6">
            <x v="145"/>
            <x v="146"/>
            <x v="147"/>
            <x v="148"/>
            <x v="149"/>
            <x v="150"/>
          </reference>
        </references>
      </pivotArea>
    </format>
    <format dxfId="2826">
      <pivotArea dataOnly="0" labelOnly="1" fieldPosition="0">
        <references count="4">
          <reference field="4" count="1" selected="0">
            <x v="2"/>
          </reference>
          <reference field="6" count="1" selected="0">
            <x v="2"/>
          </reference>
          <reference field="7" count="1" selected="0">
            <x v="30"/>
          </reference>
          <reference field="8" count="2">
            <x v="152"/>
            <x v="153"/>
          </reference>
        </references>
      </pivotArea>
    </format>
    <format dxfId="2825">
      <pivotArea dataOnly="0" labelOnly="1" fieldPosition="0">
        <references count="4">
          <reference field="4" count="1" selected="0">
            <x v="2"/>
          </reference>
          <reference field="6" count="1" selected="0">
            <x v="3"/>
          </reference>
          <reference field="7" count="1" selected="0">
            <x v="5"/>
          </reference>
          <reference field="8" count="1">
            <x v="24"/>
          </reference>
        </references>
      </pivotArea>
    </format>
    <format dxfId="2824">
      <pivotArea dataOnly="0" labelOnly="1" fieldPosition="0">
        <references count="4">
          <reference field="4" count="1" selected="0">
            <x v="2"/>
          </reference>
          <reference field="6" count="1" selected="0">
            <x v="3"/>
          </reference>
          <reference field="7" count="1" selected="0">
            <x v="7"/>
          </reference>
          <reference field="8" count="2">
            <x v="31"/>
            <x v="32"/>
          </reference>
        </references>
      </pivotArea>
    </format>
    <format dxfId="2823">
      <pivotArea dataOnly="0" labelOnly="1" fieldPosition="0">
        <references count="4">
          <reference field="4" count="1" selected="0">
            <x v="2"/>
          </reference>
          <reference field="6" count="1" selected="0">
            <x v="4"/>
          </reference>
          <reference field="7" count="1" selected="0">
            <x v="8"/>
          </reference>
          <reference field="8" count="2">
            <x v="36"/>
            <x v="39"/>
          </reference>
        </references>
      </pivotArea>
    </format>
    <format dxfId="2822">
      <pivotArea dataOnly="0" labelOnly="1" fieldPosition="0">
        <references count="4">
          <reference field="4" count="1" selected="0">
            <x v="3"/>
          </reference>
          <reference field="6" count="1" selected="0">
            <x v="3"/>
          </reference>
          <reference field="7" count="1" selected="0">
            <x v="6"/>
          </reference>
          <reference field="8" count="1">
            <x v="29"/>
          </reference>
        </references>
      </pivotArea>
    </format>
    <format dxfId="2821">
      <pivotArea dataOnly="0" labelOnly="1" fieldPosition="0">
        <references count="4">
          <reference field="4" count="1" selected="0">
            <x v="4"/>
          </reference>
          <reference field="6" count="1" selected="0">
            <x v="0"/>
          </reference>
          <reference field="7" count="1" selected="0">
            <x v="21"/>
          </reference>
          <reference field="8" count="5">
            <x v="87"/>
            <x v="88"/>
            <x v="89"/>
            <x v="90"/>
            <x v="91"/>
          </reference>
        </references>
      </pivotArea>
    </format>
    <format dxfId="2820">
      <pivotArea dataOnly="0" labelOnly="1" fieldPosition="0">
        <references count="4">
          <reference field="4" count="1" selected="0">
            <x v="4"/>
          </reference>
          <reference field="6" count="1" selected="0">
            <x v="1"/>
          </reference>
          <reference field="7" count="1" selected="0">
            <x v="24"/>
          </reference>
          <reference field="8" count="1">
            <x v="114"/>
          </reference>
        </references>
      </pivotArea>
    </format>
    <format dxfId="2819">
      <pivotArea dataOnly="0" labelOnly="1" fieldPosition="0">
        <references count="4">
          <reference field="4" count="1" selected="0">
            <x v="4"/>
          </reference>
          <reference field="6" count="1" selected="0">
            <x v="2"/>
          </reference>
          <reference field="7" count="1" selected="0">
            <x v="29"/>
          </reference>
          <reference field="8" count="3">
            <x v="142"/>
            <x v="143"/>
            <x v="151"/>
          </reference>
        </references>
      </pivotArea>
    </format>
    <format dxfId="2818">
      <pivotArea dataOnly="0" labelOnly="1" fieldPosition="0">
        <references count="4">
          <reference field="4" count="1" selected="0">
            <x v="4"/>
          </reference>
          <reference field="6" count="1" selected="0">
            <x v="2"/>
          </reference>
          <reference field="7" count="1" selected="0">
            <x v="31"/>
          </reference>
          <reference field="8" count="3">
            <x v="155"/>
            <x v="156"/>
            <x v="157"/>
          </reference>
        </references>
      </pivotArea>
    </format>
    <format dxfId="2817">
      <pivotArea dataOnly="0" labelOnly="1" fieldPosition="0">
        <references count="4">
          <reference field="4" count="1" selected="0">
            <x v="4"/>
          </reference>
          <reference field="6" count="1" selected="0">
            <x v="3"/>
          </reference>
          <reference field="7" count="1" selected="0">
            <x v="0"/>
          </reference>
          <reference field="8" count="2">
            <x v="0"/>
            <x v="1"/>
          </reference>
        </references>
      </pivotArea>
    </format>
    <format dxfId="2816">
      <pivotArea dataOnly="0" labelOnly="1" fieldPosition="0">
        <references count="4">
          <reference field="4" count="1" selected="0">
            <x v="4"/>
          </reference>
          <reference field="6" count="1" selected="0">
            <x v="3"/>
          </reference>
          <reference field="7" count="1" selected="0">
            <x v="1"/>
          </reference>
          <reference field="8" count="4">
            <x v="2"/>
            <x v="3"/>
            <x v="4"/>
            <x v="5"/>
          </reference>
        </references>
      </pivotArea>
    </format>
    <format dxfId="2815">
      <pivotArea dataOnly="0" labelOnly="1" fieldPosition="0">
        <references count="4">
          <reference field="4" count="1" selected="0">
            <x v="5"/>
          </reference>
          <reference field="6" count="1" selected="0">
            <x v="0"/>
          </reference>
          <reference field="7" count="1" selected="0">
            <x v="18"/>
          </reference>
          <reference field="8" count="3">
            <x v="73"/>
            <x v="74"/>
            <x v="77"/>
          </reference>
        </references>
      </pivotArea>
    </format>
    <format dxfId="2814">
      <pivotArea dataOnly="0" labelOnly="1" fieldPosition="0">
        <references count="4">
          <reference field="4" count="1" selected="0">
            <x v="5"/>
          </reference>
          <reference field="6" count="1" selected="0">
            <x v="0"/>
          </reference>
          <reference field="7" count="1" selected="0">
            <x v="22"/>
          </reference>
          <reference field="8" count="1">
            <x v="94"/>
          </reference>
        </references>
      </pivotArea>
    </format>
    <format dxfId="2813">
      <pivotArea dataOnly="0" labelOnly="1" fieldPosition="0">
        <references count="4">
          <reference field="4" count="1" selected="0">
            <x v="5"/>
          </reference>
          <reference field="6" count="1" selected="0">
            <x v="4"/>
          </reference>
          <reference field="7" count="1" selected="0">
            <x v="8"/>
          </reference>
          <reference field="8" count="1">
            <x v="37"/>
          </reference>
        </references>
      </pivotArea>
    </format>
    <format dxfId="2812">
      <pivotArea dataOnly="0" labelOnly="1" fieldPosition="0">
        <references count="4">
          <reference field="4" count="1" selected="0">
            <x v="6"/>
          </reference>
          <reference field="6" count="1" selected="0">
            <x v="1"/>
          </reference>
          <reference field="7" count="1" selected="0">
            <x v="24"/>
          </reference>
          <reference field="8" count="8">
            <x v="105"/>
            <x v="107"/>
            <x v="108"/>
            <x v="109"/>
            <x v="110"/>
            <x v="111"/>
            <x v="112"/>
            <x v="113"/>
          </reference>
        </references>
      </pivotArea>
    </format>
    <format dxfId="2811">
      <pivotArea dataOnly="0" labelOnly="1" fieldPosition="0">
        <references count="4">
          <reference field="4" count="1" selected="0">
            <x v="7"/>
          </reference>
          <reference field="6" count="1" selected="0">
            <x v="0"/>
          </reference>
          <reference field="7" count="1" selected="0">
            <x v="16"/>
          </reference>
          <reference field="8" count="1">
            <x v="64"/>
          </reference>
        </references>
      </pivotArea>
    </format>
    <format dxfId="2810">
      <pivotArea dataOnly="0" labelOnly="1" fieldPosition="0">
        <references count="4">
          <reference field="4" count="1" selected="0">
            <x v="7"/>
          </reference>
          <reference field="6" count="1" selected="0">
            <x v="2"/>
          </reference>
          <reference field="7" count="1" selected="0">
            <x v="29"/>
          </reference>
          <reference field="8" count="4">
            <x v="140"/>
            <x v="141"/>
            <x v="144"/>
            <x v="145"/>
          </reference>
        </references>
      </pivotArea>
    </format>
    <format dxfId="2809">
      <pivotArea dataOnly="0" labelOnly="1" fieldPosition="0">
        <references count="4">
          <reference field="4" count="1" selected="0">
            <x v="7"/>
          </reference>
          <reference field="6" count="1" selected="0">
            <x v="2"/>
          </reference>
          <reference field="7" count="1" selected="0">
            <x v="30"/>
          </reference>
          <reference field="8" count="1">
            <x v="154"/>
          </reference>
        </references>
      </pivotArea>
    </format>
    <format dxfId="2808">
      <pivotArea dataOnly="0" labelOnly="1" fieldPosition="0">
        <references count="4">
          <reference field="4" count="1" selected="0">
            <x v="7"/>
          </reference>
          <reference field="6" count="1" selected="0">
            <x v="3"/>
          </reference>
          <reference field="7" count="1" selected="0">
            <x v="6"/>
          </reference>
          <reference field="8" count="1">
            <x v="28"/>
          </reference>
        </references>
      </pivotArea>
    </format>
    <format dxfId="2807">
      <pivotArea dataOnly="0" labelOnly="1" fieldPosition="0">
        <references count="4">
          <reference field="4" count="1" selected="0">
            <x v="7"/>
          </reference>
          <reference field="6" count="1" selected="0">
            <x v="4"/>
          </reference>
          <reference field="7" count="1" selected="0">
            <x v="8"/>
          </reference>
          <reference field="8" count="2">
            <x v="35"/>
            <x v="36"/>
          </reference>
        </references>
      </pivotArea>
    </format>
    <format dxfId="2806">
      <pivotArea dataOnly="0" labelOnly="1" fieldPosition="0">
        <references count="4">
          <reference field="4" count="1" selected="0">
            <x v="7"/>
          </reference>
          <reference field="6" count="1" selected="0">
            <x v="4"/>
          </reference>
          <reference field="7" count="1" selected="0">
            <x v="9"/>
          </reference>
          <reference field="8" count="4">
            <x v="40"/>
            <x v="41"/>
            <x v="42"/>
            <x v="43"/>
          </reference>
        </references>
      </pivotArea>
    </format>
    <format dxfId="2805">
      <pivotArea dataOnly="0" labelOnly="1" fieldPosition="0">
        <references count="4">
          <reference field="4" count="1" selected="0">
            <x v="7"/>
          </reference>
          <reference field="6" count="1" selected="0">
            <x v="4"/>
          </reference>
          <reference field="7" count="1" selected="0">
            <x v="10"/>
          </reference>
          <reference field="8" count="4">
            <x v="44"/>
            <x v="45"/>
            <x v="46"/>
            <x v="47"/>
          </reference>
        </references>
      </pivotArea>
    </format>
    <format dxfId="2804">
      <pivotArea dataOnly="0" labelOnly="1" fieldPosition="0">
        <references count="4">
          <reference field="4" count="1" selected="0">
            <x v="7"/>
          </reference>
          <reference field="6" count="1" selected="0">
            <x v="4"/>
          </reference>
          <reference field="7" count="1" selected="0">
            <x v="11"/>
          </reference>
          <reference field="8" count="2">
            <x v="48"/>
            <x v="49"/>
          </reference>
        </references>
      </pivotArea>
    </format>
    <format dxfId="2803">
      <pivotArea dataOnly="0" labelOnly="1" fieldPosition="0">
        <references count="4">
          <reference field="4" count="1" selected="0">
            <x v="7"/>
          </reference>
          <reference field="6" count="1" selected="0">
            <x v="4"/>
          </reference>
          <reference field="7" count="1" selected="0">
            <x v="12"/>
          </reference>
          <reference field="8" count="1">
            <x v="50"/>
          </reference>
        </references>
      </pivotArea>
    </format>
    <format dxfId="2802">
      <pivotArea dataOnly="0" labelOnly="1" fieldPosition="0">
        <references count="4">
          <reference field="4" count="1" selected="0">
            <x v="7"/>
          </reference>
          <reference field="6" count="1" selected="0">
            <x v="4"/>
          </reference>
          <reference field="7" count="1" selected="0">
            <x v="13"/>
          </reference>
          <reference field="8" count="3">
            <x v="51"/>
            <x v="52"/>
            <x v="53"/>
          </reference>
        </references>
      </pivotArea>
    </format>
    <format dxfId="2801">
      <pivotArea dataOnly="0" labelOnly="1" fieldPosition="0">
        <references count="4">
          <reference field="4" count="1" selected="0">
            <x v="7"/>
          </reference>
          <reference field="6" count="1" selected="0">
            <x v="4"/>
          </reference>
          <reference field="7" count="1" selected="0">
            <x v="14"/>
          </reference>
          <reference field="8" count="2">
            <x v="54"/>
            <x v="55"/>
          </reference>
        </references>
      </pivotArea>
    </format>
    <format dxfId="2800">
      <pivotArea dataOnly="0" labelOnly="1" fieldPosition="0">
        <references count="4">
          <reference field="4" count="1" selected="0">
            <x v="7"/>
          </reference>
          <reference field="6" count="1" selected="0">
            <x v="4"/>
          </reference>
          <reference field="7" count="1" selected="0">
            <x v="15"/>
          </reference>
          <reference field="8" count="1">
            <x v="56"/>
          </reference>
        </references>
      </pivotArea>
    </format>
    <format dxfId="2799">
      <pivotArea dataOnly="0" labelOnly="1" fieldPosition="0">
        <references count="4">
          <reference field="4" count="1" selected="0">
            <x v="8"/>
          </reference>
          <reference field="6" count="1" selected="0">
            <x v="0"/>
          </reference>
          <reference field="7" count="1" selected="0">
            <x v="18"/>
          </reference>
          <reference field="8" count="1">
            <x v="77"/>
          </reference>
        </references>
      </pivotArea>
    </format>
    <format dxfId="2798">
      <pivotArea dataOnly="0" labelOnly="1" fieldPosition="0">
        <references count="4">
          <reference field="4" count="1" selected="0">
            <x v="8"/>
          </reference>
          <reference field="6" count="1" selected="0">
            <x v="0"/>
          </reference>
          <reference field="7" count="1" selected="0">
            <x v="22"/>
          </reference>
          <reference field="8" count="3">
            <x v="92"/>
            <x v="93"/>
            <x v="94"/>
          </reference>
        </references>
      </pivotArea>
    </format>
    <format dxfId="2797">
      <pivotArea dataOnly="0" labelOnly="1" fieldPosition="0">
        <references count="4">
          <reference field="4" count="1" selected="0">
            <x v="8"/>
          </reference>
          <reference field="6" count="1" selected="0">
            <x v="1"/>
          </reference>
          <reference field="7" count="1" selected="0">
            <x v="28"/>
          </reference>
          <reference field="8" count="2">
            <x v="138"/>
            <x v="139"/>
          </reference>
        </references>
      </pivotArea>
    </format>
    <format dxfId="2796">
      <pivotArea dataOnly="0" labelOnly="1" fieldPosition="0">
        <references count="4">
          <reference field="4" count="1" selected="0">
            <x v="8"/>
          </reference>
          <reference field="6" count="1" selected="0">
            <x v="2"/>
          </reference>
          <reference field="7" count="1" selected="0">
            <x v="32"/>
          </reference>
          <reference field="8" count="2">
            <x v="158"/>
            <x v="159"/>
          </reference>
        </references>
      </pivotArea>
    </format>
    <format dxfId="2795">
      <pivotArea dataOnly="0" labelOnly="1" fieldPosition="0">
        <references count="4">
          <reference field="4" count="1" selected="0">
            <x v="8"/>
          </reference>
          <reference field="6" count="1" selected="0">
            <x v="3"/>
          </reference>
          <reference field="7" count="1" selected="0">
            <x v="6"/>
          </reference>
          <reference field="8" count="2">
            <x v="29"/>
            <x v="30"/>
          </reference>
        </references>
      </pivotArea>
    </format>
    <format dxfId="2794">
      <pivotArea dataOnly="0" labelOnly="1" fieldPosition="0">
        <references count="4">
          <reference field="4" count="1" selected="0">
            <x v="9"/>
          </reference>
          <reference field="6" count="1" selected="0">
            <x v="1"/>
          </reference>
          <reference field="7" count="1" selected="0">
            <x v="25"/>
          </reference>
          <reference field="8" count="10">
            <x v="115"/>
            <x v="116"/>
            <x v="117"/>
            <x v="118"/>
            <x v="119"/>
            <x v="120"/>
            <x v="121"/>
            <x v="122"/>
            <x v="123"/>
            <x v="124"/>
          </reference>
        </references>
      </pivotArea>
    </format>
    <format dxfId="2793">
      <pivotArea dataOnly="0" labelOnly="1" fieldPosition="0">
        <references count="4">
          <reference field="4" count="1" selected="0">
            <x v="10"/>
          </reference>
          <reference field="6" count="1" selected="0">
            <x v="3"/>
          </reference>
          <reference field="7" count="1" selected="0">
            <x v="6"/>
          </reference>
          <reference field="8" count="1">
            <x v="29"/>
          </reference>
        </references>
      </pivotArea>
    </format>
    <format dxfId="2792">
      <pivotArea dataOnly="0" labelOnly="1" fieldPosition="0">
        <references count="4">
          <reference field="4" count="1" selected="0">
            <x v="11"/>
          </reference>
          <reference field="6" count="1" selected="0">
            <x v="0"/>
          </reference>
          <reference field="7" count="1" selected="0">
            <x v="17"/>
          </reference>
          <reference field="8" count="3">
            <x v="70"/>
            <x v="71"/>
            <x v="72"/>
          </reference>
        </references>
      </pivotArea>
    </format>
    <format dxfId="2791">
      <pivotArea dataOnly="0" labelOnly="1" fieldPosition="0">
        <references count="4">
          <reference field="4" count="1" selected="0">
            <x v="12"/>
          </reference>
          <reference field="6" count="1" selected="0">
            <x v="0"/>
          </reference>
          <reference field="7" count="1" selected="0">
            <x v="18"/>
          </reference>
          <reference field="8" count="3">
            <x v="74"/>
            <x v="75"/>
            <x v="76"/>
          </reference>
        </references>
      </pivotArea>
    </format>
    <format dxfId="2790">
      <pivotArea dataOnly="0" labelOnly="1" fieldPosition="0">
        <references count="4">
          <reference field="4" count="1" selected="0">
            <x v="13"/>
          </reference>
          <reference field="6" count="1" selected="0">
            <x v="3"/>
          </reference>
          <reference field="7" count="1" selected="0">
            <x v="1"/>
          </reference>
          <reference field="8" count="1">
            <x v="6"/>
          </reference>
        </references>
      </pivotArea>
    </format>
    <format dxfId="2789">
      <pivotArea dataOnly="0" labelOnly="1" fieldPosition="0">
        <references count="4">
          <reference field="4" count="1" selected="0">
            <x v="13"/>
          </reference>
          <reference field="6" count="1" selected="0">
            <x v="3"/>
          </reference>
          <reference field="7" count="1" selected="0">
            <x v="5"/>
          </reference>
          <reference field="8" count="6">
            <x v="22"/>
            <x v="23"/>
            <x v="24"/>
            <x v="25"/>
            <x v="26"/>
            <x v="27"/>
          </reference>
        </references>
      </pivotArea>
    </format>
    <format dxfId="2788">
      <pivotArea dataOnly="0" labelOnly="1" fieldPosition="0">
        <references count="4">
          <reference field="4" count="1" selected="0">
            <x v="14"/>
          </reference>
          <reference field="6" count="1" selected="0">
            <x v="1"/>
          </reference>
          <reference field="7" count="1" selected="0">
            <x v="26"/>
          </reference>
          <reference field="8" count="7">
            <x v="125"/>
            <x v="126"/>
            <x v="127"/>
            <x v="128"/>
            <x v="129"/>
            <x v="130"/>
            <x v="131"/>
          </reference>
        </references>
      </pivotArea>
    </format>
    <format dxfId="2787">
      <pivotArea dataOnly="0" labelOnly="1" fieldPosition="0">
        <references count="4">
          <reference field="4" count="1" selected="0">
            <x v="15"/>
          </reference>
          <reference field="6" count="1" selected="0">
            <x v="0"/>
          </reference>
          <reference field="7" count="1" selected="0">
            <x v="20"/>
          </reference>
          <reference field="8" count="5">
            <x v="82"/>
            <x v="83"/>
            <x v="84"/>
            <x v="85"/>
            <x v="86"/>
          </reference>
        </references>
      </pivotArea>
    </format>
    <format dxfId="2786">
      <pivotArea dataOnly="0" labelOnly="1" fieldPosition="0">
        <references count="4">
          <reference field="4" count="1" selected="0">
            <x v="16"/>
          </reference>
          <reference field="6" count="1" selected="0">
            <x v="1"/>
          </reference>
          <reference field="7" count="1" selected="0">
            <x v="27"/>
          </reference>
          <reference field="8" count="6">
            <x v="132"/>
            <x v="133"/>
            <x v="134"/>
            <x v="135"/>
            <x v="136"/>
            <x v="137"/>
          </reference>
        </references>
      </pivotArea>
    </format>
    <format dxfId="2785">
      <pivotArea dataOnly="0" labelOnly="1" fieldPosition="0">
        <references count="4">
          <reference field="4" count="1" selected="0">
            <x v="16"/>
          </reference>
          <reference field="6" count="1" selected="0">
            <x v="3"/>
          </reference>
          <reference field="7" count="1" selected="0">
            <x v="1"/>
          </reference>
          <reference field="8" count="1">
            <x v="6"/>
          </reference>
        </references>
      </pivotArea>
    </format>
    <format dxfId="2784">
      <pivotArea dataOnly="0" labelOnly="1" fieldPosition="0">
        <references count="4">
          <reference field="4" count="1" selected="0">
            <x v="16"/>
          </reference>
          <reference field="6" count="1" selected="0">
            <x v="4"/>
          </reference>
          <reference field="7" count="1" selected="0">
            <x v="8"/>
          </reference>
          <reference field="8" count="1">
            <x v="38"/>
          </reference>
        </references>
      </pivotArea>
    </format>
    <format dxfId="2783">
      <pivotArea dataOnly="0" labelOnly="1" fieldPosition="0">
        <references count="4">
          <reference field="4" count="1" selected="0">
            <x v="16"/>
          </reference>
          <reference field="6" count="1" selected="0">
            <x v="4"/>
          </reference>
          <reference field="7" count="1" selected="0">
            <x v="11"/>
          </reference>
          <reference field="8" count="1">
            <x v="48"/>
          </reference>
        </references>
      </pivotArea>
    </format>
    <format dxfId="2782">
      <pivotArea dataOnly="0" labelOnly="1" fieldPosition="0">
        <references count="4">
          <reference field="4" count="1" selected="0">
            <x v="17"/>
          </reference>
          <reference field="6" count="1" selected="0">
            <x v="0"/>
          </reference>
          <reference field="7" count="1" selected="0">
            <x v="16"/>
          </reference>
          <reference field="8" count="7">
            <x v="57"/>
            <x v="58"/>
            <x v="59"/>
            <x v="60"/>
            <x v="61"/>
            <x v="62"/>
            <x v="63"/>
          </reference>
        </references>
      </pivotArea>
    </format>
    <format dxfId="2781">
      <pivotArea dataOnly="0" labelOnly="1" fieldPosition="0">
        <references count="4">
          <reference field="4" count="1" selected="0">
            <x v="17"/>
          </reference>
          <reference field="6" count="1" selected="0">
            <x v="0"/>
          </reference>
          <reference field="7" count="1" selected="0">
            <x v="22"/>
          </reference>
          <reference field="8" count="1">
            <x v="94"/>
          </reference>
        </references>
      </pivotArea>
    </format>
    <format dxfId="2780">
      <pivotArea dataOnly="0" labelOnly="1" fieldPosition="0">
        <references count="4">
          <reference field="4" count="1" selected="0">
            <x v="18"/>
          </reference>
          <reference field="6" count="1" selected="0">
            <x v="3"/>
          </reference>
          <reference field="7" count="1" selected="0">
            <x v="2"/>
          </reference>
          <reference field="8" count="4">
            <x v="8"/>
            <x v="9"/>
            <x v="16"/>
            <x v="17"/>
          </reference>
        </references>
      </pivotArea>
    </format>
    <format dxfId="2779">
      <pivotArea dataOnly="0" labelOnly="1" fieldPosition="0">
        <references count="4">
          <reference field="4" count="1" selected="0">
            <x v="19"/>
          </reference>
          <reference field="6" count="1" selected="0">
            <x v="3"/>
          </reference>
          <reference field="7" count="1" selected="0">
            <x v="6"/>
          </reference>
          <reference field="8" count="1">
            <x v="29"/>
          </reference>
        </references>
      </pivotArea>
    </format>
    <format dxfId="2778">
      <pivotArea dataOnly="0" labelOnly="1" fieldPosition="0">
        <references count="4">
          <reference field="4" count="1" selected="0">
            <x v="20"/>
          </reference>
          <reference field="6" count="1" selected="0">
            <x v="1"/>
          </reference>
          <reference field="7" count="1" selected="0">
            <x v="24"/>
          </reference>
          <reference field="8" count="1">
            <x v="106"/>
          </reference>
        </references>
      </pivotArea>
    </format>
    <format dxfId="2777">
      <pivotArea dataOnly="0" labelOnly="1" fieldPosition="0">
        <references count="5">
          <reference field="4" count="1" selected="0">
            <x v="0"/>
          </reference>
          <reference field="6" count="1" selected="0">
            <x v="0"/>
          </reference>
          <reference field="7" count="1" selected="0">
            <x v="17"/>
          </reference>
          <reference field="8" count="1" selected="0">
            <x v="65"/>
          </reference>
          <reference field="15" count="1">
            <x v="108"/>
          </reference>
        </references>
      </pivotArea>
    </format>
    <format dxfId="2776">
      <pivotArea dataOnly="0" labelOnly="1" fieldPosition="0">
        <references count="5">
          <reference field="4" count="1" selected="0">
            <x v="0"/>
          </reference>
          <reference field="6" count="1" selected="0">
            <x v="0"/>
          </reference>
          <reference field="7" count="1" selected="0">
            <x v="17"/>
          </reference>
          <reference field="8" count="1" selected="0">
            <x v="66"/>
          </reference>
          <reference field="15" count="2">
            <x v="365"/>
            <x v="366"/>
          </reference>
        </references>
      </pivotArea>
    </format>
    <format dxfId="2775">
      <pivotArea dataOnly="0" labelOnly="1" fieldPosition="0">
        <references count="5">
          <reference field="4" count="1" selected="0">
            <x v="0"/>
          </reference>
          <reference field="6" count="1" selected="0">
            <x v="0"/>
          </reference>
          <reference field="7" count="1" selected="0">
            <x v="17"/>
          </reference>
          <reference field="8" count="1" selected="0">
            <x v="67"/>
          </reference>
          <reference field="15" count="2">
            <x v="364"/>
            <x v="370"/>
          </reference>
        </references>
      </pivotArea>
    </format>
    <format dxfId="2774">
      <pivotArea dataOnly="0" labelOnly="1" fieldPosition="0">
        <references count="5">
          <reference field="4" count="1" selected="0">
            <x v="0"/>
          </reference>
          <reference field="6" count="1" selected="0">
            <x v="0"/>
          </reference>
          <reference field="7" count="1" selected="0">
            <x v="17"/>
          </reference>
          <reference field="8" count="1" selected="0">
            <x v="68"/>
          </reference>
          <reference field="15" count="1">
            <x v="79"/>
          </reference>
        </references>
      </pivotArea>
    </format>
    <format dxfId="2773">
      <pivotArea dataOnly="0" labelOnly="1" fieldPosition="0">
        <references count="5">
          <reference field="4" count="1" selected="0">
            <x v="0"/>
          </reference>
          <reference field="6" count="1" selected="0">
            <x v="0"/>
          </reference>
          <reference field="7" count="1" selected="0">
            <x v="17"/>
          </reference>
          <reference field="8" count="1" selected="0">
            <x v="69"/>
          </reference>
          <reference field="15" count="1">
            <x v="42"/>
          </reference>
        </references>
      </pivotArea>
    </format>
    <format dxfId="2772">
      <pivotArea dataOnly="0" labelOnly="1" fieldPosition="0">
        <references count="5">
          <reference field="4" count="1" selected="0">
            <x v="0"/>
          </reference>
          <reference field="6" count="1" selected="0">
            <x v="0"/>
          </reference>
          <reference field="7" count="1" selected="0">
            <x v="19"/>
          </reference>
          <reference field="8" count="1" selected="0">
            <x v="78"/>
          </reference>
          <reference field="15" count="1">
            <x v="236"/>
          </reference>
        </references>
      </pivotArea>
    </format>
    <format dxfId="2771">
      <pivotArea dataOnly="0" labelOnly="1" fieldPosition="0">
        <references count="5">
          <reference field="4" count="1" selected="0">
            <x v="0"/>
          </reference>
          <reference field="6" count="1" selected="0">
            <x v="0"/>
          </reference>
          <reference field="7" count="1" selected="0">
            <x v="19"/>
          </reference>
          <reference field="8" count="1" selected="0">
            <x v="79"/>
          </reference>
          <reference field="15" count="1">
            <x v="12"/>
          </reference>
        </references>
      </pivotArea>
    </format>
    <format dxfId="2770">
      <pivotArea dataOnly="0" labelOnly="1" fieldPosition="0">
        <references count="5">
          <reference field="4" count="1" selected="0">
            <x v="0"/>
          </reference>
          <reference field="6" count="1" selected="0">
            <x v="0"/>
          </reference>
          <reference field="7" count="1" selected="0">
            <x v="19"/>
          </reference>
          <reference field="8" count="1" selected="0">
            <x v="80"/>
          </reference>
          <reference field="15" count="2">
            <x v="10"/>
            <x v="11"/>
          </reference>
        </references>
      </pivotArea>
    </format>
    <format dxfId="2769">
      <pivotArea dataOnly="0" labelOnly="1" fieldPosition="0">
        <references count="5">
          <reference field="4" count="1" selected="0">
            <x v="0"/>
          </reference>
          <reference field="6" count="1" selected="0">
            <x v="1"/>
          </reference>
          <reference field="7" count="1" selected="0">
            <x v="23"/>
          </reference>
          <reference field="8" count="1" selected="0">
            <x v="95"/>
          </reference>
          <reference field="15" count="1">
            <x v="250"/>
          </reference>
        </references>
      </pivotArea>
    </format>
    <format dxfId="2768">
      <pivotArea dataOnly="0" labelOnly="1" fieldPosition="0">
        <references count="5">
          <reference field="4" count="1" selected="0">
            <x v="0"/>
          </reference>
          <reference field="6" count="1" selected="0">
            <x v="1"/>
          </reference>
          <reference field="7" count="1" selected="0">
            <x v="23"/>
          </reference>
          <reference field="8" count="1" selected="0">
            <x v="96"/>
          </reference>
          <reference field="15" count="2">
            <x v="251"/>
            <x v="358"/>
          </reference>
        </references>
      </pivotArea>
    </format>
    <format dxfId="2767">
      <pivotArea dataOnly="0" labelOnly="1" fieldPosition="0">
        <references count="5">
          <reference field="4" count="1" selected="0">
            <x v="0"/>
          </reference>
          <reference field="6" count="1" selected="0">
            <x v="1"/>
          </reference>
          <reference field="7" count="1" selected="0">
            <x v="23"/>
          </reference>
          <reference field="8" count="1" selected="0">
            <x v="97"/>
          </reference>
          <reference field="15" count="1">
            <x v="257"/>
          </reference>
        </references>
      </pivotArea>
    </format>
    <format dxfId="2766">
      <pivotArea dataOnly="0" labelOnly="1" fieldPosition="0">
        <references count="5">
          <reference field="4" count="1" selected="0">
            <x v="0"/>
          </reference>
          <reference field="6" count="1" selected="0">
            <x v="1"/>
          </reference>
          <reference field="7" count="1" selected="0">
            <x v="23"/>
          </reference>
          <reference field="8" count="1" selected="0">
            <x v="98"/>
          </reference>
          <reference field="15" count="1">
            <x v="43"/>
          </reference>
        </references>
      </pivotArea>
    </format>
    <format dxfId="2765">
      <pivotArea dataOnly="0" labelOnly="1" fieldPosition="0">
        <references count="5">
          <reference field="4" count="1" selected="0">
            <x v="0"/>
          </reference>
          <reference field="6" count="1" selected="0">
            <x v="1"/>
          </reference>
          <reference field="7" count="1" selected="0">
            <x v="23"/>
          </reference>
          <reference field="8" count="1" selected="0">
            <x v="99"/>
          </reference>
          <reference field="15" count="1">
            <x v="254"/>
          </reference>
        </references>
      </pivotArea>
    </format>
    <format dxfId="2764">
      <pivotArea dataOnly="0" labelOnly="1" fieldPosition="0">
        <references count="5">
          <reference field="4" count="1" selected="0">
            <x v="0"/>
          </reference>
          <reference field="6" count="1" selected="0">
            <x v="1"/>
          </reference>
          <reference field="7" count="1" selected="0">
            <x v="23"/>
          </reference>
          <reference field="8" count="1" selected="0">
            <x v="100"/>
          </reference>
          <reference field="15" count="1">
            <x v="253"/>
          </reference>
        </references>
      </pivotArea>
    </format>
    <format dxfId="2763">
      <pivotArea dataOnly="0" labelOnly="1" fieldPosition="0">
        <references count="5">
          <reference field="4" count="1" selected="0">
            <x v="0"/>
          </reference>
          <reference field="6" count="1" selected="0">
            <x v="1"/>
          </reference>
          <reference field="7" count="1" selected="0">
            <x v="23"/>
          </reference>
          <reference field="8" count="1" selected="0">
            <x v="101"/>
          </reference>
          <reference field="15" count="1">
            <x v="255"/>
          </reference>
        </references>
      </pivotArea>
    </format>
    <format dxfId="2762">
      <pivotArea dataOnly="0" labelOnly="1" fieldPosition="0">
        <references count="5">
          <reference field="4" count="1" selected="0">
            <x v="0"/>
          </reference>
          <reference field="6" count="1" selected="0">
            <x v="1"/>
          </reference>
          <reference field="7" count="1" selected="0">
            <x v="23"/>
          </reference>
          <reference field="8" count="1" selected="0">
            <x v="102"/>
          </reference>
          <reference field="15" count="1">
            <x v="40"/>
          </reference>
        </references>
      </pivotArea>
    </format>
    <format dxfId="2761">
      <pivotArea dataOnly="0" labelOnly="1" fieldPosition="0">
        <references count="5">
          <reference field="4" count="1" selected="0">
            <x v="0"/>
          </reference>
          <reference field="6" count="1" selected="0">
            <x v="1"/>
          </reference>
          <reference field="7" count="1" selected="0">
            <x v="23"/>
          </reference>
          <reference field="8" count="1" selected="0">
            <x v="103"/>
          </reference>
          <reference field="15" count="1">
            <x v="252"/>
          </reference>
        </references>
      </pivotArea>
    </format>
    <format dxfId="2760">
      <pivotArea dataOnly="0" labelOnly="1" fieldPosition="0">
        <references count="5">
          <reference field="4" count="1" selected="0">
            <x v="0"/>
          </reference>
          <reference field="6" count="1" selected="0">
            <x v="1"/>
          </reference>
          <reference field="7" count="1" selected="0">
            <x v="23"/>
          </reference>
          <reference field="8" count="1" selected="0">
            <x v="104"/>
          </reference>
          <reference field="15" count="1">
            <x v="256"/>
          </reference>
        </references>
      </pivotArea>
    </format>
    <format dxfId="2759">
      <pivotArea dataOnly="0" labelOnly="1" fieldPosition="0">
        <references count="5">
          <reference field="4" count="1" selected="0">
            <x v="0"/>
          </reference>
          <reference field="6" count="1" selected="0">
            <x v="1"/>
          </reference>
          <reference field="7" count="1" selected="0">
            <x v="26"/>
          </reference>
          <reference field="8" count="1" selected="0">
            <x v="131"/>
          </reference>
          <reference field="15" count="1">
            <x v="13"/>
          </reference>
        </references>
      </pivotArea>
    </format>
    <format dxfId="2758">
      <pivotArea dataOnly="0" labelOnly="1" fieldPosition="0">
        <references count="5">
          <reference field="4" count="1" selected="0">
            <x v="1"/>
          </reference>
          <reference field="6" count="1" selected="0">
            <x v="0"/>
          </reference>
          <reference field="7" count="1" selected="0">
            <x v="19"/>
          </reference>
          <reference field="8" count="1" selected="0">
            <x v="81"/>
          </reference>
          <reference field="15" count="1">
            <x v="231"/>
          </reference>
        </references>
      </pivotArea>
    </format>
    <format dxfId="2757">
      <pivotArea dataOnly="0" labelOnly="1" fieldPosition="0">
        <references count="5">
          <reference field="4" count="1" selected="0">
            <x v="1"/>
          </reference>
          <reference field="6" count="1" selected="0">
            <x v="3"/>
          </reference>
          <reference field="7" count="1" selected="0">
            <x v="2"/>
          </reference>
          <reference field="8" count="1" selected="0">
            <x v="7"/>
          </reference>
          <reference field="15" count="5">
            <x v="117"/>
            <x v="124"/>
            <x v="131"/>
            <x v="380"/>
            <x v="400"/>
          </reference>
        </references>
      </pivotArea>
    </format>
    <format dxfId="2756">
      <pivotArea dataOnly="0" labelOnly="1" fieldPosition="0">
        <references count="5">
          <reference field="4" count="1" selected="0">
            <x v="1"/>
          </reference>
          <reference field="6" count="1" selected="0">
            <x v="3"/>
          </reference>
          <reference field="7" count="1" selected="0">
            <x v="2"/>
          </reference>
          <reference field="8" count="1" selected="0">
            <x v="10"/>
          </reference>
          <reference field="15" count="2">
            <x v="17"/>
            <x v="18"/>
          </reference>
        </references>
      </pivotArea>
    </format>
    <format dxfId="2755">
      <pivotArea dataOnly="0" labelOnly="1" fieldPosition="0">
        <references count="5">
          <reference field="4" count="1" selected="0">
            <x v="1"/>
          </reference>
          <reference field="6" count="1" selected="0">
            <x v="3"/>
          </reference>
          <reference field="7" count="1" selected="0">
            <x v="2"/>
          </reference>
          <reference field="8" count="1" selected="0">
            <x v="11"/>
          </reference>
          <reference field="15" count="2">
            <x v="7"/>
            <x v="8"/>
          </reference>
        </references>
      </pivotArea>
    </format>
    <format dxfId="2754">
      <pivotArea dataOnly="0" labelOnly="1" fieldPosition="0">
        <references count="5">
          <reference field="4" count="1" selected="0">
            <x v="1"/>
          </reference>
          <reference field="6" count="1" selected="0">
            <x v="3"/>
          </reference>
          <reference field="7" count="1" selected="0">
            <x v="2"/>
          </reference>
          <reference field="8" count="1" selected="0">
            <x v="12"/>
          </reference>
          <reference field="15" count="1">
            <x v="107"/>
          </reference>
        </references>
      </pivotArea>
    </format>
    <format dxfId="2753">
      <pivotArea dataOnly="0" labelOnly="1" fieldPosition="0">
        <references count="5">
          <reference field="4" count="1" selected="0">
            <x v="1"/>
          </reference>
          <reference field="6" count="1" selected="0">
            <x v="3"/>
          </reference>
          <reference field="7" count="1" selected="0">
            <x v="2"/>
          </reference>
          <reference field="8" count="1" selected="0">
            <x v="13"/>
          </reference>
          <reference field="15" count="1">
            <x v="6"/>
          </reference>
        </references>
      </pivotArea>
    </format>
    <format dxfId="2752">
      <pivotArea dataOnly="0" labelOnly="1" fieldPosition="0">
        <references count="5">
          <reference field="4" count="1" selected="0">
            <x v="1"/>
          </reference>
          <reference field="6" count="1" selected="0">
            <x v="3"/>
          </reference>
          <reference field="7" count="1" selected="0">
            <x v="2"/>
          </reference>
          <reference field="8" count="1" selected="0">
            <x v="14"/>
          </reference>
          <reference field="15" count="2">
            <x v="46"/>
            <x v="47"/>
          </reference>
        </references>
      </pivotArea>
    </format>
    <format dxfId="2751">
      <pivotArea dataOnly="0" labelOnly="1" fieldPosition="0">
        <references count="5">
          <reference field="4" count="1" selected="0">
            <x v="1"/>
          </reference>
          <reference field="6" count="1" selected="0">
            <x v="3"/>
          </reference>
          <reference field="7" count="1" selected="0">
            <x v="2"/>
          </reference>
          <reference field="8" count="1" selected="0">
            <x v="15"/>
          </reference>
          <reference field="15" count="1">
            <x v="372"/>
          </reference>
        </references>
      </pivotArea>
    </format>
    <format dxfId="2750">
      <pivotArea dataOnly="0" labelOnly="1" fieldPosition="0">
        <references count="5">
          <reference field="4" count="1" selected="0">
            <x v="1"/>
          </reference>
          <reference field="6" count="1" selected="0">
            <x v="3"/>
          </reference>
          <reference field="7" count="1" selected="0">
            <x v="3"/>
          </reference>
          <reference field="8" count="1" selected="0">
            <x v="18"/>
          </reference>
          <reference field="15" count="1">
            <x v="232"/>
          </reference>
        </references>
      </pivotArea>
    </format>
    <format dxfId="2749">
      <pivotArea dataOnly="0" labelOnly="1" fieldPosition="0">
        <references count="5">
          <reference field="4" count="1" selected="0">
            <x v="1"/>
          </reference>
          <reference field="6" count="1" selected="0">
            <x v="3"/>
          </reference>
          <reference field="7" count="1" selected="0">
            <x v="3"/>
          </reference>
          <reference field="8" count="1" selected="0">
            <x v="19"/>
          </reference>
          <reference field="15" count="1">
            <x v="9"/>
          </reference>
        </references>
      </pivotArea>
    </format>
    <format dxfId="2748">
      <pivotArea dataOnly="0" labelOnly="1" fieldPosition="0">
        <references count="5">
          <reference field="4" count="1" selected="0">
            <x v="1"/>
          </reference>
          <reference field="6" count="1" selected="0">
            <x v="3"/>
          </reference>
          <reference field="7" count="1" selected="0">
            <x v="4"/>
          </reference>
          <reference field="8" count="1" selected="0">
            <x v="20"/>
          </reference>
          <reference field="15" count="1">
            <x v="34"/>
          </reference>
        </references>
      </pivotArea>
    </format>
    <format dxfId="2747">
      <pivotArea dataOnly="0" labelOnly="1" fieldPosition="0">
        <references count="5">
          <reference field="4" count="1" selected="0">
            <x v="1"/>
          </reference>
          <reference field="6" count="1" selected="0">
            <x v="3"/>
          </reference>
          <reference field="7" count="1" selected="0">
            <x v="4"/>
          </reference>
          <reference field="8" count="1" selected="0">
            <x v="21"/>
          </reference>
          <reference field="15" count="1">
            <x v="98"/>
          </reference>
        </references>
      </pivotArea>
    </format>
    <format dxfId="2746">
      <pivotArea dataOnly="0" labelOnly="1" fieldPosition="0">
        <references count="5">
          <reference field="4" count="1" selected="0">
            <x v="1"/>
          </reference>
          <reference field="6" count="1" selected="0">
            <x v="4"/>
          </reference>
          <reference field="7" count="1" selected="0">
            <x v="8"/>
          </reference>
          <reference field="8" count="1" selected="0">
            <x v="33"/>
          </reference>
          <reference field="15" count="1">
            <x v="237"/>
          </reference>
        </references>
      </pivotArea>
    </format>
    <format dxfId="2745">
      <pivotArea dataOnly="0" labelOnly="1" fieldPosition="0">
        <references count="5">
          <reference field="4" count="1" selected="0">
            <x v="1"/>
          </reference>
          <reference field="6" count="1" selected="0">
            <x v="4"/>
          </reference>
          <reference field="7" count="1" selected="0">
            <x v="8"/>
          </reference>
          <reference field="8" count="1" selected="0">
            <x v="34"/>
          </reference>
          <reference field="15" count="1">
            <x v="373"/>
          </reference>
        </references>
      </pivotArea>
    </format>
    <format dxfId="2744">
      <pivotArea dataOnly="0" labelOnly="1" fieldPosition="0">
        <references count="5">
          <reference field="4" count="1" selected="0">
            <x v="1"/>
          </reference>
          <reference field="6" count="1" selected="0">
            <x v="4"/>
          </reference>
          <reference field="7" count="1" selected="0">
            <x v="8"/>
          </reference>
          <reference field="8" count="1" selected="0">
            <x v="39"/>
          </reference>
          <reference field="15" count="2">
            <x v="233"/>
            <x v="234"/>
          </reference>
        </references>
      </pivotArea>
    </format>
    <format dxfId="2743">
      <pivotArea dataOnly="0" labelOnly="1" fieldPosition="0">
        <references count="5">
          <reference field="4" count="1" selected="0">
            <x v="2"/>
          </reference>
          <reference field="6" count="1" selected="0">
            <x v="2"/>
          </reference>
          <reference field="7" count="1" selected="0">
            <x v="29"/>
          </reference>
          <reference field="8" count="1" selected="0">
            <x v="145"/>
          </reference>
          <reference field="15" count="1">
            <x v="377"/>
          </reference>
        </references>
      </pivotArea>
    </format>
    <format dxfId="2742">
      <pivotArea dataOnly="0" labelOnly="1" fieldPosition="0">
        <references count="5">
          <reference field="4" count="1" selected="0">
            <x v="2"/>
          </reference>
          <reference field="6" count="1" selected="0">
            <x v="2"/>
          </reference>
          <reference field="7" count="1" selected="0">
            <x v="29"/>
          </reference>
          <reference field="8" count="1" selected="0">
            <x v="146"/>
          </reference>
          <reference field="15" count="1">
            <x v="139"/>
          </reference>
        </references>
      </pivotArea>
    </format>
    <format dxfId="2741">
      <pivotArea dataOnly="0" labelOnly="1" fieldPosition="0">
        <references count="5">
          <reference field="4" count="1" selected="0">
            <x v="2"/>
          </reference>
          <reference field="6" count="1" selected="0">
            <x v="2"/>
          </reference>
          <reference field="7" count="1" selected="0">
            <x v="29"/>
          </reference>
          <reference field="8" count="1" selected="0">
            <x v="147"/>
          </reference>
          <reference field="15" count="1">
            <x v="127"/>
          </reference>
        </references>
      </pivotArea>
    </format>
    <format dxfId="2740">
      <pivotArea dataOnly="0" labelOnly="1" fieldPosition="0">
        <references count="5">
          <reference field="4" count="1" selected="0">
            <x v="2"/>
          </reference>
          <reference field="6" count="1" selected="0">
            <x v="2"/>
          </reference>
          <reference field="7" count="1" selected="0">
            <x v="29"/>
          </reference>
          <reference field="8" count="1" selected="0">
            <x v="148"/>
          </reference>
          <reference field="15" count="1">
            <x v="142"/>
          </reference>
        </references>
      </pivotArea>
    </format>
    <format dxfId="2739">
      <pivotArea dataOnly="0" labelOnly="1" fieldPosition="0">
        <references count="5">
          <reference field="4" count="1" selected="0">
            <x v="2"/>
          </reference>
          <reference field="6" count="1" selected="0">
            <x v="2"/>
          </reference>
          <reference field="7" count="1" selected="0">
            <x v="29"/>
          </reference>
          <reference field="8" count="1" selected="0">
            <x v="149"/>
          </reference>
          <reference field="15" count="1">
            <x v="140"/>
          </reference>
        </references>
      </pivotArea>
    </format>
    <format dxfId="2738">
      <pivotArea dataOnly="0" labelOnly="1" fieldPosition="0">
        <references count="5">
          <reference field="4" count="1" selected="0">
            <x v="2"/>
          </reference>
          <reference field="6" count="1" selected="0">
            <x v="2"/>
          </reference>
          <reference field="7" count="1" selected="0">
            <x v="29"/>
          </reference>
          <reference field="8" count="1" selected="0">
            <x v="150"/>
          </reference>
          <reference field="15" count="1">
            <x v="144"/>
          </reference>
        </references>
      </pivotArea>
    </format>
    <format dxfId="2737">
      <pivotArea dataOnly="0" labelOnly="1" fieldPosition="0">
        <references count="5">
          <reference field="4" count="1" selected="0">
            <x v="2"/>
          </reference>
          <reference field="6" count="1" selected="0">
            <x v="2"/>
          </reference>
          <reference field="7" count="1" selected="0">
            <x v="30"/>
          </reference>
          <reference field="8" count="1" selected="0">
            <x v="152"/>
          </reference>
          <reference field="15" count="2">
            <x v="128"/>
            <x v="129"/>
          </reference>
        </references>
      </pivotArea>
    </format>
    <format dxfId="2736">
      <pivotArea dataOnly="0" labelOnly="1" fieldPosition="0">
        <references count="5">
          <reference field="4" count="1" selected="0">
            <x v="2"/>
          </reference>
          <reference field="6" count="1" selected="0">
            <x v="2"/>
          </reference>
          <reference field="7" count="1" selected="0">
            <x v="30"/>
          </reference>
          <reference field="8" count="1" selected="0">
            <x v="153"/>
          </reference>
          <reference field="15" count="1">
            <x v="141"/>
          </reference>
        </references>
      </pivotArea>
    </format>
    <format dxfId="2735">
      <pivotArea dataOnly="0" labelOnly="1" fieldPosition="0">
        <references count="5">
          <reference field="4" count="1" selected="0">
            <x v="2"/>
          </reference>
          <reference field="6" count="1" selected="0">
            <x v="3"/>
          </reference>
          <reference field="7" count="1" selected="0">
            <x v="5"/>
          </reference>
          <reference field="8" count="1" selected="0">
            <x v="24"/>
          </reference>
          <reference field="15" count="1">
            <x v="339"/>
          </reference>
        </references>
      </pivotArea>
    </format>
    <format dxfId="2734">
      <pivotArea dataOnly="0" labelOnly="1" fieldPosition="0">
        <references count="5">
          <reference field="4" count="1" selected="0">
            <x v="2"/>
          </reference>
          <reference field="6" count="1" selected="0">
            <x v="3"/>
          </reference>
          <reference field="7" count="1" selected="0">
            <x v="7"/>
          </reference>
          <reference field="8" count="1" selected="0">
            <x v="31"/>
          </reference>
          <reference field="15" count="2">
            <x v="391"/>
            <x v="392"/>
          </reference>
        </references>
      </pivotArea>
    </format>
    <format dxfId="2733">
      <pivotArea dataOnly="0" labelOnly="1" fieldPosition="0">
        <references count="5">
          <reference field="4" count="1" selected="0">
            <x v="2"/>
          </reference>
          <reference field="6" count="1" selected="0">
            <x v="3"/>
          </reference>
          <reference field="7" count="1" selected="0">
            <x v="7"/>
          </reference>
          <reference field="8" count="1" selected="0">
            <x v="32"/>
          </reference>
          <reference field="15" count="1">
            <x v="371"/>
          </reference>
        </references>
      </pivotArea>
    </format>
    <format dxfId="2732">
      <pivotArea dataOnly="0" labelOnly="1" fieldPosition="0">
        <references count="5">
          <reference field="4" count="1" selected="0">
            <x v="2"/>
          </reference>
          <reference field="6" count="1" selected="0">
            <x v="4"/>
          </reference>
          <reference field="7" count="1" selected="0">
            <x v="8"/>
          </reference>
          <reference field="8" count="1" selected="0">
            <x v="36"/>
          </reference>
          <reference field="15" count="1">
            <x v="379"/>
          </reference>
        </references>
      </pivotArea>
    </format>
    <format dxfId="2731">
      <pivotArea dataOnly="0" labelOnly="1" fieldPosition="0">
        <references count="5">
          <reference field="4" count="1" selected="0">
            <x v="2"/>
          </reference>
          <reference field="6" count="1" selected="0">
            <x v="4"/>
          </reference>
          <reference field="7" count="1" selected="0">
            <x v="8"/>
          </reference>
          <reference field="8" count="1" selected="0">
            <x v="39"/>
          </reference>
          <reference field="15" count="1">
            <x v="378"/>
          </reference>
        </references>
      </pivotArea>
    </format>
    <format dxfId="2730">
      <pivotArea dataOnly="0" labelOnly="1" fieldPosition="0">
        <references count="5">
          <reference field="4" count="1" selected="0">
            <x v="3"/>
          </reference>
          <reference field="6" count="1" selected="0">
            <x v="3"/>
          </reference>
          <reference field="7" count="1" selected="0">
            <x v="6"/>
          </reference>
          <reference field="8" count="1" selected="0">
            <x v="29"/>
          </reference>
          <reference field="15" count="41">
            <x v="0"/>
            <x v="1"/>
            <x v="167"/>
            <x v="175"/>
            <x v="176"/>
            <x v="177"/>
            <x v="178"/>
            <x v="179"/>
            <x v="180"/>
            <x v="181"/>
            <x v="182"/>
            <x v="201"/>
            <x v="202"/>
            <x v="205"/>
            <x v="206"/>
            <x v="207"/>
            <x v="208"/>
            <x v="209"/>
            <x v="210"/>
            <x v="211"/>
            <x v="212"/>
            <x v="213"/>
            <x v="214"/>
            <x v="215"/>
            <x v="216"/>
            <x v="217"/>
            <x v="218"/>
            <x v="219"/>
            <x v="220"/>
            <x v="221"/>
            <x v="224"/>
            <x v="225"/>
            <x v="226"/>
            <x v="227"/>
            <x v="228"/>
            <x v="393"/>
            <x v="394"/>
            <x v="396"/>
            <x v="397"/>
            <x v="398"/>
            <x v="399"/>
          </reference>
        </references>
      </pivotArea>
    </format>
    <format dxfId="2729">
      <pivotArea dataOnly="0" labelOnly="1" fieldPosition="0">
        <references count="5">
          <reference field="4" count="1" selected="0">
            <x v="4"/>
          </reference>
          <reference field="6" count="1" selected="0">
            <x v="0"/>
          </reference>
          <reference field="7" count="1" selected="0">
            <x v="21"/>
          </reference>
          <reference field="8" count="1" selected="0">
            <x v="87"/>
          </reference>
          <reference field="15" count="8">
            <x v="126"/>
            <x v="293"/>
            <x v="305"/>
            <x v="306"/>
            <x v="317"/>
            <x v="388"/>
            <x v="389"/>
            <x v="390"/>
          </reference>
        </references>
      </pivotArea>
    </format>
    <format dxfId="2728">
      <pivotArea dataOnly="0" labelOnly="1" fieldPosition="0">
        <references count="5">
          <reference field="4" count="1" selected="0">
            <x v="4"/>
          </reference>
          <reference field="6" count="1" selected="0">
            <x v="0"/>
          </reference>
          <reference field="7" count="1" selected="0">
            <x v="21"/>
          </reference>
          <reference field="8" count="1" selected="0">
            <x v="88"/>
          </reference>
          <reference field="15" count="3">
            <x v="291"/>
            <x v="292"/>
            <x v="301"/>
          </reference>
        </references>
      </pivotArea>
    </format>
    <format dxfId="2727">
      <pivotArea dataOnly="0" labelOnly="1" fieldPosition="0">
        <references count="5">
          <reference field="4" count="1" selected="0">
            <x v="4"/>
          </reference>
          <reference field="6" count="1" selected="0">
            <x v="0"/>
          </reference>
          <reference field="7" count="1" selected="0">
            <x v="21"/>
          </reference>
          <reference field="8" count="1" selected="0">
            <x v="89"/>
          </reference>
          <reference field="15" count="1">
            <x v="310"/>
          </reference>
        </references>
      </pivotArea>
    </format>
    <format dxfId="2726">
      <pivotArea dataOnly="0" labelOnly="1" fieldPosition="0">
        <references count="5">
          <reference field="4" count="1" selected="0">
            <x v="4"/>
          </reference>
          <reference field="6" count="1" selected="0">
            <x v="0"/>
          </reference>
          <reference field="7" count="1" selected="0">
            <x v="21"/>
          </reference>
          <reference field="8" count="1" selected="0">
            <x v="90"/>
          </reference>
          <reference field="15" count="1">
            <x v="385"/>
          </reference>
        </references>
      </pivotArea>
    </format>
    <format dxfId="2725">
      <pivotArea dataOnly="0" labelOnly="1" fieldPosition="0">
        <references count="5">
          <reference field="4" count="1" selected="0">
            <x v="4"/>
          </reference>
          <reference field="6" count="1" selected="0">
            <x v="0"/>
          </reference>
          <reference field="7" count="1" selected="0">
            <x v="21"/>
          </reference>
          <reference field="8" count="1" selected="0">
            <x v="91"/>
          </reference>
          <reference field="15" count="2">
            <x v="264"/>
            <x v="265"/>
          </reference>
        </references>
      </pivotArea>
    </format>
    <format dxfId="2724">
      <pivotArea dataOnly="0" labelOnly="1" fieldPosition="0">
        <references count="5">
          <reference field="4" count="1" selected="0">
            <x v="4"/>
          </reference>
          <reference field="6" count="1" selected="0">
            <x v="1"/>
          </reference>
          <reference field="7" count="1" selected="0">
            <x v="24"/>
          </reference>
          <reference field="8" count="1" selected="0">
            <x v="114"/>
          </reference>
          <reference field="15" count="1">
            <x v="263"/>
          </reference>
        </references>
      </pivotArea>
    </format>
    <format dxfId="2723">
      <pivotArea dataOnly="0" labelOnly="1" fieldPosition="0">
        <references count="5">
          <reference field="4" count="1" selected="0">
            <x v="4"/>
          </reference>
          <reference field="6" count="1" selected="0">
            <x v="2"/>
          </reference>
          <reference field="7" count="1" selected="0">
            <x v="29"/>
          </reference>
          <reference field="8" count="1" selected="0">
            <x v="142"/>
          </reference>
          <reference field="15" count="1">
            <x v="283"/>
          </reference>
        </references>
      </pivotArea>
    </format>
    <format dxfId="2722">
      <pivotArea dataOnly="0" labelOnly="1" fieldPosition="0">
        <references count="5">
          <reference field="4" count="1" selected="0">
            <x v="4"/>
          </reference>
          <reference field="6" count="1" selected="0">
            <x v="2"/>
          </reference>
          <reference field="7" count="1" selected="0">
            <x v="29"/>
          </reference>
          <reference field="8" count="1" selected="0">
            <x v="143"/>
          </reference>
          <reference field="15" count="2">
            <x v="289"/>
            <x v="314"/>
          </reference>
        </references>
      </pivotArea>
    </format>
    <format dxfId="2721">
      <pivotArea dataOnly="0" labelOnly="1" fieldPosition="0">
        <references count="5">
          <reference field="4" count="1" selected="0">
            <x v="4"/>
          </reference>
          <reference field="6" count="1" selected="0">
            <x v="2"/>
          </reference>
          <reference field="7" count="1" selected="0">
            <x v="29"/>
          </reference>
          <reference field="8" count="1" selected="0">
            <x v="151"/>
          </reference>
          <reference field="15" count="1">
            <x v="387"/>
          </reference>
        </references>
      </pivotArea>
    </format>
    <format dxfId="2720">
      <pivotArea dataOnly="0" labelOnly="1" fieldPosition="0">
        <references count="5">
          <reference field="4" count="1" selected="0">
            <x v="4"/>
          </reference>
          <reference field="6" count="1" selected="0">
            <x v="2"/>
          </reference>
          <reference field="7" count="1" selected="0">
            <x v="31"/>
          </reference>
          <reference field="8" count="1" selected="0">
            <x v="155"/>
          </reference>
          <reference field="15" count="4">
            <x v="235"/>
            <x v="303"/>
            <x v="374"/>
            <x v="386"/>
          </reference>
        </references>
      </pivotArea>
    </format>
    <format dxfId="2719">
      <pivotArea dataOnly="0" labelOnly="1" fieldPosition="0">
        <references count="5">
          <reference field="4" count="1" selected="0">
            <x v="4"/>
          </reference>
          <reference field="6" count="1" selected="0">
            <x v="2"/>
          </reference>
          <reference field="7" count="1" selected="0">
            <x v="31"/>
          </reference>
          <reference field="8" count="1" selected="0">
            <x v="156"/>
          </reference>
          <reference field="15" count="1">
            <x v="304"/>
          </reference>
        </references>
      </pivotArea>
    </format>
    <format dxfId="2718">
      <pivotArea dataOnly="0" labelOnly="1" fieldPosition="0">
        <references count="5">
          <reference field="4" count="1" selected="0">
            <x v="4"/>
          </reference>
          <reference field="6" count="1" selected="0">
            <x v="2"/>
          </reference>
          <reference field="7" count="1" selected="0">
            <x v="31"/>
          </reference>
          <reference field="8" count="1" selected="0">
            <x v="157"/>
          </reference>
          <reference field="15" count="1">
            <x v="302"/>
          </reference>
        </references>
      </pivotArea>
    </format>
    <format dxfId="2717">
      <pivotArea dataOnly="0" labelOnly="1" fieldPosition="0">
        <references count="5">
          <reference field="4" count="1" selected="0">
            <x v="4"/>
          </reference>
          <reference field="6" count="1" selected="0">
            <x v="3"/>
          </reference>
          <reference field="7" count="1" selected="0">
            <x v="0"/>
          </reference>
          <reference field="8" count="1" selected="0">
            <x v="0"/>
          </reference>
          <reference field="15" count="2">
            <x v="125"/>
            <x v="269"/>
          </reference>
        </references>
      </pivotArea>
    </format>
    <format dxfId="2716">
      <pivotArea dataOnly="0" labelOnly="1" fieldPosition="0">
        <references count="5">
          <reference field="4" count="1" selected="0">
            <x v="4"/>
          </reference>
          <reference field="6" count="1" selected="0">
            <x v="3"/>
          </reference>
          <reference field="7" count="1" selected="0">
            <x v="0"/>
          </reference>
          <reference field="8" count="1" selected="0">
            <x v="1"/>
          </reference>
          <reference field="15" count="1">
            <x v="382"/>
          </reference>
        </references>
      </pivotArea>
    </format>
    <format dxfId="2715">
      <pivotArea dataOnly="0" labelOnly="1" fieldPosition="0">
        <references count="5">
          <reference field="4" count="1" selected="0">
            <x v="4"/>
          </reference>
          <reference field="6" count="1" selected="0">
            <x v="3"/>
          </reference>
          <reference field="7" count="1" selected="0">
            <x v="1"/>
          </reference>
          <reference field="8" count="1" selected="0">
            <x v="2"/>
          </reference>
          <reference field="15" count="1">
            <x v="282"/>
          </reference>
        </references>
      </pivotArea>
    </format>
    <format dxfId="2714">
      <pivotArea dataOnly="0" labelOnly="1" fieldPosition="0">
        <references count="5">
          <reference field="4" count="1" selected="0">
            <x v="4"/>
          </reference>
          <reference field="6" count="1" selected="0">
            <x v="3"/>
          </reference>
          <reference field="7" count="1" selected="0">
            <x v="1"/>
          </reference>
          <reference field="8" count="1" selected="0">
            <x v="3"/>
          </reference>
          <reference field="15" count="1">
            <x v="384"/>
          </reference>
        </references>
      </pivotArea>
    </format>
    <format dxfId="2713">
      <pivotArea dataOnly="0" labelOnly="1" fieldPosition="0">
        <references count="5">
          <reference field="4" count="1" selected="0">
            <x v="4"/>
          </reference>
          <reference field="6" count="1" selected="0">
            <x v="3"/>
          </reference>
          <reference field="7" count="1" selected="0">
            <x v="1"/>
          </reference>
          <reference field="8" count="1" selected="0">
            <x v="4"/>
          </reference>
          <reference field="15" count="1">
            <x v="298"/>
          </reference>
        </references>
      </pivotArea>
    </format>
    <format dxfId="2712">
      <pivotArea dataOnly="0" labelOnly="1" fieldPosition="0">
        <references count="5">
          <reference field="4" count="1" selected="0">
            <x v="4"/>
          </reference>
          <reference field="6" count="1" selected="0">
            <x v="3"/>
          </reference>
          <reference field="7" count="1" selected="0">
            <x v="1"/>
          </reference>
          <reference field="8" count="1" selected="0">
            <x v="5"/>
          </reference>
          <reference field="15" count="2">
            <x v="381"/>
            <x v="383"/>
          </reference>
        </references>
      </pivotArea>
    </format>
    <format dxfId="2711">
      <pivotArea dataOnly="0" labelOnly="1" fieldPosition="0">
        <references count="5">
          <reference field="4" count="1" selected="0">
            <x v="5"/>
          </reference>
          <reference field="6" count="1" selected="0">
            <x v="0"/>
          </reference>
          <reference field="7" count="1" selected="0">
            <x v="18"/>
          </reference>
          <reference field="8" count="1" selected="0">
            <x v="73"/>
          </reference>
          <reference field="15" count="3">
            <x v="245"/>
            <x v="246"/>
            <x v="313"/>
          </reference>
        </references>
      </pivotArea>
    </format>
    <format dxfId="2710">
      <pivotArea dataOnly="0" labelOnly="1" fieldPosition="0">
        <references count="5">
          <reference field="4" count="1" selected="0">
            <x v="5"/>
          </reference>
          <reference field="6" count="1" selected="0">
            <x v="0"/>
          </reference>
          <reference field="7" count="1" selected="0">
            <x v="18"/>
          </reference>
          <reference field="8" count="1" selected="0">
            <x v="74"/>
          </reference>
          <reference field="15" count="1">
            <x v="230"/>
          </reference>
        </references>
      </pivotArea>
    </format>
    <format dxfId="2709">
      <pivotArea dataOnly="0" labelOnly="1" fieldPosition="0">
        <references count="5">
          <reference field="4" count="1" selected="0">
            <x v="5"/>
          </reference>
          <reference field="6" count="1" selected="0">
            <x v="0"/>
          </reference>
          <reference field="7" count="1" selected="0">
            <x v="18"/>
          </reference>
          <reference field="8" count="1" selected="0">
            <x v="77"/>
          </reference>
          <reference field="15" count="2">
            <x v="276"/>
            <x v="277"/>
          </reference>
        </references>
      </pivotArea>
    </format>
    <format dxfId="2708">
      <pivotArea dataOnly="0" labelOnly="1" fieldPosition="0">
        <references count="5">
          <reference field="4" count="1" selected="0">
            <x v="5"/>
          </reference>
          <reference field="6" count="1" selected="0">
            <x v="0"/>
          </reference>
          <reference field="7" count="1" selected="0">
            <x v="22"/>
          </reference>
          <reference field="8" count="1" selected="0">
            <x v="94"/>
          </reference>
          <reference field="15" count="1">
            <x v="164"/>
          </reference>
        </references>
      </pivotArea>
    </format>
    <format dxfId="2707">
      <pivotArea dataOnly="0" labelOnly="1" fieldPosition="0">
        <references count="5">
          <reference field="4" count="1" selected="0">
            <x v="5"/>
          </reference>
          <reference field="6" count="1" selected="0">
            <x v="4"/>
          </reference>
          <reference field="7" count="1" selected="0">
            <x v="8"/>
          </reference>
          <reference field="8" count="1" selected="0">
            <x v="37"/>
          </reference>
          <reference field="15" count="1">
            <x v="222"/>
          </reference>
        </references>
      </pivotArea>
    </format>
    <format dxfId="2706">
      <pivotArea dataOnly="0" labelOnly="1" fieldPosition="0">
        <references count="5">
          <reference field="4" count="1" selected="0">
            <x v="6"/>
          </reference>
          <reference field="6" count="1" selected="0">
            <x v="1"/>
          </reference>
          <reference field="7" count="1" selected="0">
            <x v="24"/>
          </reference>
          <reference field="8" count="1" selected="0">
            <x v="105"/>
          </reference>
          <reference field="15" count="13">
            <x v="24"/>
            <x v="25"/>
            <x v="31"/>
            <x v="37"/>
            <x v="44"/>
            <x v="45"/>
            <x v="48"/>
            <x v="49"/>
            <x v="50"/>
            <x v="56"/>
            <x v="66"/>
            <x v="100"/>
            <x v="101"/>
          </reference>
        </references>
      </pivotArea>
    </format>
    <format dxfId="2705">
      <pivotArea dataOnly="0" labelOnly="1" fieldPosition="0">
        <references count="5">
          <reference field="4" count="1" selected="0">
            <x v="6"/>
          </reference>
          <reference field="6" count="1" selected="0">
            <x v="1"/>
          </reference>
          <reference field="7" count="1" selected="0">
            <x v="24"/>
          </reference>
          <reference field="8" count="1" selected="0">
            <x v="107"/>
          </reference>
          <reference field="15" count="3">
            <x v="118"/>
            <x v="123"/>
            <x v="165"/>
          </reference>
        </references>
      </pivotArea>
    </format>
    <format dxfId="2704">
      <pivotArea dataOnly="0" labelOnly="1" fieldPosition="0">
        <references count="5">
          <reference field="4" count="1" selected="0">
            <x v="6"/>
          </reference>
          <reference field="6" count="1" selected="0">
            <x v="1"/>
          </reference>
          <reference field="7" count="1" selected="0">
            <x v="24"/>
          </reference>
          <reference field="8" count="1" selected="0">
            <x v="108"/>
          </reference>
          <reference field="15" count="2">
            <x v="97"/>
            <x v="119"/>
          </reference>
        </references>
      </pivotArea>
    </format>
    <format dxfId="2703">
      <pivotArea dataOnly="0" labelOnly="1" fieldPosition="0">
        <references count="5">
          <reference field="4" count="1" selected="0">
            <x v="6"/>
          </reference>
          <reference field="6" count="1" selected="0">
            <x v="1"/>
          </reference>
          <reference field="7" count="1" selected="0">
            <x v="24"/>
          </reference>
          <reference field="8" count="1" selected="0">
            <x v="109"/>
          </reference>
          <reference field="15" count="2">
            <x v="96"/>
            <x v="327"/>
          </reference>
        </references>
      </pivotArea>
    </format>
    <format dxfId="2702">
      <pivotArea dataOnly="0" labelOnly="1" fieldPosition="0">
        <references count="5">
          <reference field="4" count="1" selected="0">
            <x v="6"/>
          </reference>
          <reference field="6" count="1" selected="0">
            <x v="1"/>
          </reference>
          <reference field="7" count="1" selected="0">
            <x v="24"/>
          </reference>
          <reference field="8" count="1" selected="0">
            <x v="110"/>
          </reference>
          <reference field="15" count="2">
            <x v="115"/>
            <x v="324"/>
          </reference>
        </references>
      </pivotArea>
    </format>
    <format dxfId="2701">
      <pivotArea dataOnly="0" labelOnly="1" fieldPosition="0">
        <references count="5">
          <reference field="4" count="1" selected="0">
            <x v="6"/>
          </reference>
          <reference field="6" count="1" selected="0">
            <x v="1"/>
          </reference>
          <reference field="7" count="1" selected="0">
            <x v="24"/>
          </reference>
          <reference field="8" count="1" selected="0">
            <x v="111"/>
          </reference>
          <reference field="15" count="1">
            <x v="326"/>
          </reference>
        </references>
      </pivotArea>
    </format>
    <format dxfId="2700">
      <pivotArea dataOnly="0" labelOnly="1" fieldPosition="0">
        <references count="5">
          <reference field="4" count="1" selected="0">
            <x v="6"/>
          </reference>
          <reference field="6" count="1" selected="0">
            <x v="1"/>
          </reference>
          <reference field="7" count="1" selected="0">
            <x v="24"/>
          </reference>
          <reference field="8" count="1" selected="0">
            <x v="112"/>
          </reference>
          <reference field="15" count="5">
            <x v="80"/>
            <x v="120"/>
            <x v="121"/>
            <x v="122"/>
            <x v="135"/>
          </reference>
        </references>
      </pivotArea>
    </format>
    <format dxfId="2699">
      <pivotArea dataOnly="0" labelOnly="1" fieldPosition="0">
        <references count="5">
          <reference field="4" count="1" selected="0">
            <x v="6"/>
          </reference>
          <reference field="6" count="1" selected="0">
            <x v="1"/>
          </reference>
          <reference field="7" count="1" selected="0">
            <x v="24"/>
          </reference>
          <reference field="8" count="1" selected="0">
            <x v="113"/>
          </reference>
          <reference field="15" count="3">
            <x v="67"/>
            <x v="84"/>
            <x v="166"/>
          </reference>
        </references>
      </pivotArea>
    </format>
    <format dxfId="2698">
      <pivotArea dataOnly="0" labelOnly="1" fieldPosition="0">
        <references count="5">
          <reference field="4" count="1" selected="0">
            <x v="7"/>
          </reference>
          <reference field="6" count="1" selected="0">
            <x v="0"/>
          </reference>
          <reference field="7" count="1" selected="0">
            <x v="16"/>
          </reference>
          <reference field="8" count="1" selected="0">
            <x v="64"/>
          </reference>
          <reference field="15" count="3">
            <x v="274"/>
            <x v="278"/>
            <x v="325"/>
          </reference>
        </references>
      </pivotArea>
    </format>
    <format dxfId="2697">
      <pivotArea dataOnly="0" labelOnly="1" fieldPosition="0">
        <references count="5">
          <reference field="4" count="1" selected="0">
            <x v="7"/>
          </reference>
          <reference field="6" count="1" selected="0">
            <x v="2"/>
          </reference>
          <reference field="7" count="1" selected="0">
            <x v="29"/>
          </reference>
          <reference field="8" count="1" selected="0">
            <x v="140"/>
          </reference>
          <reference field="15" count="1">
            <x v="53"/>
          </reference>
        </references>
      </pivotArea>
    </format>
    <format dxfId="2696">
      <pivotArea dataOnly="0" labelOnly="1" fieldPosition="0">
        <references count="5">
          <reference field="4" count="1" selected="0">
            <x v="7"/>
          </reference>
          <reference field="6" count="1" selected="0">
            <x v="2"/>
          </reference>
          <reference field="7" count="1" selected="0">
            <x v="29"/>
          </reference>
          <reference field="8" count="1" selected="0">
            <x v="141"/>
          </reference>
          <reference field="15" count="1">
            <x v="279"/>
          </reference>
        </references>
      </pivotArea>
    </format>
    <format dxfId="2695">
      <pivotArea dataOnly="0" labelOnly="1" fieldPosition="0">
        <references count="5">
          <reference field="4" count="1" selected="0">
            <x v="7"/>
          </reference>
          <reference field="6" count="1" selected="0">
            <x v="2"/>
          </reference>
          <reference field="7" count="1" selected="0">
            <x v="29"/>
          </reference>
          <reference field="8" count="1" selected="0">
            <x v="144"/>
          </reference>
          <reference field="15" count="1">
            <x v="52"/>
          </reference>
        </references>
      </pivotArea>
    </format>
    <format dxfId="2694">
      <pivotArea dataOnly="0" labelOnly="1" fieldPosition="0">
        <references count="5">
          <reference field="4" count="1" selected="0">
            <x v="7"/>
          </reference>
          <reference field="6" count="1" selected="0">
            <x v="2"/>
          </reference>
          <reference field="7" count="1" selected="0">
            <x v="29"/>
          </reference>
          <reference field="8" count="1" selected="0">
            <x v="145"/>
          </reference>
          <reference field="15" count="1">
            <x v="51"/>
          </reference>
        </references>
      </pivotArea>
    </format>
    <format dxfId="2693">
      <pivotArea dataOnly="0" labelOnly="1" fieldPosition="0">
        <references count="5">
          <reference field="4" count="1" selected="0">
            <x v="7"/>
          </reference>
          <reference field="6" count="1" selected="0">
            <x v="2"/>
          </reference>
          <reference field="7" count="1" selected="0">
            <x v="30"/>
          </reference>
          <reference field="8" count="1" selected="0">
            <x v="154"/>
          </reference>
          <reference field="15" count="1">
            <x v="275"/>
          </reference>
        </references>
      </pivotArea>
    </format>
    <format dxfId="2692">
      <pivotArea dataOnly="0" labelOnly="1" fieldPosition="0">
        <references count="5">
          <reference field="4" count="1" selected="0">
            <x v="7"/>
          </reference>
          <reference field="6" count="1" selected="0">
            <x v="3"/>
          </reference>
          <reference field="7" count="1" selected="0">
            <x v="6"/>
          </reference>
          <reference field="8" count="1" selected="0">
            <x v="28"/>
          </reference>
          <reference field="15" count="3">
            <x v="318"/>
            <x v="319"/>
            <x v="320"/>
          </reference>
        </references>
      </pivotArea>
    </format>
    <format dxfId="2691">
      <pivotArea dataOnly="0" labelOnly="1" fieldPosition="0">
        <references count="5">
          <reference field="4" count="1" selected="0">
            <x v="7"/>
          </reference>
          <reference field="6" count="1" selected="0">
            <x v="4"/>
          </reference>
          <reference field="7" count="1" selected="0">
            <x v="8"/>
          </reference>
          <reference field="8" count="1" selected="0">
            <x v="35"/>
          </reference>
          <reference field="15" count="1">
            <x v="337"/>
          </reference>
        </references>
      </pivotArea>
    </format>
    <format dxfId="2690">
      <pivotArea dataOnly="0" labelOnly="1" fieldPosition="0">
        <references count="5">
          <reference field="4" count="1" selected="0">
            <x v="7"/>
          </reference>
          <reference field="6" count="1" selected="0">
            <x v="4"/>
          </reference>
          <reference field="7" count="1" selected="0">
            <x v="8"/>
          </reference>
          <reference field="8" count="1" selected="0">
            <x v="36"/>
          </reference>
          <reference field="15" count="1">
            <x v="280"/>
          </reference>
        </references>
      </pivotArea>
    </format>
    <format dxfId="2689">
      <pivotArea dataOnly="0" labelOnly="1" fieldPosition="0">
        <references count="5">
          <reference field="4" count="1" selected="0">
            <x v="7"/>
          </reference>
          <reference field="6" count="1" selected="0">
            <x v="4"/>
          </reference>
          <reference field="7" count="1" selected="0">
            <x v="9"/>
          </reference>
          <reference field="8" count="1" selected="0">
            <x v="40"/>
          </reference>
          <reference field="15" count="3">
            <x v="311"/>
            <x v="312"/>
            <x v="334"/>
          </reference>
        </references>
      </pivotArea>
    </format>
    <format dxfId="2688">
      <pivotArea dataOnly="0" labelOnly="1" fieldPosition="0">
        <references count="5">
          <reference field="4" count="1" selected="0">
            <x v="7"/>
          </reference>
          <reference field="6" count="1" selected="0">
            <x v="4"/>
          </reference>
          <reference field="7" count="1" selected="0">
            <x v="9"/>
          </reference>
          <reference field="8" count="1" selected="0">
            <x v="41"/>
          </reference>
          <reference field="15" count="1">
            <x v="328"/>
          </reference>
        </references>
      </pivotArea>
    </format>
    <format dxfId="2687">
      <pivotArea dataOnly="0" labelOnly="1" fieldPosition="0">
        <references count="5">
          <reference field="4" count="1" selected="0">
            <x v="7"/>
          </reference>
          <reference field="6" count="1" selected="0">
            <x v="4"/>
          </reference>
          <reference field="7" count="1" selected="0">
            <x v="9"/>
          </reference>
          <reference field="8" count="1" selected="0">
            <x v="42"/>
          </reference>
          <reference field="15" count="1">
            <x v="329"/>
          </reference>
        </references>
      </pivotArea>
    </format>
    <format dxfId="2686">
      <pivotArea dataOnly="0" labelOnly="1" fieldPosition="0">
        <references count="5">
          <reference field="4" count="1" selected="0">
            <x v="7"/>
          </reference>
          <reference field="6" count="1" selected="0">
            <x v="4"/>
          </reference>
          <reference field="7" count="1" selected="0">
            <x v="9"/>
          </reference>
          <reference field="8" count="1" selected="0">
            <x v="43"/>
          </reference>
          <reference field="15" count="1">
            <x v="321"/>
          </reference>
        </references>
      </pivotArea>
    </format>
    <format dxfId="2685">
      <pivotArea dataOnly="0" labelOnly="1" fieldPosition="0">
        <references count="5">
          <reference field="4" count="1" selected="0">
            <x v="7"/>
          </reference>
          <reference field="6" count="1" selected="0">
            <x v="4"/>
          </reference>
          <reference field="7" count="1" selected="0">
            <x v="10"/>
          </reference>
          <reference field="8" count="1" selected="0">
            <x v="44"/>
          </reference>
          <reference field="15" count="2">
            <x v="57"/>
            <x v="58"/>
          </reference>
        </references>
      </pivotArea>
    </format>
    <format dxfId="2684">
      <pivotArea dataOnly="0" labelOnly="1" fieldPosition="0">
        <references count="5">
          <reference field="4" count="1" selected="0">
            <x v="7"/>
          </reference>
          <reference field="6" count="1" selected="0">
            <x v="4"/>
          </reference>
          <reference field="7" count="1" selected="0">
            <x v="10"/>
          </reference>
          <reference field="8" count="1" selected="0">
            <x v="45"/>
          </reference>
          <reference field="15" count="1">
            <x v="55"/>
          </reference>
        </references>
      </pivotArea>
    </format>
    <format dxfId="2683">
      <pivotArea dataOnly="0" labelOnly="1" fieldPosition="0">
        <references count="5">
          <reference field="4" count="1" selected="0">
            <x v="7"/>
          </reference>
          <reference field="6" count="1" selected="0">
            <x v="4"/>
          </reference>
          <reference field="7" count="1" selected="0">
            <x v="10"/>
          </reference>
          <reference field="8" count="1" selected="0">
            <x v="46"/>
          </reference>
          <reference field="15" count="1">
            <x v="59"/>
          </reference>
        </references>
      </pivotArea>
    </format>
    <format dxfId="2682">
      <pivotArea dataOnly="0" labelOnly="1" fieldPosition="0">
        <references count="5">
          <reference field="4" count="1" selected="0">
            <x v="7"/>
          </reference>
          <reference field="6" count="1" selected="0">
            <x v="4"/>
          </reference>
          <reference field="7" count="1" selected="0">
            <x v="10"/>
          </reference>
          <reference field="8" count="1" selected="0">
            <x v="47"/>
          </reference>
          <reference field="15" count="1">
            <x v="54"/>
          </reference>
        </references>
      </pivotArea>
    </format>
    <format dxfId="2681">
      <pivotArea dataOnly="0" labelOnly="1" fieldPosition="0">
        <references count="5">
          <reference field="4" count="1" selected="0">
            <x v="7"/>
          </reference>
          <reference field="6" count="1" selected="0">
            <x v="4"/>
          </reference>
          <reference field="7" count="1" selected="0">
            <x v="11"/>
          </reference>
          <reference field="8" count="1" selected="0">
            <x v="48"/>
          </reference>
          <reference field="15" count="1">
            <x v="88"/>
          </reference>
        </references>
      </pivotArea>
    </format>
    <format dxfId="2680">
      <pivotArea dataOnly="0" labelOnly="1" fieldPosition="0">
        <references count="5">
          <reference field="4" count="1" selected="0">
            <x v="7"/>
          </reference>
          <reference field="6" count="1" selected="0">
            <x v="4"/>
          </reference>
          <reference field="7" count="1" selected="0">
            <x v="11"/>
          </reference>
          <reference field="8" count="1" selected="0">
            <x v="49"/>
          </reference>
          <reference field="15" count="1">
            <x v="86"/>
          </reference>
        </references>
      </pivotArea>
    </format>
    <format dxfId="2679">
      <pivotArea dataOnly="0" labelOnly="1" fieldPosition="0">
        <references count="5">
          <reference field="4" count="1" selected="0">
            <x v="7"/>
          </reference>
          <reference field="6" count="1" selected="0">
            <x v="4"/>
          </reference>
          <reference field="7" count="1" selected="0">
            <x v="12"/>
          </reference>
          <reference field="8" count="1" selected="0">
            <x v="50"/>
          </reference>
          <reference field="15" count="3">
            <x v="64"/>
            <x v="65"/>
            <x v="136"/>
          </reference>
        </references>
      </pivotArea>
    </format>
    <format dxfId="2678">
      <pivotArea dataOnly="0" labelOnly="1" fieldPosition="0">
        <references count="5">
          <reference field="4" count="1" selected="0">
            <x v="7"/>
          </reference>
          <reference field="6" count="1" selected="0">
            <x v="4"/>
          </reference>
          <reference field="7" count="1" selected="0">
            <x v="13"/>
          </reference>
          <reference field="8" count="1" selected="0">
            <x v="51"/>
          </reference>
          <reference field="15" count="1">
            <x v="307"/>
          </reference>
        </references>
      </pivotArea>
    </format>
    <format dxfId="2677">
      <pivotArea dataOnly="0" labelOnly="1" fieldPosition="0">
        <references count="5">
          <reference field="4" count="1" selected="0">
            <x v="7"/>
          </reference>
          <reference field="6" count="1" selected="0">
            <x v="4"/>
          </reference>
          <reference field="7" count="1" selected="0">
            <x v="13"/>
          </reference>
          <reference field="8" count="1" selected="0">
            <x v="52"/>
          </reference>
          <reference field="15" count="1">
            <x v="309"/>
          </reference>
        </references>
      </pivotArea>
    </format>
    <format dxfId="2676">
      <pivotArea dataOnly="0" labelOnly="1" fieldPosition="0">
        <references count="5">
          <reference field="4" count="1" selected="0">
            <x v="7"/>
          </reference>
          <reference field="6" count="1" selected="0">
            <x v="4"/>
          </reference>
          <reference field="7" count="1" selected="0">
            <x v="13"/>
          </reference>
          <reference field="8" count="1" selected="0">
            <x v="53"/>
          </reference>
          <reference field="15" count="1">
            <x v="308"/>
          </reference>
        </references>
      </pivotArea>
    </format>
    <format dxfId="2675">
      <pivotArea dataOnly="0" labelOnly="1" fieldPosition="0">
        <references count="5">
          <reference field="4" count="1" selected="0">
            <x v="7"/>
          </reference>
          <reference field="6" count="1" selected="0">
            <x v="4"/>
          </reference>
          <reference field="7" count="1" selected="0">
            <x v="14"/>
          </reference>
          <reference field="8" count="1" selected="0">
            <x v="54"/>
          </reference>
          <reference field="15" count="1">
            <x v="281"/>
          </reference>
        </references>
      </pivotArea>
    </format>
    <format dxfId="2674">
      <pivotArea dataOnly="0" labelOnly="1" fieldPosition="0">
        <references count="5">
          <reference field="4" count="1" selected="0">
            <x v="7"/>
          </reference>
          <reference field="6" count="1" selected="0">
            <x v="4"/>
          </reference>
          <reference field="7" count="1" selected="0">
            <x v="14"/>
          </reference>
          <reference field="8" count="1" selected="0">
            <x v="55"/>
          </reference>
          <reference field="15" count="1">
            <x v="138"/>
          </reference>
        </references>
      </pivotArea>
    </format>
    <format dxfId="2673">
      <pivotArea dataOnly="0" labelOnly="1" fieldPosition="0">
        <references count="5">
          <reference field="4" count="1" selected="0">
            <x v="7"/>
          </reference>
          <reference field="6" count="1" selected="0">
            <x v="4"/>
          </reference>
          <reference field="7" count="1" selected="0">
            <x v="15"/>
          </reference>
          <reference field="8" count="1" selected="0">
            <x v="56"/>
          </reference>
          <reference field="15" count="2">
            <x v="335"/>
            <x v="336"/>
          </reference>
        </references>
      </pivotArea>
    </format>
    <format dxfId="2672">
      <pivotArea dataOnly="0" labelOnly="1" fieldPosition="0">
        <references count="5">
          <reference field="4" count="1" selected="0">
            <x v="8"/>
          </reference>
          <reference field="6" count="1" selected="0">
            <x v="0"/>
          </reference>
          <reference field="7" count="1" selected="0">
            <x v="18"/>
          </reference>
          <reference field="8" count="1" selected="0">
            <x v="77"/>
          </reference>
          <reference field="15" count="1">
            <x v="290"/>
          </reference>
        </references>
      </pivotArea>
    </format>
    <format dxfId="2671">
      <pivotArea dataOnly="0" labelOnly="1" fieldPosition="0">
        <references count="5">
          <reference field="4" count="1" selected="0">
            <x v="8"/>
          </reference>
          <reference field="6" count="1" selected="0">
            <x v="0"/>
          </reference>
          <reference field="7" count="1" selected="0">
            <x v="22"/>
          </reference>
          <reference field="8" count="1" selected="0">
            <x v="92"/>
          </reference>
          <reference field="15" count="4">
            <x v="130"/>
            <x v="359"/>
            <x v="360"/>
            <x v="361"/>
          </reference>
        </references>
      </pivotArea>
    </format>
    <format dxfId="2670">
      <pivotArea dataOnly="0" labelOnly="1" fieldPosition="0">
        <references count="5">
          <reference field="4" count="1" selected="0">
            <x v="8"/>
          </reference>
          <reference field="6" count="1" selected="0">
            <x v="0"/>
          </reference>
          <reference field="7" count="1" selected="0">
            <x v="22"/>
          </reference>
          <reference field="8" count="1" selected="0">
            <x v="93"/>
          </reference>
          <reference field="15" count="1">
            <x v="369"/>
          </reference>
        </references>
      </pivotArea>
    </format>
    <format dxfId="2669">
      <pivotArea dataOnly="0" labelOnly="1" fieldPosition="0">
        <references count="5">
          <reference field="4" count="1" selected="0">
            <x v="8"/>
          </reference>
          <reference field="6" count="1" selected="0">
            <x v="0"/>
          </reference>
          <reference field="7" count="1" selected="0">
            <x v="22"/>
          </reference>
          <reference field="8" count="1" selected="0">
            <x v="94"/>
          </reference>
          <reference field="15" count="1">
            <x v="273"/>
          </reference>
        </references>
      </pivotArea>
    </format>
    <format dxfId="2668">
      <pivotArea dataOnly="0" labelOnly="1" fieldPosition="0">
        <references count="5">
          <reference field="4" count="1" selected="0">
            <x v="8"/>
          </reference>
          <reference field="6" count="1" selected="0">
            <x v="1"/>
          </reference>
          <reference field="7" count="1" selected="0">
            <x v="28"/>
          </reference>
          <reference field="8" count="1" selected="0">
            <x v="138"/>
          </reference>
          <reference field="15" count="3">
            <x v="270"/>
            <x v="343"/>
            <x v="355"/>
          </reference>
        </references>
      </pivotArea>
    </format>
    <format dxfId="2667">
      <pivotArea dataOnly="0" labelOnly="1" fieldPosition="0">
        <references count="5">
          <reference field="4" count="1" selected="0">
            <x v="8"/>
          </reference>
          <reference field="6" count="1" selected="0">
            <x v="1"/>
          </reference>
          <reference field="7" count="1" selected="0">
            <x v="28"/>
          </reference>
          <reference field="8" count="1" selected="0">
            <x v="139"/>
          </reference>
          <reference field="15" count="1">
            <x v="147"/>
          </reference>
        </references>
      </pivotArea>
    </format>
    <format dxfId="2666">
      <pivotArea dataOnly="0" labelOnly="1" fieldPosition="0">
        <references count="5">
          <reference field="4" count="1" selected="0">
            <x v="8"/>
          </reference>
          <reference field="6" count="1" selected="0">
            <x v="2"/>
          </reference>
          <reference field="7" count="1" selected="0">
            <x v="32"/>
          </reference>
          <reference field="8" count="1" selected="0">
            <x v="158"/>
          </reference>
          <reference field="15" count="1">
            <x v="344"/>
          </reference>
        </references>
      </pivotArea>
    </format>
    <format dxfId="2665">
      <pivotArea dataOnly="0" labelOnly="1" fieldPosition="0">
        <references count="5">
          <reference field="4" count="1" selected="0">
            <x v="8"/>
          </reference>
          <reference field="6" count="1" selected="0">
            <x v="2"/>
          </reference>
          <reference field="7" count="1" selected="0">
            <x v="32"/>
          </reference>
          <reference field="8" count="1" selected="0">
            <x v="159"/>
          </reference>
          <reference field="15" count="1">
            <x v="137"/>
          </reference>
        </references>
      </pivotArea>
    </format>
    <format dxfId="2664">
      <pivotArea dataOnly="0" labelOnly="1" fieldPosition="0">
        <references count="5">
          <reference field="4" count="1" selected="0">
            <x v="8"/>
          </reference>
          <reference field="6" count="1" selected="0">
            <x v="3"/>
          </reference>
          <reference field="7" count="1" selected="0">
            <x v="6"/>
          </reference>
          <reference field="8" count="1" selected="0">
            <x v="29"/>
          </reference>
          <reference field="15" count="4">
            <x v="145"/>
            <x v="146"/>
            <x v="356"/>
            <x v="357"/>
          </reference>
        </references>
      </pivotArea>
    </format>
    <format dxfId="2663">
      <pivotArea dataOnly="0" labelOnly="1" fieldPosition="0">
        <references count="5">
          <reference field="4" count="1" selected="0">
            <x v="8"/>
          </reference>
          <reference field="6" count="1" selected="0">
            <x v="3"/>
          </reference>
          <reference field="7" count="1" selected="0">
            <x v="6"/>
          </reference>
          <reference field="8" count="1" selected="0">
            <x v="30"/>
          </reference>
          <reference field="15" count="2">
            <x v="267"/>
            <x v="268"/>
          </reference>
        </references>
      </pivotArea>
    </format>
    <format dxfId="2662">
      <pivotArea dataOnly="0" labelOnly="1" fieldPosition="0">
        <references count="5">
          <reference field="4" count="1" selected="0">
            <x v="9"/>
          </reference>
          <reference field="6" count="1" selected="0">
            <x v="1"/>
          </reference>
          <reference field="7" count="1" selected="0">
            <x v="25"/>
          </reference>
          <reference field="8" count="1" selected="0">
            <x v="115"/>
          </reference>
          <reference field="15" count="13">
            <x v="35"/>
            <x v="36"/>
            <x v="63"/>
            <x v="72"/>
            <x v="77"/>
            <x v="238"/>
            <x v="241"/>
            <x v="242"/>
            <x v="243"/>
            <x v="247"/>
            <x v="248"/>
            <x v="260"/>
            <x v="262"/>
          </reference>
        </references>
      </pivotArea>
    </format>
    <format dxfId="2661">
      <pivotArea dataOnly="0" labelOnly="1" fieldPosition="0">
        <references count="5">
          <reference field="4" count="1" selected="0">
            <x v="9"/>
          </reference>
          <reference field="6" count="1" selected="0">
            <x v="1"/>
          </reference>
          <reference field="7" count="1" selected="0">
            <x v="25"/>
          </reference>
          <reference field="8" count="1" selected="0">
            <x v="116"/>
          </reference>
          <reference field="15" count="1">
            <x v="61"/>
          </reference>
        </references>
      </pivotArea>
    </format>
    <format dxfId="2660">
      <pivotArea dataOnly="0" labelOnly="1" fieldPosition="0">
        <references count="5">
          <reference field="4" count="1" selected="0">
            <x v="9"/>
          </reference>
          <reference field="6" count="1" selected="0">
            <x v="1"/>
          </reference>
          <reference field="7" count="1" selected="0">
            <x v="25"/>
          </reference>
          <reference field="8" count="1" selected="0">
            <x v="117"/>
          </reference>
          <reference field="15" count="2">
            <x v="92"/>
            <x v="249"/>
          </reference>
        </references>
      </pivotArea>
    </format>
    <format dxfId="2659">
      <pivotArea dataOnly="0" labelOnly="1" fieldPosition="0">
        <references count="5">
          <reference field="4" count="1" selected="0">
            <x v="9"/>
          </reference>
          <reference field="6" count="1" selected="0">
            <x v="1"/>
          </reference>
          <reference field="7" count="1" selected="0">
            <x v="25"/>
          </reference>
          <reference field="8" count="1" selected="0">
            <x v="118"/>
          </reference>
          <reference field="15" count="3">
            <x v="71"/>
            <x v="87"/>
            <x v="91"/>
          </reference>
        </references>
      </pivotArea>
    </format>
    <format dxfId="2658">
      <pivotArea dataOnly="0" labelOnly="1" fieldPosition="0">
        <references count="5">
          <reference field="4" count="1" selected="0">
            <x v="9"/>
          </reference>
          <reference field="6" count="1" selected="0">
            <x v="1"/>
          </reference>
          <reference field="7" count="1" selected="0">
            <x v="25"/>
          </reference>
          <reference field="8" count="1" selected="0">
            <x v="119"/>
          </reference>
          <reference field="15" count="4">
            <x v="62"/>
            <x v="68"/>
            <x v="69"/>
            <x v="70"/>
          </reference>
        </references>
      </pivotArea>
    </format>
    <format dxfId="2657">
      <pivotArea dataOnly="0" labelOnly="1" fieldPosition="0">
        <references count="5">
          <reference field="4" count="1" selected="0">
            <x v="9"/>
          </reference>
          <reference field="6" count="1" selected="0">
            <x v="1"/>
          </reference>
          <reference field="7" count="1" selected="0">
            <x v="25"/>
          </reference>
          <reference field="8" count="1" selected="0">
            <x v="120"/>
          </reference>
          <reference field="15" count="1">
            <x v="85"/>
          </reference>
        </references>
      </pivotArea>
    </format>
    <format dxfId="2656">
      <pivotArea dataOnly="0" labelOnly="1" fieldPosition="0">
        <references count="5">
          <reference field="4" count="1" selected="0">
            <x v="9"/>
          </reference>
          <reference field="6" count="1" selected="0">
            <x v="1"/>
          </reference>
          <reference field="7" count="1" selected="0">
            <x v="25"/>
          </reference>
          <reference field="8" count="1" selected="0">
            <x v="121"/>
          </reference>
          <reference field="15" count="2">
            <x v="41"/>
            <x v="78"/>
          </reference>
        </references>
      </pivotArea>
    </format>
    <format dxfId="2655">
      <pivotArea dataOnly="0" labelOnly="1" fieldPosition="0">
        <references count="5">
          <reference field="4" count="1" selected="0">
            <x v="9"/>
          </reference>
          <reference field="6" count="1" selected="0">
            <x v="1"/>
          </reference>
          <reference field="7" count="1" selected="0">
            <x v="25"/>
          </reference>
          <reference field="8" count="1" selected="0">
            <x v="122"/>
          </reference>
          <reference field="15" count="2">
            <x v="38"/>
            <x v="39"/>
          </reference>
        </references>
      </pivotArea>
    </format>
    <format dxfId="2654">
      <pivotArea dataOnly="0" labelOnly="1" fieldPosition="0">
        <references count="5">
          <reference field="4" count="1" selected="0">
            <x v="9"/>
          </reference>
          <reference field="6" count="1" selected="0">
            <x v="1"/>
          </reference>
          <reference field="7" count="1" selected="0">
            <x v="25"/>
          </reference>
          <reference field="8" count="1" selected="0">
            <x v="123"/>
          </reference>
          <reference field="15" count="7">
            <x v="32"/>
            <x v="33"/>
            <x v="60"/>
            <x v="82"/>
            <x v="83"/>
            <x v="89"/>
            <x v="90"/>
          </reference>
        </references>
      </pivotArea>
    </format>
    <format dxfId="2653">
      <pivotArea dataOnly="0" labelOnly="1" fieldPosition="0">
        <references count="5">
          <reference field="4" count="1" selected="0">
            <x v="9"/>
          </reference>
          <reference field="6" count="1" selected="0">
            <x v="1"/>
          </reference>
          <reference field="7" count="1" selected="0">
            <x v="25"/>
          </reference>
          <reference field="8" count="1" selected="0">
            <x v="124"/>
          </reference>
          <reference field="15" count="1">
            <x v="261"/>
          </reference>
        </references>
      </pivotArea>
    </format>
    <format dxfId="2652">
      <pivotArea dataOnly="0" labelOnly="1" fieldPosition="0">
        <references count="5">
          <reference field="4" count="1" selected="0">
            <x v="10"/>
          </reference>
          <reference field="6" count="1" selected="0">
            <x v="3"/>
          </reference>
          <reference field="7" count="1" selected="0">
            <x v="6"/>
          </reference>
          <reference field="8" count="1" selected="0">
            <x v="29"/>
          </reference>
          <reference field="15" count="21">
            <x v="2"/>
            <x v="3"/>
            <x v="5"/>
            <x v="152"/>
            <x v="153"/>
            <x v="154"/>
            <x v="155"/>
            <x v="156"/>
            <x v="157"/>
            <x v="158"/>
            <x v="159"/>
            <x v="160"/>
            <x v="161"/>
            <x v="162"/>
            <x v="163"/>
            <x v="189"/>
            <x v="190"/>
            <x v="191"/>
            <x v="192"/>
            <x v="193"/>
            <x v="395"/>
          </reference>
        </references>
      </pivotArea>
    </format>
    <format dxfId="2651">
      <pivotArea dataOnly="0" labelOnly="1" fieldPosition="0">
        <references count="5">
          <reference field="4" count="1" selected="0">
            <x v="11"/>
          </reference>
          <reference field="6" count="1" selected="0">
            <x v="0"/>
          </reference>
          <reference field="7" count="1" selected="0">
            <x v="17"/>
          </reference>
          <reference field="8" count="1" selected="0">
            <x v="70"/>
          </reference>
          <reference field="15" count="4">
            <x v="345"/>
            <x v="346"/>
            <x v="347"/>
            <x v="351"/>
          </reference>
        </references>
      </pivotArea>
    </format>
    <format dxfId="2650">
      <pivotArea dataOnly="0" labelOnly="1" fieldPosition="0">
        <references count="5">
          <reference field="4" count="1" selected="0">
            <x v="11"/>
          </reference>
          <reference field="6" count="1" selected="0">
            <x v="0"/>
          </reference>
          <reference field="7" count="1" selected="0">
            <x v="17"/>
          </reference>
          <reference field="8" count="1" selected="0">
            <x v="71"/>
          </reference>
          <reference field="15" count="3">
            <x v="348"/>
            <x v="352"/>
            <x v="353"/>
          </reference>
        </references>
      </pivotArea>
    </format>
    <format dxfId="2649">
      <pivotArea dataOnly="0" labelOnly="1" fieldPosition="0">
        <references count="5">
          <reference field="4" count="1" selected="0">
            <x v="11"/>
          </reference>
          <reference field="6" count="1" selected="0">
            <x v="0"/>
          </reference>
          <reference field="7" count="1" selected="0">
            <x v="17"/>
          </reference>
          <reference field="8" count="1" selected="0">
            <x v="72"/>
          </reference>
          <reference field="15" count="3">
            <x v="143"/>
            <x v="349"/>
            <x v="350"/>
          </reference>
        </references>
      </pivotArea>
    </format>
    <format dxfId="2648">
      <pivotArea dataOnly="0" labelOnly="1" fieldPosition="0">
        <references count="5">
          <reference field="4" count="1" selected="0">
            <x v="12"/>
          </reference>
          <reference field="6" count="1" selected="0">
            <x v="0"/>
          </reference>
          <reference field="7" count="1" selected="0">
            <x v="18"/>
          </reference>
          <reference field="8" count="1" selected="0">
            <x v="74"/>
          </reference>
          <reference field="15" count="2">
            <x v="113"/>
            <x v="114"/>
          </reference>
        </references>
      </pivotArea>
    </format>
    <format dxfId="2647">
      <pivotArea dataOnly="0" labelOnly="1" fieldPosition="0">
        <references count="5">
          <reference field="4" count="1" selected="0">
            <x v="12"/>
          </reference>
          <reference field="6" count="1" selected="0">
            <x v="0"/>
          </reference>
          <reference field="7" count="1" selected="0">
            <x v="18"/>
          </reference>
          <reference field="8" count="1" selected="0">
            <x v="75"/>
          </reference>
          <reference field="15" count="1">
            <x v="116"/>
          </reference>
        </references>
      </pivotArea>
    </format>
    <format dxfId="2646">
      <pivotArea dataOnly="0" labelOnly="1" fieldPosition="0">
        <references count="5">
          <reference field="4" count="1" selected="0">
            <x v="12"/>
          </reference>
          <reference field="6" count="1" selected="0">
            <x v="0"/>
          </reference>
          <reference field="7" count="1" selected="0">
            <x v="18"/>
          </reference>
          <reference field="8" count="1" selected="0">
            <x v="76"/>
          </reference>
          <reference field="15" count="1">
            <x v="244"/>
          </reference>
        </references>
      </pivotArea>
    </format>
    <format dxfId="2645">
      <pivotArea dataOnly="0" labelOnly="1" fieldPosition="0">
        <references count="5">
          <reference field="4" count="1" selected="0">
            <x v="13"/>
          </reference>
          <reference field="6" count="1" selected="0">
            <x v="3"/>
          </reference>
          <reference field="7" count="1" selected="0">
            <x v="1"/>
          </reference>
          <reference field="8" count="1" selected="0">
            <x v="6"/>
          </reference>
          <reference field="15" count="1">
            <x v="340"/>
          </reference>
        </references>
      </pivotArea>
    </format>
    <format dxfId="2644">
      <pivotArea dataOnly="0" labelOnly="1" fieldPosition="0">
        <references count="5">
          <reference field="4" count="1" selected="0">
            <x v="13"/>
          </reference>
          <reference field="6" count="1" selected="0">
            <x v="3"/>
          </reference>
          <reference field="7" count="1" selected="0">
            <x v="5"/>
          </reference>
          <reference field="8" count="1" selected="0">
            <x v="22"/>
          </reference>
          <reference field="15" count="1">
            <x v="333"/>
          </reference>
        </references>
      </pivotArea>
    </format>
    <format dxfId="2643">
      <pivotArea dataOnly="0" labelOnly="1" fieldPosition="0">
        <references count="5">
          <reference field="4" count="1" selected="0">
            <x v="13"/>
          </reference>
          <reference field="6" count="1" selected="0">
            <x v="3"/>
          </reference>
          <reference field="7" count="1" selected="0">
            <x v="5"/>
          </reference>
          <reference field="8" count="1" selected="0">
            <x v="23"/>
          </reference>
          <reference field="15" count="1">
            <x v="332"/>
          </reference>
        </references>
      </pivotArea>
    </format>
    <format dxfId="2642">
      <pivotArea dataOnly="0" labelOnly="1" fieldPosition="0">
        <references count="5">
          <reference field="4" count="1" selected="0">
            <x v="13"/>
          </reference>
          <reference field="6" count="1" selected="0">
            <x v="3"/>
          </reference>
          <reference field="7" count="1" selected="0">
            <x v="5"/>
          </reference>
          <reference field="8" count="1" selected="0">
            <x v="24"/>
          </reference>
          <reference field="15" count="1">
            <x v="339"/>
          </reference>
        </references>
      </pivotArea>
    </format>
    <format dxfId="2641">
      <pivotArea dataOnly="0" labelOnly="1" fieldPosition="0">
        <references count="5">
          <reference field="4" count="1" selected="0">
            <x v="13"/>
          </reference>
          <reference field="6" count="1" selected="0">
            <x v="3"/>
          </reference>
          <reference field="7" count="1" selected="0">
            <x v="5"/>
          </reference>
          <reference field="8" count="1" selected="0">
            <x v="25"/>
          </reference>
          <reference field="15" count="1">
            <x v="342"/>
          </reference>
        </references>
      </pivotArea>
    </format>
    <format dxfId="2640">
      <pivotArea dataOnly="0" labelOnly="1" fieldPosition="0">
        <references count="5">
          <reference field="4" count="1" selected="0">
            <x v="13"/>
          </reference>
          <reference field="6" count="1" selected="0">
            <x v="3"/>
          </reference>
          <reference field="7" count="1" selected="0">
            <x v="5"/>
          </reference>
          <reference field="8" count="1" selected="0">
            <x v="26"/>
          </reference>
          <reference field="15" count="1">
            <x v="338"/>
          </reference>
        </references>
      </pivotArea>
    </format>
    <format dxfId="2639">
      <pivotArea dataOnly="0" labelOnly="1" fieldPosition="0">
        <references count="5">
          <reference field="4" count="1" selected="0">
            <x v="13"/>
          </reference>
          <reference field="6" count="1" selected="0">
            <x v="3"/>
          </reference>
          <reference field="7" count="1" selected="0">
            <x v="5"/>
          </reference>
          <reference field="8" count="1" selected="0">
            <x v="27"/>
          </reference>
          <reference field="15" count="1">
            <x v="341"/>
          </reference>
        </references>
      </pivotArea>
    </format>
    <format dxfId="2638">
      <pivotArea dataOnly="0" labelOnly="1" fieldPosition="0">
        <references count="5">
          <reference field="4" count="1" selected="0">
            <x v="14"/>
          </reference>
          <reference field="6" count="1" selected="0">
            <x v="1"/>
          </reference>
          <reference field="7" count="1" selected="0">
            <x v="26"/>
          </reference>
          <reference field="8" count="1" selected="0">
            <x v="125"/>
          </reference>
          <reference field="15" count="4">
            <x v="26"/>
            <x v="27"/>
            <x v="28"/>
            <x v="99"/>
          </reference>
        </references>
      </pivotArea>
    </format>
    <format dxfId="2637">
      <pivotArea dataOnly="0" labelOnly="1" fieldPosition="0">
        <references count="5">
          <reference field="4" count="1" selected="0">
            <x v="14"/>
          </reference>
          <reference field="6" count="1" selected="0">
            <x v="1"/>
          </reference>
          <reference field="7" count="1" selected="0">
            <x v="26"/>
          </reference>
          <reference field="8" count="1" selected="0">
            <x v="126"/>
          </reference>
          <reference field="15" count="1">
            <x v="19"/>
          </reference>
        </references>
      </pivotArea>
    </format>
    <format dxfId="2636">
      <pivotArea dataOnly="0" labelOnly="1" fieldPosition="0">
        <references count="5">
          <reference field="4" count="1" selected="0">
            <x v="14"/>
          </reference>
          <reference field="6" count="1" selected="0">
            <x v="1"/>
          </reference>
          <reference field="7" count="1" selected="0">
            <x v="26"/>
          </reference>
          <reference field="8" count="1" selected="0">
            <x v="127"/>
          </reference>
          <reference field="15" count="2">
            <x v="150"/>
            <x v="151"/>
          </reference>
        </references>
      </pivotArea>
    </format>
    <format dxfId="2635">
      <pivotArea dataOnly="0" labelOnly="1" fieldPosition="0">
        <references count="5">
          <reference field="4" count="1" selected="0">
            <x v="14"/>
          </reference>
          <reference field="6" count="1" selected="0">
            <x v="1"/>
          </reference>
          <reference field="7" count="1" selected="0">
            <x v="26"/>
          </reference>
          <reference field="8" count="1" selected="0">
            <x v="128"/>
          </reference>
          <reference field="15" count="2">
            <x v="29"/>
            <x v="30"/>
          </reference>
        </references>
      </pivotArea>
    </format>
    <format dxfId="2634">
      <pivotArea dataOnly="0" labelOnly="1" fieldPosition="0">
        <references count="5">
          <reference field="4" count="1" selected="0">
            <x v="14"/>
          </reference>
          <reference field="6" count="1" selected="0">
            <x v="1"/>
          </reference>
          <reference field="7" count="1" selected="0">
            <x v="26"/>
          </reference>
          <reference field="8" count="1" selected="0">
            <x v="129"/>
          </reference>
          <reference field="15" count="2">
            <x v="330"/>
            <x v="331"/>
          </reference>
        </references>
      </pivotArea>
    </format>
    <format dxfId="2633">
      <pivotArea dataOnly="0" labelOnly="1" fieldPosition="0">
        <references count="5">
          <reference field="4" count="1" selected="0">
            <x v="14"/>
          </reference>
          <reference field="6" count="1" selected="0">
            <x v="1"/>
          </reference>
          <reference field="7" count="1" selected="0">
            <x v="26"/>
          </reference>
          <reference field="8" count="1" selected="0">
            <x v="130"/>
          </reference>
          <reference field="15" count="2">
            <x v="367"/>
            <x v="368"/>
          </reference>
        </references>
      </pivotArea>
    </format>
    <format dxfId="2632">
      <pivotArea dataOnly="0" labelOnly="1" fieldPosition="0">
        <references count="5">
          <reference field="4" count="1" selected="0">
            <x v="14"/>
          </reference>
          <reference field="6" count="1" selected="0">
            <x v="1"/>
          </reference>
          <reference field="7" count="1" selected="0">
            <x v="26"/>
          </reference>
          <reference field="8" count="1" selected="0">
            <x v="131"/>
          </reference>
          <reference field="15" count="3">
            <x v="14"/>
            <x v="15"/>
            <x v="16"/>
          </reference>
        </references>
      </pivotArea>
    </format>
    <format dxfId="2631">
      <pivotArea dataOnly="0" labelOnly="1" fieldPosition="0">
        <references count="5">
          <reference field="4" count="1" selected="0">
            <x v="15"/>
          </reference>
          <reference field="6" count="1" selected="0">
            <x v="0"/>
          </reference>
          <reference field="7" count="1" selected="0">
            <x v="20"/>
          </reference>
          <reference field="8" count="1" selected="0">
            <x v="82"/>
          </reference>
          <reference field="15" count="2">
            <x v="73"/>
            <x v="74"/>
          </reference>
        </references>
      </pivotArea>
    </format>
    <format dxfId="2630">
      <pivotArea dataOnly="0" labelOnly="1" fieldPosition="0">
        <references count="5">
          <reference field="4" count="1" selected="0">
            <x v="15"/>
          </reference>
          <reference field="6" count="1" selected="0">
            <x v="0"/>
          </reference>
          <reference field="7" count="1" selected="0">
            <x v="20"/>
          </reference>
          <reference field="8" count="1" selected="0">
            <x v="83"/>
          </reference>
          <reference field="15" count="1">
            <x v="75"/>
          </reference>
        </references>
      </pivotArea>
    </format>
    <format dxfId="2629">
      <pivotArea dataOnly="0" labelOnly="1" fieldPosition="0">
        <references count="5">
          <reference field="4" count="1" selected="0">
            <x v="15"/>
          </reference>
          <reference field="6" count="1" selected="0">
            <x v="0"/>
          </reference>
          <reference field="7" count="1" selected="0">
            <x v="20"/>
          </reference>
          <reference field="8" count="1" selected="0">
            <x v="84"/>
          </reference>
          <reference field="15" count="1">
            <x v="76"/>
          </reference>
        </references>
      </pivotArea>
    </format>
    <format dxfId="2628">
      <pivotArea dataOnly="0" labelOnly="1" fieldPosition="0">
        <references count="5">
          <reference field="4" count="1" selected="0">
            <x v="15"/>
          </reference>
          <reference field="6" count="1" selected="0">
            <x v="0"/>
          </reference>
          <reference field="7" count="1" selected="0">
            <x v="20"/>
          </reference>
          <reference field="8" count="1" selected="0">
            <x v="85"/>
          </reference>
          <reference field="15" count="1">
            <x v="259"/>
          </reference>
        </references>
      </pivotArea>
    </format>
    <format dxfId="2627">
      <pivotArea dataOnly="0" labelOnly="1" fieldPosition="0">
        <references count="5">
          <reference field="4" count="1" selected="0">
            <x v="15"/>
          </reference>
          <reference field="6" count="1" selected="0">
            <x v="0"/>
          </reference>
          <reference field="7" count="1" selected="0">
            <x v="20"/>
          </reference>
          <reference field="8" count="1" selected="0">
            <x v="86"/>
          </reference>
          <reference field="15" count="3">
            <x v="132"/>
            <x v="133"/>
            <x v="134"/>
          </reference>
        </references>
      </pivotArea>
    </format>
    <format dxfId="2626">
      <pivotArea dataOnly="0" labelOnly="1" fieldPosition="0">
        <references count="5">
          <reference field="4" count="1" selected="0">
            <x v="16"/>
          </reference>
          <reference field="6" count="1" selected="0">
            <x v="1"/>
          </reference>
          <reference field="7" count="1" selected="0">
            <x v="27"/>
          </reference>
          <reference field="8" count="1" selected="0">
            <x v="132"/>
          </reference>
          <reference field="15" count="1">
            <x v="20"/>
          </reference>
        </references>
      </pivotArea>
    </format>
    <format dxfId="2625">
      <pivotArea dataOnly="0" labelOnly="1" fieldPosition="0">
        <references count="5">
          <reference field="4" count="1" selected="0">
            <x v="16"/>
          </reference>
          <reference field="6" count="1" selected="0">
            <x v="1"/>
          </reference>
          <reference field="7" count="1" selected="0">
            <x v="27"/>
          </reference>
          <reference field="8" count="1" selected="0">
            <x v="133"/>
          </reference>
          <reference field="15" count="3">
            <x v="21"/>
            <x v="22"/>
            <x v="23"/>
          </reference>
        </references>
      </pivotArea>
    </format>
    <format dxfId="2624">
      <pivotArea dataOnly="0" labelOnly="1" fieldPosition="0">
        <references count="5">
          <reference field="4" count="1" selected="0">
            <x v="16"/>
          </reference>
          <reference field="6" count="1" selected="0">
            <x v="1"/>
          </reference>
          <reference field="7" count="1" selected="0">
            <x v="27"/>
          </reference>
          <reference field="8" count="1" selected="0">
            <x v="134"/>
          </reference>
          <reference field="15" count="2">
            <x v="149"/>
            <x v="354"/>
          </reference>
        </references>
      </pivotArea>
    </format>
    <format dxfId="2623">
      <pivotArea dataOnly="0" labelOnly="1" fieldPosition="0">
        <references count="5">
          <reference field="4" count="1" selected="0">
            <x v="16"/>
          </reference>
          <reference field="6" count="1" selected="0">
            <x v="1"/>
          </reference>
          <reference field="7" count="1" selected="0">
            <x v="27"/>
          </reference>
          <reference field="8" count="1" selected="0">
            <x v="135"/>
          </reference>
          <reference field="15" count="2">
            <x v="109"/>
            <x v="363"/>
          </reference>
        </references>
      </pivotArea>
    </format>
    <format dxfId="2622">
      <pivotArea dataOnly="0" labelOnly="1" fieldPosition="0">
        <references count="5">
          <reference field="4" count="1" selected="0">
            <x v="16"/>
          </reference>
          <reference field="6" count="1" selected="0">
            <x v="1"/>
          </reference>
          <reference field="7" count="1" selected="0">
            <x v="27"/>
          </reference>
          <reference field="8" count="1" selected="0">
            <x v="136"/>
          </reference>
          <reference field="15" count="2">
            <x v="81"/>
            <x v="148"/>
          </reference>
        </references>
      </pivotArea>
    </format>
    <format dxfId="2621">
      <pivotArea dataOnly="0" labelOnly="1" fieldPosition="0">
        <references count="5">
          <reference field="4" count="1" selected="0">
            <x v="16"/>
          </reference>
          <reference field="6" count="1" selected="0">
            <x v="1"/>
          </reference>
          <reference field="7" count="1" selected="0">
            <x v="27"/>
          </reference>
          <reference field="8" count="1" selected="0">
            <x v="137"/>
          </reference>
          <reference field="15" count="2">
            <x v="111"/>
            <x v="112"/>
          </reference>
        </references>
      </pivotArea>
    </format>
    <format dxfId="2620">
      <pivotArea dataOnly="0" labelOnly="1" fieldPosition="0">
        <references count="5">
          <reference field="4" count="1" selected="0">
            <x v="16"/>
          </reference>
          <reference field="6" count="1" selected="0">
            <x v="3"/>
          </reference>
          <reference field="7" count="1" selected="0">
            <x v="1"/>
          </reference>
          <reference field="8" count="1" selected="0">
            <x v="6"/>
          </reference>
          <reference field="15" count="1">
            <x v="362"/>
          </reference>
        </references>
      </pivotArea>
    </format>
    <format dxfId="2619">
      <pivotArea dataOnly="0" labelOnly="1" fieldPosition="0">
        <references count="5">
          <reference field="4" count="1" selected="0">
            <x v="16"/>
          </reference>
          <reference field="6" count="1" selected="0">
            <x v="4"/>
          </reference>
          <reference field="7" count="1" selected="0">
            <x v="8"/>
          </reference>
          <reference field="8" count="1" selected="0">
            <x v="38"/>
          </reference>
          <reference field="15" count="1">
            <x v="229"/>
          </reference>
        </references>
      </pivotArea>
    </format>
    <format dxfId="2618">
      <pivotArea dataOnly="0" labelOnly="1" fieldPosition="0">
        <references count="5">
          <reference field="4" count="1" selected="0">
            <x v="16"/>
          </reference>
          <reference field="6" count="1" selected="0">
            <x v="4"/>
          </reference>
          <reference field="7" count="1" selected="0">
            <x v="11"/>
          </reference>
          <reference field="8" count="1" selected="0">
            <x v="48"/>
          </reference>
          <reference field="15" count="1">
            <x v="200"/>
          </reference>
        </references>
      </pivotArea>
    </format>
    <format dxfId="2617">
      <pivotArea dataOnly="0" labelOnly="1" fieldPosition="0">
        <references count="5">
          <reference field="4" count="1" selected="0">
            <x v="17"/>
          </reference>
          <reference field="6" count="1" selected="0">
            <x v="0"/>
          </reference>
          <reference field="7" count="1" selected="0">
            <x v="16"/>
          </reference>
          <reference field="8" count="1" selected="0">
            <x v="57"/>
          </reference>
          <reference field="15" count="5">
            <x v="110"/>
            <x v="284"/>
            <x v="285"/>
            <x v="294"/>
            <x v="295"/>
          </reference>
        </references>
      </pivotArea>
    </format>
    <format dxfId="2616">
      <pivotArea dataOnly="0" labelOnly="1" fieldPosition="0">
        <references count="5">
          <reference field="4" count="1" selected="0">
            <x v="17"/>
          </reference>
          <reference field="6" count="1" selected="0">
            <x v="0"/>
          </reference>
          <reference field="7" count="1" selected="0">
            <x v="16"/>
          </reference>
          <reference field="8" count="1" selected="0">
            <x v="58"/>
          </reference>
          <reference field="15" count="2">
            <x v="299"/>
            <x v="300"/>
          </reference>
        </references>
      </pivotArea>
    </format>
    <format dxfId="2615">
      <pivotArea dataOnly="0" labelOnly="1" fieldPosition="0">
        <references count="5">
          <reference field="4" count="1" selected="0">
            <x v="17"/>
          </reference>
          <reference field="6" count="1" selected="0">
            <x v="0"/>
          </reference>
          <reference field="7" count="1" selected="0">
            <x v="16"/>
          </reference>
          <reference field="8" count="1" selected="0">
            <x v="59"/>
          </reference>
          <reference field="15" count="2">
            <x v="94"/>
            <x v="95"/>
          </reference>
        </references>
      </pivotArea>
    </format>
    <format dxfId="2614">
      <pivotArea dataOnly="0" labelOnly="1" fieldPosition="0">
        <references count="5">
          <reference field="4" count="1" selected="0">
            <x v="17"/>
          </reference>
          <reference field="6" count="1" selected="0">
            <x v="0"/>
          </reference>
          <reference field="7" count="1" selected="0">
            <x v="16"/>
          </reference>
          <reference field="8" count="1" selected="0">
            <x v="60"/>
          </reference>
          <reference field="15" count="5">
            <x v="102"/>
            <x v="103"/>
            <x v="104"/>
            <x v="322"/>
            <x v="323"/>
          </reference>
        </references>
      </pivotArea>
    </format>
    <format dxfId="2613">
      <pivotArea dataOnly="0" labelOnly="1" fieldPosition="0">
        <references count="5">
          <reference field="4" count="1" selected="0">
            <x v="17"/>
          </reference>
          <reference field="6" count="1" selected="0">
            <x v="0"/>
          </reference>
          <reference field="7" count="1" selected="0">
            <x v="16"/>
          </reference>
          <reference field="8" count="1" selected="0">
            <x v="61"/>
          </reference>
          <reference field="15" count="2">
            <x v="296"/>
            <x v="297"/>
          </reference>
        </references>
      </pivotArea>
    </format>
    <format dxfId="2612">
      <pivotArea dataOnly="0" labelOnly="1" fieldPosition="0">
        <references count="5">
          <reference field="4" count="1" selected="0">
            <x v="17"/>
          </reference>
          <reference field="6" count="1" selected="0">
            <x v="0"/>
          </reference>
          <reference field="7" count="1" selected="0">
            <x v="16"/>
          </reference>
          <reference field="8" count="1" selected="0">
            <x v="62"/>
          </reference>
          <reference field="15" count="1">
            <x v="93"/>
          </reference>
        </references>
      </pivotArea>
    </format>
    <format dxfId="2611">
      <pivotArea dataOnly="0" labelOnly="1" fieldPosition="0">
        <references count="5">
          <reference field="4" count="1" selected="0">
            <x v="17"/>
          </reference>
          <reference field="6" count="1" selected="0">
            <x v="0"/>
          </reference>
          <reference field="7" count="1" selected="0">
            <x v="16"/>
          </reference>
          <reference field="8" count="1" selected="0">
            <x v="63"/>
          </reference>
          <reference field="15" count="2">
            <x v="315"/>
            <x v="316"/>
          </reference>
        </references>
      </pivotArea>
    </format>
    <format dxfId="2610">
      <pivotArea dataOnly="0" labelOnly="1" fieldPosition="0">
        <references count="5">
          <reference field="4" count="1" selected="0">
            <x v="17"/>
          </reference>
          <reference field="6" count="1" selected="0">
            <x v="0"/>
          </reference>
          <reference field="7" count="1" selected="0">
            <x v="22"/>
          </reference>
          <reference field="8" count="1" selected="0">
            <x v="94"/>
          </reference>
          <reference field="15" count="2">
            <x v="105"/>
            <x v="106"/>
          </reference>
        </references>
      </pivotArea>
    </format>
    <format dxfId="2609">
      <pivotArea dataOnly="0" labelOnly="1" fieldPosition="0">
        <references count="5">
          <reference field="4" count="1" selected="0">
            <x v="18"/>
          </reference>
          <reference field="6" count="1" selected="0">
            <x v="3"/>
          </reference>
          <reference field="7" count="1" selected="0">
            <x v="2"/>
          </reference>
          <reference field="8" count="1" selected="0">
            <x v="8"/>
          </reference>
          <reference field="15" count="2">
            <x v="375"/>
            <x v="376"/>
          </reference>
        </references>
      </pivotArea>
    </format>
    <format dxfId="2608">
      <pivotArea dataOnly="0" labelOnly="1" fieldPosition="0">
        <references count="5">
          <reference field="4" count="1" selected="0">
            <x v="18"/>
          </reference>
          <reference field="6" count="1" selected="0">
            <x v="3"/>
          </reference>
          <reference field="7" count="1" selected="0">
            <x v="2"/>
          </reference>
          <reference field="8" count="1" selected="0">
            <x v="9"/>
          </reference>
          <reference field="15" count="1">
            <x v="266"/>
          </reference>
        </references>
      </pivotArea>
    </format>
    <format dxfId="2607">
      <pivotArea dataOnly="0" labelOnly="1" fieldPosition="0">
        <references count="5">
          <reference field="4" count="1" selected="0">
            <x v="18"/>
          </reference>
          <reference field="6" count="1" selected="0">
            <x v="3"/>
          </reference>
          <reference field="7" count="1" selected="0">
            <x v="2"/>
          </reference>
          <reference field="8" count="1" selected="0">
            <x v="16"/>
          </reference>
          <reference field="15" count="2">
            <x v="271"/>
            <x v="272"/>
          </reference>
        </references>
      </pivotArea>
    </format>
    <format dxfId="2606">
      <pivotArea dataOnly="0" labelOnly="1" fieldPosition="0">
        <references count="5">
          <reference field="4" count="1" selected="0">
            <x v="18"/>
          </reference>
          <reference field="6" count="1" selected="0">
            <x v="3"/>
          </reference>
          <reference field="7" count="1" selected="0">
            <x v="2"/>
          </reference>
          <reference field="8" count="1" selected="0">
            <x v="17"/>
          </reference>
          <reference field="15" count="3">
            <x v="286"/>
            <x v="287"/>
            <x v="288"/>
          </reference>
        </references>
      </pivotArea>
    </format>
    <format dxfId="2605">
      <pivotArea dataOnly="0" labelOnly="1" fieldPosition="0">
        <references count="5">
          <reference field="4" count="1" selected="0">
            <x v="19"/>
          </reference>
          <reference field="6" count="1" selected="0">
            <x v="3"/>
          </reference>
          <reference field="7" count="1" selected="0">
            <x v="6"/>
          </reference>
          <reference field="8" count="1" selected="0">
            <x v="29"/>
          </reference>
          <reference field="15" count="24">
            <x v="4"/>
            <x v="168"/>
            <x v="169"/>
            <x v="170"/>
            <x v="171"/>
            <x v="172"/>
            <x v="173"/>
            <x v="174"/>
            <x v="183"/>
            <x v="184"/>
            <x v="185"/>
            <x v="186"/>
            <x v="187"/>
            <x v="188"/>
            <x v="194"/>
            <x v="195"/>
            <x v="196"/>
            <x v="197"/>
            <x v="198"/>
            <x v="199"/>
            <x v="203"/>
            <x v="204"/>
            <x v="223"/>
            <x v="258"/>
          </reference>
        </references>
      </pivotArea>
    </format>
    <format dxfId="2604">
      <pivotArea dataOnly="0" labelOnly="1" fieldPosition="0">
        <references count="5">
          <reference field="4" count="1" selected="0">
            <x v="20"/>
          </reference>
          <reference field="6" count="1" selected="0">
            <x v="1"/>
          </reference>
          <reference field="7" count="1" selected="0">
            <x v="24"/>
          </reference>
          <reference field="8" count="1" selected="0">
            <x v="106"/>
          </reference>
          <reference field="15" count="2">
            <x v="239"/>
            <x v="240"/>
          </reference>
        </references>
      </pivotArea>
    </format>
    <format dxfId="2603">
      <pivotArea dataOnly="0" labelOnly="1" outline="0" fieldPosition="0">
        <references count="1">
          <reference field="4294967294" count="2">
            <x v="7"/>
            <x v="8"/>
          </reference>
        </references>
      </pivotArea>
    </format>
    <format dxfId="2602">
      <pivotArea outline="0" collapsedLevelsAreSubtotals="1" fieldPosition="0"/>
    </format>
    <format dxfId="2601">
      <pivotArea dataOnly="0" labelOnly="1" outline="0" fieldPosition="0">
        <references count="1">
          <reference field="2" count="0"/>
        </references>
      </pivotArea>
    </format>
    <format dxfId="2600">
      <pivotArea dataOnly="0" labelOnly="1" outline="0" fieldPosition="0">
        <references count="1">
          <reference field="4294967294" count="9">
            <x v="0"/>
            <x v="1"/>
            <x v="2"/>
            <x v="3"/>
            <x v="4"/>
            <x v="5"/>
            <x v="6"/>
            <x v="7"/>
            <x v="8"/>
          </reference>
        </references>
      </pivotArea>
    </format>
    <format dxfId="2599">
      <pivotArea outline="0" collapsedLevelsAreSubtotals="1" fieldPosition="0">
        <references count="1">
          <reference field="4294967294" count="2" selected="0">
            <x v="7"/>
            <x v="8"/>
          </reference>
        </references>
      </pivotArea>
    </format>
    <format dxfId="2598">
      <pivotArea dataOnly="0" labelOnly="1" outline="0" fieldPosition="0">
        <references count="1">
          <reference field="4294967294" count="2">
            <x v="7"/>
            <x v="8"/>
          </reference>
        </references>
      </pivotArea>
    </format>
    <format dxfId="2597">
      <pivotArea field="2" type="button" dataOnly="0" labelOnly="1" outline="0" axis="axisPage" fieldPosition="0"/>
    </format>
    <format dxfId="2596">
      <pivotArea field="4" type="button" dataOnly="0" labelOnly="1" outline="0" axis="axisRow" fieldPosition="0"/>
    </format>
    <format dxfId="2595">
      <pivotArea dataOnly="0" labelOnly="1" fieldPosition="0">
        <references count="1">
          <reference field="4" count="1">
            <x v="13"/>
          </reference>
        </references>
      </pivotArea>
    </format>
    <format dxfId="2594">
      <pivotArea dataOnly="0" labelOnly="1" grandRow="1" outline="0" fieldPosition="0"/>
    </format>
    <format dxfId="2593">
      <pivotArea dataOnly="0" labelOnly="1" fieldPosition="0">
        <references count="2">
          <reference field="4" count="1" selected="0">
            <x v="13"/>
          </reference>
          <reference field="6" count="1">
            <x v="3"/>
          </reference>
        </references>
      </pivotArea>
    </format>
    <format dxfId="2592">
      <pivotArea dataOnly="0" labelOnly="1" fieldPosition="0">
        <references count="3">
          <reference field="4" count="1" selected="0">
            <x v="13"/>
          </reference>
          <reference field="6" count="1" selected="0">
            <x v="3"/>
          </reference>
          <reference field="7" count="2">
            <x v="1"/>
            <x v="5"/>
          </reference>
        </references>
      </pivotArea>
    </format>
    <format dxfId="2591">
      <pivotArea dataOnly="0" labelOnly="1" fieldPosition="0">
        <references count="4">
          <reference field="4" count="1" selected="0">
            <x v="13"/>
          </reference>
          <reference field="6" count="1" selected="0">
            <x v="3"/>
          </reference>
          <reference field="7" count="1" selected="0">
            <x v="1"/>
          </reference>
          <reference field="8" count="1">
            <x v="6"/>
          </reference>
        </references>
      </pivotArea>
    </format>
    <format dxfId="2590">
      <pivotArea dataOnly="0" labelOnly="1" fieldPosition="0">
        <references count="4">
          <reference field="4" count="1" selected="0">
            <x v="13"/>
          </reference>
          <reference field="6" count="1" selected="0">
            <x v="3"/>
          </reference>
          <reference field="7" count="1" selected="0">
            <x v="5"/>
          </reference>
          <reference field="8" count="6">
            <x v="22"/>
            <x v="23"/>
            <x v="24"/>
            <x v="25"/>
            <x v="26"/>
            <x v="27"/>
          </reference>
        </references>
      </pivotArea>
    </format>
    <format dxfId="2589">
      <pivotArea dataOnly="0" labelOnly="1" fieldPosition="0">
        <references count="5">
          <reference field="4" count="1" selected="0">
            <x v="13"/>
          </reference>
          <reference field="6" count="1" selected="0">
            <x v="3"/>
          </reference>
          <reference field="7" count="1" selected="0">
            <x v="1"/>
          </reference>
          <reference field="8" count="1" selected="0">
            <x v="6"/>
          </reference>
          <reference field="15" count="1">
            <x v="340"/>
          </reference>
        </references>
      </pivotArea>
    </format>
    <format dxfId="2588">
      <pivotArea dataOnly="0" labelOnly="1" fieldPosition="0">
        <references count="5">
          <reference field="4" count="1" selected="0">
            <x v="13"/>
          </reference>
          <reference field="6" count="1" selected="0">
            <x v="3"/>
          </reference>
          <reference field="7" count="1" selected="0">
            <x v="5"/>
          </reference>
          <reference field="8" count="1" selected="0">
            <x v="22"/>
          </reference>
          <reference field="15" count="1">
            <x v="333"/>
          </reference>
        </references>
      </pivotArea>
    </format>
    <format dxfId="2587">
      <pivotArea dataOnly="0" labelOnly="1" fieldPosition="0">
        <references count="5">
          <reference field="4" count="1" selected="0">
            <x v="13"/>
          </reference>
          <reference field="6" count="1" selected="0">
            <x v="3"/>
          </reference>
          <reference field="7" count="1" selected="0">
            <x v="5"/>
          </reference>
          <reference field="8" count="1" selected="0">
            <x v="23"/>
          </reference>
          <reference field="15" count="1">
            <x v="332"/>
          </reference>
        </references>
      </pivotArea>
    </format>
    <format dxfId="2586">
      <pivotArea dataOnly="0" labelOnly="1" fieldPosition="0">
        <references count="5">
          <reference field="4" count="1" selected="0">
            <x v="13"/>
          </reference>
          <reference field="6" count="1" selected="0">
            <x v="3"/>
          </reference>
          <reference field="7" count="1" selected="0">
            <x v="5"/>
          </reference>
          <reference field="8" count="1" selected="0">
            <x v="24"/>
          </reference>
          <reference field="15" count="1">
            <x v="339"/>
          </reference>
        </references>
      </pivotArea>
    </format>
    <format dxfId="2585">
      <pivotArea dataOnly="0" labelOnly="1" fieldPosition="0">
        <references count="5">
          <reference field="4" count="1" selected="0">
            <x v="13"/>
          </reference>
          <reference field="6" count="1" selected="0">
            <x v="3"/>
          </reference>
          <reference field="7" count="1" selected="0">
            <x v="5"/>
          </reference>
          <reference field="8" count="1" selected="0">
            <x v="25"/>
          </reference>
          <reference field="15" count="1">
            <x v="342"/>
          </reference>
        </references>
      </pivotArea>
    </format>
    <format dxfId="2584">
      <pivotArea dataOnly="0" labelOnly="1" fieldPosition="0">
        <references count="5">
          <reference field="4" count="1" selected="0">
            <x v="13"/>
          </reference>
          <reference field="6" count="1" selected="0">
            <x v="3"/>
          </reference>
          <reference field="7" count="1" selected="0">
            <x v="5"/>
          </reference>
          <reference field="8" count="1" selected="0">
            <x v="26"/>
          </reference>
          <reference field="15" count="1">
            <x v="338"/>
          </reference>
        </references>
      </pivotArea>
    </format>
    <format dxfId="2583">
      <pivotArea dataOnly="0" labelOnly="1" fieldPosition="0">
        <references count="5">
          <reference field="4" count="1" selected="0">
            <x v="13"/>
          </reference>
          <reference field="6" count="1" selected="0">
            <x v="3"/>
          </reference>
          <reference field="7" count="1" selected="0">
            <x v="5"/>
          </reference>
          <reference field="8" count="1" selected="0">
            <x v="27"/>
          </reference>
          <reference field="15" count="1">
            <x v="34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7" cacheId="2" applyNumberFormats="0" applyBorderFormats="0" applyFontFormats="0" applyPatternFormats="0" applyAlignmentFormats="0" applyWidthHeightFormats="1" dataCaption="Valores" grandTotalCaption="TOTAL " updatedVersion="8" minRefreshableVersion="3" useAutoFormatting="1" itemPrintTitles="1" createdVersion="8" indent="0" outline="1" outlineData="1" multipleFieldFilters="0" rowHeaderCaption="UNIDAD EJECUTORA">
  <location ref="A3:J30" firstHeaderRow="0" firstDataRow="1" firstDataCol="1" rowPageCount="1" colPageCount="1"/>
  <pivotFields count="33">
    <pivotField showAll="0"/>
    <pivotField showAll="0"/>
    <pivotField axis="axisPage" showAll="0">
      <items count="22">
        <item x="4"/>
        <item x="3"/>
        <item x="14"/>
        <item x="0"/>
        <item x="13"/>
        <item x="17"/>
        <item x="7"/>
        <item x="9"/>
        <item x="15"/>
        <item x="8"/>
        <item x="1"/>
        <item x="16"/>
        <item x="12"/>
        <item x="20"/>
        <item x="5"/>
        <item x="10"/>
        <item x="6"/>
        <item x="11"/>
        <item x="19"/>
        <item x="2"/>
        <item x="18"/>
        <item t="default"/>
      </items>
    </pivotField>
    <pivotField showAll="0"/>
    <pivotField axis="axisRow" showAll="0">
      <items count="22">
        <item x="4"/>
        <item x="3"/>
        <item x="14"/>
        <item x="0"/>
        <item x="13"/>
        <item x="17"/>
        <item x="7"/>
        <item x="9"/>
        <item x="15"/>
        <item x="8"/>
        <item x="1"/>
        <item x="16"/>
        <item x="12"/>
        <item x="20"/>
        <item x="5"/>
        <item x="10"/>
        <item x="6"/>
        <item x="11"/>
        <item x="19"/>
        <item x="2"/>
        <item x="18"/>
        <item t="default"/>
      </items>
    </pivotField>
    <pivotField numFmtId="1" showAll="0"/>
    <pivotField axis="axisRow" showAll="0">
      <items count="6">
        <item x="1"/>
        <item x="2"/>
        <item x="3"/>
        <item x="0"/>
        <item x="4"/>
        <item t="default"/>
      </items>
    </pivotField>
    <pivotField axis="axisRow" showAll="0">
      <items count="34">
        <item x="19"/>
        <item x="27"/>
        <item x="1"/>
        <item x="2"/>
        <item x="8"/>
        <item x="30"/>
        <item x="0"/>
        <item x="32"/>
        <item x="25"/>
        <item x="29"/>
        <item x="12"/>
        <item x="15"/>
        <item x="13"/>
        <item x="28"/>
        <item x="23"/>
        <item x="31"/>
        <item x="16"/>
        <item x="10"/>
        <item x="18"/>
        <item x="3"/>
        <item x="14"/>
        <item x="20"/>
        <item x="17"/>
        <item x="9"/>
        <item x="6"/>
        <item x="7"/>
        <item x="4"/>
        <item x="5"/>
        <item x="24"/>
        <item x="11"/>
        <item x="21"/>
        <item x="26"/>
        <item x="22"/>
        <item t="default"/>
      </items>
    </pivotField>
    <pivotField axis="axisRow" showAll="0">
      <items count="161">
        <item x="62"/>
        <item x="155"/>
        <item x="112"/>
        <item x="156"/>
        <item x="118"/>
        <item x="154"/>
        <item x="140"/>
        <item x="60"/>
        <item x="153"/>
        <item x="102"/>
        <item x="7"/>
        <item x="2"/>
        <item x="52"/>
        <item x="1"/>
        <item x="22"/>
        <item x="151"/>
        <item x="105"/>
        <item x="114"/>
        <item x="82"/>
        <item x="3"/>
        <item x="15"/>
        <item x="49"/>
        <item x="135"/>
        <item x="134"/>
        <item x="139"/>
        <item x="142"/>
        <item x="138"/>
        <item x="141"/>
        <item x="128"/>
        <item x="0"/>
        <item x="103"/>
        <item x="159"/>
        <item x="150"/>
        <item x="86"/>
        <item x="152"/>
        <item x="137"/>
        <item x="110"/>
        <item x="79"/>
        <item x="80"/>
        <item x="83"/>
        <item x="126"/>
        <item x="131"/>
        <item x="132"/>
        <item x="129"/>
        <item x="28"/>
        <item x="27"/>
        <item x="29"/>
        <item x="26"/>
        <item x="43"/>
        <item x="42"/>
        <item x="32"/>
        <item x="122"/>
        <item x="124"/>
        <item x="123"/>
        <item x="111"/>
        <item x="69"/>
        <item x="136"/>
        <item x="55"/>
        <item x="119"/>
        <item x="46"/>
        <item x="50"/>
        <item x="117"/>
        <item x="45"/>
        <item x="127"/>
        <item x="106"/>
        <item x="53"/>
        <item x="147"/>
        <item x="146"/>
        <item x="38"/>
        <item x="20"/>
        <item x="144"/>
        <item x="145"/>
        <item x="74"/>
        <item x="89"/>
        <item x="57"/>
        <item x="59"/>
        <item x="88"/>
        <item x="108"/>
        <item x="85"/>
        <item x="5"/>
        <item x="4"/>
        <item x="81"/>
        <item x="35"/>
        <item x="36"/>
        <item x="37"/>
        <item x="98"/>
        <item x="67"/>
        <item x="63"/>
        <item x="116"/>
        <item x="125"/>
        <item x="157"/>
        <item x="101"/>
        <item x="66"/>
        <item x="149"/>
        <item x="51"/>
        <item x="90"/>
        <item x="91"/>
        <item x="97"/>
        <item x="21"/>
        <item x="94"/>
        <item x="93"/>
        <item x="95"/>
        <item x="18"/>
        <item x="92"/>
        <item x="96"/>
        <item x="11"/>
        <item x="87"/>
        <item x="61"/>
        <item x="48"/>
        <item x="47"/>
        <item x="58"/>
        <item x="130"/>
        <item x="39"/>
        <item x="33"/>
        <item x="100"/>
        <item x="16"/>
        <item x="30"/>
        <item x="44"/>
        <item x="34"/>
        <item x="31"/>
        <item x="41"/>
        <item x="19"/>
        <item x="17"/>
        <item x="14"/>
        <item x="99"/>
        <item x="12"/>
        <item x="8"/>
        <item x="78"/>
        <item x="13"/>
        <item x="133"/>
        <item x="148"/>
        <item x="6"/>
        <item x="9"/>
        <item x="10"/>
        <item x="77"/>
        <item x="54"/>
        <item x="40"/>
        <item x="56"/>
        <item x="104"/>
        <item x="76"/>
        <item x="25"/>
        <item x="109"/>
        <item x="113"/>
        <item x="115"/>
        <item x="24"/>
        <item x="23"/>
        <item x="70"/>
        <item x="64"/>
        <item x="73"/>
        <item x="71"/>
        <item x="75"/>
        <item x="158"/>
        <item x="65"/>
        <item x="72"/>
        <item x="107"/>
        <item x="84"/>
        <item x="121"/>
        <item x="120"/>
        <item x="143"/>
        <item x="68"/>
        <item t="default"/>
      </items>
    </pivotField>
    <pivotField showAll="0"/>
    <pivotField showAll="0"/>
    <pivotField showAll="0"/>
    <pivotField showAll="0"/>
    <pivotField showAll="0"/>
    <pivotField showAll="0"/>
    <pivotField axis="axisRow" showAll="0">
      <items count="402">
        <item x="1"/>
        <item x="0"/>
        <item x="3"/>
        <item x="2"/>
        <item x="4"/>
        <item x="5"/>
        <item x="6"/>
        <item x="8"/>
        <item x="7"/>
        <item x="9"/>
        <item x="11"/>
        <item x="10"/>
        <item x="12"/>
        <item x="13"/>
        <item x="16"/>
        <item x="15"/>
        <item x="14"/>
        <item x="18"/>
        <item x="17"/>
        <item x="19"/>
        <item x="20"/>
        <item x="21"/>
        <item x="22"/>
        <item x="23"/>
        <item x="25"/>
        <item x="24"/>
        <item x="27"/>
        <item x="26"/>
        <item x="28"/>
        <item x="29"/>
        <item x="30"/>
        <item x="31"/>
        <item x="32"/>
        <item x="33"/>
        <item x="34"/>
        <item x="35"/>
        <item x="36"/>
        <item x="37"/>
        <item x="38"/>
        <item x="39"/>
        <item x="40"/>
        <item x="41"/>
        <item x="42"/>
        <item x="43"/>
        <item x="44"/>
        <item x="45"/>
        <item x="46"/>
        <item x="47"/>
        <item x="48"/>
        <item x="49"/>
        <item x="50"/>
        <item x="51"/>
        <item x="52"/>
        <item x="53"/>
        <item x="54"/>
        <item x="55"/>
        <item x="56"/>
        <item x="58"/>
        <item x="57"/>
        <item x="59"/>
        <item x="60"/>
        <item x="61"/>
        <item x="62"/>
        <item x="63"/>
        <item x="65"/>
        <item x="64"/>
        <item x="66"/>
        <item x="67"/>
        <item x="68"/>
        <item x="69"/>
        <item x="70"/>
        <item x="71"/>
        <item x="72"/>
        <item x="74"/>
        <item x="73"/>
        <item x="75"/>
        <item x="76"/>
        <item x="77"/>
        <item x="78"/>
        <item x="79"/>
        <item x="80"/>
        <item x="81"/>
        <item x="82"/>
        <item x="83"/>
        <item x="84"/>
        <item x="85"/>
        <item x="86"/>
        <item x="87"/>
        <item x="88"/>
        <item x="89"/>
        <item x="90"/>
        <item x="91"/>
        <item x="92"/>
        <item x="93"/>
        <item x="95"/>
        <item x="94"/>
        <item x="96"/>
        <item x="97"/>
        <item x="98"/>
        <item x="99"/>
        <item x="101"/>
        <item x="100"/>
        <item x="103"/>
        <item x="102"/>
        <item x="104"/>
        <item x="105"/>
        <item x="106"/>
        <item x="107"/>
        <item x="108"/>
        <item x="109"/>
        <item x="110"/>
        <item x="111"/>
        <item x="112"/>
        <item x="114"/>
        <item x="113"/>
        <item x="115"/>
        <item x="116"/>
        <item x="117"/>
        <item x="118"/>
        <item x="119"/>
        <item x="122"/>
        <item x="120"/>
        <item x="121"/>
        <item x="123"/>
        <item x="124"/>
        <item x="125"/>
        <item x="126"/>
        <item x="127"/>
        <item x="129"/>
        <item x="128"/>
        <item x="130"/>
        <item x="131"/>
        <item x="132"/>
        <item x="133"/>
        <item x="134"/>
        <item x="135"/>
        <item x="136"/>
        <item x="137"/>
        <item x="138"/>
        <item x="139"/>
        <item x="140"/>
        <item x="141"/>
        <item x="142"/>
        <item x="143"/>
        <item x="144"/>
        <item x="145"/>
        <item x="146"/>
        <item x="147"/>
        <item x="148"/>
        <item x="149"/>
        <item x="151"/>
        <item x="150"/>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3"/>
        <item x="192"/>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4"/>
        <item x="233"/>
        <item x="235"/>
        <item x="236"/>
        <item x="237"/>
        <item x="238"/>
        <item x="239"/>
        <item x="240"/>
        <item x="241"/>
        <item x="242"/>
        <item x="243"/>
        <item x="244"/>
        <item x="246"/>
        <item x="245"/>
        <item x="247"/>
        <item x="248"/>
        <item x="249"/>
        <item x="250"/>
        <item x="251"/>
        <item x="252"/>
        <item x="253"/>
        <item x="254"/>
        <item x="255"/>
        <item x="256"/>
        <item x="257"/>
        <item x="258"/>
        <item x="259"/>
        <item x="260"/>
        <item x="261"/>
        <item x="262"/>
        <item x="263"/>
        <item x="264"/>
        <item x="265"/>
        <item x="266"/>
        <item x="268"/>
        <item x="267"/>
        <item x="269"/>
        <item x="270"/>
        <item x="271"/>
        <item x="272"/>
        <item x="273"/>
        <item x="274"/>
        <item x="275"/>
        <item x="277"/>
        <item x="276"/>
        <item x="278"/>
        <item x="279"/>
        <item x="280"/>
        <item x="281"/>
        <item x="282"/>
        <item x="283"/>
        <item x="285"/>
        <item x="284"/>
        <item x="288"/>
        <item x="286"/>
        <item x="287"/>
        <item x="289"/>
        <item x="290"/>
        <item x="291"/>
        <item x="292"/>
        <item x="293"/>
        <item x="294"/>
        <item x="295"/>
        <item x="297"/>
        <item x="296"/>
        <item x="298"/>
        <item x="299"/>
        <item x="300"/>
        <item x="301"/>
        <item x="302"/>
        <item x="303"/>
        <item x="304"/>
        <item x="305"/>
        <item x="306"/>
        <item x="307"/>
        <item x="308"/>
        <item x="309"/>
        <item x="310"/>
        <item x="311"/>
        <item x="312"/>
        <item x="313"/>
        <item x="314"/>
        <item x="316"/>
        <item x="315"/>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7"/>
        <item x="346"/>
        <item x="348"/>
        <item x="349"/>
        <item x="350"/>
        <item x="351"/>
        <item x="352"/>
        <item x="353"/>
        <item x="354"/>
        <item x="355"/>
        <item x="357"/>
        <item x="356"/>
        <item x="358"/>
        <item x="360"/>
        <item x="359"/>
        <item x="361"/>
        <item x="362"/>
        <item x="363"/>
        <item x="364"/>
        <item x="365"/>
        <item x="366"/>
        <item x="368"/>
        <item x="367"/>
        <item x="369"/>
        <item x="370"/>
        <item x="371"/>
        <item x="372"/>
        <item x="373"/>
        <item x="374"/>
        <item x="376"/>
        <item x="375"/>
        <item x="377"/>
        <item x="378"/>
        <item x="379"/>
        <item x="380"/>
        <item x="381"/>
        <item x="382"/>
        <item x="383"/>
        <item x="384"/>
        <item x="385"/>
        <item x="386"/>
        <item x="387"/>
        <item x="389"/>
        <item x="388"/>
        <item x="390"/>
        <item x="391"/>
        <item x="392"/>
        <item x="393"/>
        <item x="394"/>
        <item x="395"/>
        <item x="396"/>
        <item x="397"/>
        <item x="398"/>
        <item x="399"/>
        <item x="400"/>
        <item t="default"/>
      </items>
    </pivotField>
    <pivotField showAll="0"/>
    <pivotField showAll="0"/>
    <pivotField dataField="1" numFmtId="43" showAll="0"/>
    <pivotField numFmtId="43" showAll="0"/>
    <pivotField dataField="1" numFmtId="43" showAll="0"/>
    <pivotField numFmtId="43" showAll="0"/>
    <pivotField numFmtId="43" showAll="0"/>
    <pivotField dataField="1" numFmtId="43" showAll="0"/>
    <pivotField numFmtId="43" showAll="0"/>
    <pivotField dataField="1" numFmtId="43" showAll="0"/>
    <pivotField numFmtId="43" showAll="0"/>
    <pivotField numFmtId="43" showAll="0"/>
    <pivotField dataField="1" numFmtId="43" showAl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5">
    <field x="4"/>
    <field x="6"/>
    <field x="7"/>
    <field x="8"/>
    <field x="15"/>
  </rowFields>
  <rowItems count="27">
    <i>
      <x v="14"/>
    </i>
    <i r="1">
      <x v="1"/>
    </i>
    <i r="2">
      <x v="26"/>
    </i>
    <i r="3">
      <x v="125"/>
    </i>
    <i r="4">
      <x v="26"/>
    </i>
    <i r="4">
      <x v="27"/>
    </i>
    <i r="4">
      <x v="28"/>
    </i>
    <i r="4">
      <x v="99"/>
    </i>
    <i r="3">
      <x v="126"/>
    </i>
    <i r="4">
      <x v="19"/>
    </i>
    <i r="3">
      <x v="127"/>
    </i>
    <i r="4">
      <x v="150"/>
    </i>
    <i r="4">
      <x v="151"/>
    </i>
    <i r="3">
      <x v="128"/>
    </i>
    <i r="4">
      <x v="29"/>
    </i>
    <i r="4">
      <x v="30"/>
    </i>
    <i r="3">
      <x v="129"/>
    </i>
    <i r="4">
      <x v="330"/>
    </i>
    <i r="4">
      <x v="331"/>
    </i>
    <i r="3">
      <x v="130"/>
    </i>
    <i r="4">
      <x v="367"/>
    </i>
    <i r="4">
      <x v="368"/>
    </i>
    <i r="3">
      <x v="131"/>
    </i>
    <i r="4">
      <x v="14"/>
    </i>
    <i r="4">
      <x v="15"/>
    </i>
    <i r="4">
      <x v="16"/>
    </i>
    <i t="grand">
      <x/>
    </i>
  </rowItems>
  <colFields count="1">
    <field x="-2"/>
  </colFields>
  <colItems count="9">
    <i>
      <x/>
    </i>
    <i i="1">
      <x v="1"/>
    </i>
    <i i="2">
      <x v="2"/>
    </i>
    <i i="3">
      <x v="3"/>
    </i>
    <i i="4">
      <x v="4"/>
    </i>
    <i i="5">
      <x v="5"/>
    </i>
    <i i="6">
      <x v="6"/>
    </i>
    <i i="7">
      <x v="7"/>
    </i>
    <i i="8">
      <x v="8"/>
    </i>
  </colItems>
  <pageFields count="1">
    <pageField fld="2" item="14" hier="-1"/>
  </pageFields>
  <dataFields count="9">
    <dataField name="PPTO INICIAL" fld="18" baseField="4" baseItem="0"/>
    <dataField name="PPTO VIGENTE" fld="20" baseField="4" baseItem="0"/>
    <dataField name="COMPROMISOS." fld="23" baseField="4" baseItem="0"/>
    <dataField name="GIROS." fld="25" baseField="4" baseItem="0"/>
    <dataField name="PAGOS " fld="28" baseField="4" baseItem="0"/>
    <dataField name=" SALDO APROPIACIÓN CDP" fld="29" baseField="4" baseItem="0" numFmtId="43"/>
    <dataField name="SALDO APROPIACIÓN RP" fld="30" baseField="4" baseItem="0" numFmtId="43"/>
    <dataField name="Suma de % CDP" fld="31" baseField="0" baseItem="0" numFmtId="43"/>
    <dataField name="Suma de % RP" fld="32" baseField="0" baseItem="0" numFmtId="43"/>
  </dataFields>
  <formats count="325">
    <format dxfId="2582">
      <pivotArea dataOnly="0" labelOnly="1" fieldPosition="0">
        <references count="1">
          <reference field="4" count="0"/>
        </references>
      </pivotArea>
    </format>
    <format dxfId="2581">
      <pivotArea dataOnly="0" labelOnly="1" fieldPosition="0">
        <references count="1">
          <reference field="4" count="1">
            <x v="0"/>
          </reference>
        </references>
      </pivotArea>
    </format>
    <format dxfId="2580">
      <pivotArea dataOnly="0" labelOnly="1" fieldPosition="0">
        <references count="1">
          <reference field="6" count="0"/>
        </references>
      </pivotArea>
    </format>
    <format dxfId="2579">
      <pivotArea dataOnly="0" labelOnly="1" fieldPosition="0">
        <references count="1">
          <reference field="7" count="0"/>
        </references>
      </pivotArea>
    </format>
    <format dxfId="2578">
      <pivotArea dataOnly="0" labelOnly="1" fieldPosition="0">
        <references count="1">
          <reference field="7" count="0"/>
        </references>
      </pivotArea>
    </format>
    <format dxfId="2577">
      <pivotArea dataOnly="0" labelOnly="1" fieldPosition="0">
        <references count="1">
          <reference field="8" count="0"/>
        </references>
      </pivotArea>
    </format>
    <format dxfId="2576">
      <pivotArea outline="0" collapsedLevelsAreSubtotals="1" fieldPosition="0"/>
    </format>
    <format dxfId="2575">
      <pivotArea dataOnly="0" labelOnly="1" outline="0" fieldPosition="0">
        <references count="1">
          <reference field="2" count="0"/>
        </references>
      </pivotArea>
    </format>
    <format dxfId="2574">
      <pivotArea dataOnly="0" labelOnly="1" outline="0" fieldPosition="0">
        <references count="1">
          <reference field="4294967294" count="9">
            <x v="0"/>
            <x v="1"/>
            <x v="2"/>
            <x v="3"/>
            <x v="4"/>
            <x v="5"/>
            <x v="6"/>
            <x v="7"/>
            <x v="8"/>
          </reference>
        </references>
      </pivotArea>
    </format>
    <format dxfId="2573">
      <pivotArea field="2" type="button" dataOnly="0" labelOnly="1" outline="0" axis="axisPage" fieldPosition="0"/>
    </format>
    <format dxfId="2572">
      <pivotArea field="4" type="button" dataOnly="0" labelOnly="1" outline="0" axis="axisRow" fieldPosition="0"/>
    </format>
    <format dxfId="2571">
      <pivotArea dataOnly="0" labelOnly="1" fieldPosition="0">
        <references count="1">
          <reference field="4" count="0"/>
        </references>
      </pivotArea>
    </format>
    <format dxfId="2570">
      <pivotArea dataOnly="0" labelOnly="1" grandRow="1" outline="0" fieldPosition="0"/>
    </format>
    <format dxfId="2569">
      <pivotArea dataOnly="0" labelOnly="1" fieldPosition="0">
        <references count="2">
          <reference field="4" count="1" selected="0">
            <x v="0"/>
          </reference>
          <reference field="6" count="2">
            <x v="0"/>
            <x v="1"/>
          </reference>
        </references>
      </pivotArea>
    </format>
    <format dxfId="2568">
      <pivotArea dataOnly="0" labelOnly="1" fieldPosition="0">
        <references count="2">
          <reference field="4" count="1" selected="0">
            <x v="1"/>
          </reference>
          <reference field="6" count="3">
            <x v="0"/>
            <x v="3"/>
            <x v="4"/>
          </reference>
        </references>
      </pivotArea>
    </format>
    <format dxfId="2567">
      <pivotArea dataOnly="0" labelOnly="1" fieldPosition="0">
        <references count="2">
          <reference field="4" count="1" selected="0">
            <x v="2"/>
          </reference>
          <reference field="6" count="3">
            <x v="2"/>
            <x v="3"/>
            <x v="4"/>
          </reference>
        </references>
      </pivotArea>
    </format>
    <format dxfId="2566">
      <pivotArea dataOnly="0" labelOnly="1" fieldPosition="0">
        <references count="2">
          <reference field="4" count="1" selected="0">
            <x v="3"/>
          </reference>
          <reference field="6" count="1">
            <x v="3"/>
          </reference>
        </references>
      </pivotArea>
    </format>
    <format dxfId="2565">
      <pivotArea dataOnly="0" labelOnly="1" fieldPosition="0">
        <references count="2">
          <reference field="4" count="1" selected="0">
            <x v="4"/>
          </reference>
          <reference field="6" count="4">
            <x v="0"/>
            <x v="1"/>
            <x v="2"/>
            <x v="3"/>
          </reference>
        </references>
      </pivotArea>
    </format>
    <format dxfId="2564">
      <pivotArea dataOnly="0" labelOnly="1" fieldPosition="0">
        <references count="2">
          <reference field="4" count="1" selected="0">
            <x v="5"/>
          </reference>
          <reference field="6" count="2">
            <x v="0"/>
            <x v="4"/>
          </reference>
        </references>
      </pivotArea>
    </format>
    <format dxfId="2563">
      <pivotArea dataOnly="0" labelOnly="1" fieldPosition="0">
        <references count="2">
          <reference field="4" count="1" selected="0">
            <x v="6"/>
          </reference>
          <reference field="6" count="1">
            <x v="1"/>
          </reference>
        </references>
      </pivotArea>
    </format>
    <format dxfId="2562">
      <pivotArea dataOnly="0" labelOnly="1" fieldPosition="0">
        <references count="2">
          <reference field="4" count="1" selected="0">
            <x v="7"/>
          </reference>
          <reference field="6" count="4">
            <x v="0"/>
            <x v="2"/>
            <x v="3"/>
            <x v="4"/>
          </reference>
        </references>
      </pivotArea>
    </format>
    <format dxfId="2561">
      <pivotArea dataOnly="0" labelOnly="1" fieldPosition="0">
        <references count="2">
          <reference field="4" count="1" selected="0">
            <x v="8"/>
          </reference>
          <reference field="6" count="4">
            <x v="0"/>
            <x v="1"/>
            <x v="2"/>
            <x v="3"/>
          </reference>
        </references>
      </pivotArea>
    </format>
    <format dxfId="2560">
      <pivotArea dataOnly="0" labelOnly="1" fieldPosition="0">
        <references count="2">
          <reference field="4" count="1" selected="0">
            <x v="9"/>
          </reference>
          <reference field="6" count="1">
            <x v="1"/>
          </reference>
        </references>
      </pivotArea>
    </format>
    <format dxfId="2559">
      <pivotArea dataOnly="0" labelOnly="1" fieldPosition="0">
        <references count="2">
          <reference field="4" count="1" selected="0">
            <x v="10"/>
          </reference>
          <reference field="6" count="1">
            <x v="3"/>
          </reference>
        </references>
      </pivotArea>
    </format>
    <format dxfId="2558">
      <pivotArea dataOnly="0" labelOnly="1" fieldPosition="0">
        <references count="2">
          <reference field="4" count="1" selected="0">
            <x v="11"/>
          </reference>
          <reference field="6" count="1">
            <x v="0"/>
          </reference>
        </references>
      </pivotArea>
    </format>
    <format dxfId="2557">
      <pivotArea dataOnly="0" labelOnly="1" fieldPosition="0">
        <references count="2">
          <reference field="4" count="1" selected="0">
            <x v="12"/>
          </reference>
          <reference field="6" count="1">
            <x v="0"/>
          </reference>
        </references>
      </pivotArea>
    </format>
    <format dxfId="2556">
      <pivotArea dataOnly="0" labelOnly="1" fieldPosition="0">
        <references count="2">
          <reference field="4" count="1" selected="0">
            <x v="13"/>
          </reference>
          <reference field="6" count="1">
            <x v="3"/>
          </reference>
        </references>
      </pivotArea>
    </format>
    <format dxfId="2555">
      <pivotArea dataOnly="0" labelOnly="1" fieldPosition="0">
        <references count="2">
          <reference field="4" count="1" selected="0">
            <x v="14"/>
          </reference>
          <reference field="6" count="1">
            <x v="1"/>
          </reference>
        </references>
      </pivotArea>
    </format>
    <format dxfId="2554">
      <pivotArea dataOnly="0" labelOnly="1" fieldPosition="0">
        <references count="2">
          <reference field="4" count="1" selected="0">
            <x v="15"/>
          </reference>
          <reference field="6" count="1">
            <x v="0"/>
          </reference>
        </references>
      </pivotArea>
    </format>
    <format dxfId="2553">
      <pivotArea dataOnly="0" labelOnly="1" fieldPosition="0">
        <references count="2">
          <reference field="4" count="1" selected="0">
            <x v="16"/>
          </reference>
          <reference field="6" count="3">
            <x v="1"/>
            <x v="3"/>
            <x v="4"/>
          </reference>
        </references>
      </pivotArea>
    </format>
    <format dxfId="2552">
      <pivotArea dataOnly="0" labelOnly="1" fieldPosition="0">
        <references count="2">
          <reference field="4" count="1" selected="0">
            <x v="17"/>
          </reference>
          <reference field="6" count="1">
            <x v="0"/>
          </reference>
        </references>
      </pivotArea>
    </format>
    <format dxfId="2551">
      <pivotArea dataOnly="0" labelOnly="1" fieldPosition="0">
        <references count="2">
          <reference field="4" count="1" selected="0">
            <x v="18"/>
          </reference>
          <reference field="6" count="1">
            <x v="3"/>
          </reference>
        </references>
      </pivotArea>
    </format>
    <format dxfId="2550">
      <pivotArea dataOnly="0" labelOnly="1" fieldPosition="0">
        <references count="2">
          <reference field="4" count="1" selected="0">
            <x v="19"/>
          </reference>
          <reference field="6" count="1">
            <x v="3"/>
          </reference>
        </references>
      </pivotArea>
    </format>
    <format dxfId="2549">
      <pivotArea dataOnly="0" labelOnly="1" fieldPosition="0">
        <references count="2">
          <reference field="4" count="1" selected="0">
            <x v="20"/>
          </reference>
          <reference field="6" count="1">
            <x v="1"/>
          </reference>
        </references>
      </pivotArea>
    </format>
    <format dxfId="2548">
      <pivotArea dataOnly="0" labelOnly="1" fieldPosition="0">
        <references count="3">
          <reference field="4" count="1" selected="0">
            <x v="0"/>
          </reference>
          <reference field="6" count="1" selected="0">
            <x v="0"/>
          </reference>
          <reference field="7" count="2">
            <x v="17"/>
            <x v="19"/>
          </reference>
        </references>
      </pivotArea>
    </format>
    <format dxfId="2547">
      <pivotArea dataOnly="0" labelOnly="1" fieldPosition="0">
        <references count="3">
          <reference field="4" count="1" selected="0">
            <x v="0"/>
          </reference>
          <reference field="6" count="1" selected="0">
            <x v="1"/>
          </reference>
          <reference field="7" count="2">
            <x v="23"/>
            <x v="26"/>
          </reference>
        </references>
      </pivotArea>
    </format>
    <format dxfId="2546">
      <pivotArea dataOnly="0" labelOnly="1" fieldPosition="0">
        <references count="3">
          <reference field="4" count="1" selected="0">
            <x v="1"/>
          </reference>
          <reference field="6" count="1" selected="0">
            <x v="0"/>
          </reference>
          <reference field="7" count="1">
            <x v="19"/>
          </reference>
        </references>
      </pivotArea>
    </format>
    <format dxfId="2545">
      <pivotArea dataOnly="0" labelOnly="1" fieldPosition="0">
        <references count="3">
          <reference field="4" count="1" selected="0">
            <x v="1"/>
          </reference>
          <reference field="6" count="1" selected="0">
            <x v="3"/>
          </reference>
          <reference field="7" count="3">
            <x v="2"/>
            <x v="3"/>
            <x v="4"/>
          </reference>
        </references>
      </pivotArea>
    </format>
    <format dxfId="2544">
      <pivotArea dataOnly="0" labelOnly="1" fieldPosition="0">
        <references count="3">
          <reference field="4" count="1" selected="0">
            <x v="1"/>
          </reference>
          <reference field="6" count="1" selected="0">
            <x v="4"/>
          </reference>
          <reference field="7" count="1">
            <x v="8"/>
          </reference>
        </references>
      </pivotArea>
    </format>
    <format dxfId="2543">
      <pivotArea dataOnly="0" labelOnly="1" fieldPosition="0">
        <references count="3">
          <reference field="4" count="1" selected="0">
            <x v="2"/>
          </reference>
          <reference field="6" count="1" selected="0">
            <x v="2"/>
          </reference>
          <reference field="7" count="2">
            <x v="29"/>
            <x v="30"/>
          </reference>
        </references>
      </pivotArea>
    </format>
    <format dxfId="2542">
      <pivotArea dataOnly="0" labelOnly="1" fieldPosition="0">
        <references count="3">
          <reference field="4" count="1" selected="0">
            <x v="2"/>
          </reference>
          <reference field="6" count="1" selected="0">
            <x v="3"/>
          </reference>
          <reference field="7" count="2">
            <x v="5"/>
            <x v="7"/>
          </reference>
        </references>
      </pivotArea>
    </format>
    <format dxfId="2541">
      <pivotArea dataOnly="0" labelOnly="1" fieldPosition="0">
        <references count="3">
          <reference field="4" count="1" selected="0">
            <x v="2"/>
          </reference>
          <reference field="6" count="1" selected="0">
            <x v="4"/>
          </reference>
          <reference field="7" count="1">
            <x v="8"/>
          </reference>
        </references>
      </pivotArea>
    </format>
    <format dxfId="2540">
      <pivotArea dataOnly="0" labelOnly="1" fieldPosition="0">
        <references count="3">
          <reference field="4" count="1" selected="0">
            <x v="3"/>
          </reference>
          <reference field="6" count="1" selected="0">
            <x v="3"/>
          </reference>
          <reference field="7" count="1">
            <x v="6"/>
          </reference>
        </references>
      </pivotArea>
    </format>
    <format dxfId="2539">
      <pivotArea dataOnly="0" labelOnly="1" fieldPosition="0">
        <references count="3">
          <reference field="4" count="1" selected="0">
            <x v="4"/>
          </reference>
          <reference field="6" count="1" selected="0">
            <x v="0"/>
          </reference>
          <reference field="7" count="1">
            <x v="21"/>
          </reference>
        </references>
      </pivotArea>
    </format>
    <format dxfId="2538">
      <pivotArea dataOnly="0" labelOnly="1" fieldPosition="0">
        <references count="3">
          <reference field="4" count="1" selected="0">
            <x v="4"/>
          </reference>
          <reference field="6" count="1" selected="0">
            <x v="1"/>
          </reference>
          <reference field="7" count="1">
            <x v="24"/>
          </reference>
        </references>
      </pivotArea>
    </format>
    <format dxfId="2537">
      <pivotArea dataOnly="0" labelOnly="1" fieldPosition="0">
        <references count="3">
          <reference field="4" count="1" selected="0">
            <x v="4"/>
          </reference>
          <reference field="6" count="1" selected="0">
            <x v="2"/>
          </reference>
          <reference field="7" count="2">
            <x v="29"/>
            <x v="31"/>
          </reference>
        </references>
      </pivotArea>
    </format>
    <format dxfId="2536">
      <pivotArea dataOnly="0" labelOnly="1" fieldPosition="0">
        <references count="3">
          <reference field="4" count="1" selected="0">
            <x v="4"/>
          </reference>
          <reference field="6" count="1" selected="0">
            <x v="3"/>
          </reference>
          <reference field="7" count="2">
            <x v="0"/>
            <x v="1"/>
          </reference>
        </references>
      </pivotArea>
    </format>
    <format dxfId="2535">
      <pivotArea dataOnly="0" labelOnly="1" fieldPosition="0">
        <references count="3">
          <reference field="4" count="1" selected="0">
            <x v="5"/>
          </reference>
          <reference field="6" count="1" selected="0">
            <x v="0"/>
          </reference>
          <reference field="7" count="2">
            <x v="18"/>
            <x v="22"/>
          </reference>
        </references>
      </pivotArea>
    </format>
    <format dxfId="2534">
      <pivotArea dataOnly="0" labelOnly="1" fieldPosition="0">
        <references count="3">
          <reference field="4" count="1" selected="0">
            <x v="5"/>
          </reference>
          <reference field="6" count="1" selected="0">
            <x v="4"/>
          </reference>
          <reference field="7" count="1">
            <x v="8"/>
          </reference>
        </references>
      </pivotArea>
    </format>
    <format dxfId="2533">
      <pivotArea dataOnly="0" labelOnly="1" fieldPosition="0">
        <references count="3">
          <reference field="4" count="1" selected="0">
            <x v="6"/>
          </reference>
          <reference field="6" count="1" selected="0">
            <x v="1"/>
          </reference>
          <reference field="7" count="1">
            <x v="24"/>
          </reference>
        </references>
      </pivotArea>
    </format>
    <format dxfId="2532">
      <pivotArea dataOnly="0" labelOnly="1" fieldPosition="0">
        <references count="3">
          <reference field="4" count="1" selected="0">
            <x v="7"/>
          </reference>
          <reference field="6" count="1" selected="0">
            <x v="0"/>
          </reference>
          <reference field="7" count="1">
            <x v="16"/>
          </reference>
        </references>
      </pivotArea>
    </format>
    <format dxfId="2531">
      <pivotArea dataOnly="0" labelOnly="1" fieldPosition="0">
        <references count="3">
          <reference field="4" count="1" selected="0">
            <x v="7"/>
          </reference>
          <reference field="6" count="1" selected="0">
            <x v="2"/>
          </reference>
          <reference field="7" count="2">
            <x v="29"/>
            <x v="30"/>
          </reference>
        </references>
      </pivotArea>
    </format>
    <format dxfId="2530">
      <pivotArea dataOnly="0" labelOnly="1" fieldPosition="0">
        <references count="3">
          <reference field="4" count="1" selected="0">
            <x v="7"/>
          </reference>
          <reference field="6" count="1" selected="0">
            <x v="3"/>
          </reference>
          <reference field="7" count="1">
            <x v="6"/>
          </reference>
        </references>
      </pivotArea>
    </format>
    <format dxfId="2529">
      <pivotArea dataOnly="0" labelOnly="1" fieldPosition="0">
        <references count="3">
          <reference field="4" count="1" selected="0">
            <x v="7"/>
          </reference>
          <reference field="6" count="1" selected="0">
            <x v="4"/>
          </reference>
          <reference field="7" count="8">
            <x v="8"/>
            <x v="9"/>
            <x v="10"/>
            <x v="11"/>
            <x v="12"/>
            <x v="13"/>
            <x v="14"/>
            <x v="15"/>
          </reference>
        </references>
      </pivotArea>
    </format>
    <format dxfId="2528">
      <pivotArea dataOnly="0" labelOnly="1" fieldPosition="0">
        <references count="3">
          <reference field="4" count="1" selected="0">
            <x v="8"/>
          </reference>
          <reference field="6" count="1" selected="0">
            <x v="0"/>
          </reference>
          <reference field="7" count="2">
            <x v="18"/>
            <x v="22"/>
          </reference>
        </references>
      </pivotArea>
    </format>
    <format dxfId="2527">
      <pivotArea dataOnly="0" labelOnly="1" fieldPosition="0">
        <references count="3">
          <reference field="4" count="1" selected="0">
            <x v="8"/>
          </reference>
          <reference field="6" count="1" selected="0">
            <x v="1"/>
          </reference>
          <reference field="7" count="1">
            <x v="28"/>
          </reference>
        </references>
      </pivotArea>
    </format>
    <format dxfId="2526">
      <pivotArea dataOnly="0" labelOnly="1" fieldPosition="0">
        <references count="3">
          <reference field="4" count="1" selected="0">
            <x v="8"/>
          </reference>
          <reference field="6" count="1" selected="0">
            <x v="2"/>
          </reference>
          <reference field="7" count="1">
            <x v="32"/>
          </reference>
        </references>
      </pivotArea>
    </format>
    <format dxfId="2525">
      <pivotArea dataOnly="0" labelOnly="1" fieldPosition="0">
        <references count="3">
          <reference field="4" count="1" selected="0">
            <x v="8"/>
          </reference>
          <reference field="6" count="1" selected="0">
            <x v="3"/>
          </reference>
          <reference field="7" count="1">
            <x v="6"/>
          </reference>
        </references>
      </pivotArea>
    </format>
    <format dxfId="2524">
      <pivotArea dataOnly="0" labelOnly="1" fieldPosition="0">
        <references count="3">
          <reference field="4" count="1" selected="0">
            <x v="9"/>
          </reference>
          <reference field="6" count="1" selected="0">
            <x v="1"/>
          </reference>
          <reference field="7" count="1">
            <x v="25"/>
          </reference>
        </references>
      </pivotArea>
    </format>
    <format dxfId="2523">
      <pivotArea dataOnly="0" labelOnly="1" fieldPosition="0">
        <references count="3">
          <reference field="4" count="1" selected="0">
            <x v="10"/>
          </reference>
          <reference field="6" count="1" selected="0">
            <x v="3"/>
          </reference>
          <reference field="7" count="1">
            <x v="6"/>
          </reference>
        </references>
      </pivotArea>
    </format>
    <format dxfId="2522">
      <pivotArea dataOnly="0" labelOnly="1" fieldPosition="0">
        <references count="3">
          <reference field="4" count="1" selected="0">
            <x v="11"/>
          </reference>
          <reference field="6" count="1" selected="0">
            <x v="0"/>
          </reference>
          <reference field="7" count="1">
            <x v="17"/>
          </reference>
        </references>
      </pivotArea>
    </format>
    <format dxfId="2521">
      <pivotArea dataOnly="0" labelOnly="1" fieldPosition="0">
        <references count="3">
          <reference field="4" count="1" selected="0">
            <x v="12"/>
          </reference>
          <reference field="6" count="1" selected="0">
            <x v="0"/>
          </reference>
          <reference field="7" count="1">
            <x v="18"/>
          </reference>
        </references>
      </pivotArea>
    </format>
    <format dxfId="2520">
      <pivotArea dataOnly="0" labelOnly="1" fieldPosition="0">
        <references count="3">
          <reference field="4" count="1" selected="0">
            <x v="13"/>
          </reference>
          <reference field="6" count="1" selected="0">
            <x v="3"/>
          </reference>
          <reference field="7" count="2">
            <x v="1"/>
            <x v="5"/>
          </reference>
        </references>
      </pivotArea>
    </format>
    <format dxfId="2519">
      <pivotArea dataOnly="0" labelOnly="1" fieldPosition="0">
        <references count="3">
          <reference field="4" count="1" selected="0">
            <x v="14"/>
          </reference>
          <reference field="6" count="1" selected="0">
            <x v="1"/>
          </reference>
          <reference field="7" count="1">
            <x v="26"/>
          </reference>
        </references>
      </pivotArea>
    </format>
    <format dxfId="2518">
      <pivotArea dataOnly="0" labelOnly="1" fieldPosition="0">
        <references count="3">
          <reference field="4" count="1" selected="0">
            <x v="15"/>
          </reference>
          <reference field="6" count="1" selected="0">
            <x v="0"/>
          </reference>
          <reference field="7" count="1">
            <x v="20"/>
          </reference>
        </references>
      </pivotArea>
    </format>
    <format dxfId="2517">
      <pivotArea dataOnly="0" labelOnly="1" fieldPosition="0">
        <references count="3">
          <reference field="4" count="1" selected="0">
            <x v="16"/>
          </reference>
          <reference field="6" count="1" selected="0">
            <x v="1"/>
          </reference>
          <reference field="7" count="1">
            <x v="27"/>
          </reference>
        </references>
      </pivotArea>
    </format>
    <format dxfId="2516">
      <pivotArea dataOnly="0" labelOnly="1" fieldPosition="0">
        <references count="3">
          <reference field="4" count="1" selected="0">
            <x v="16"/>
          </reference>
          <reference field="6" count="1" selected="0">
            <x v="3"/>
          </reference>
          <reference field="7" count="1">
            <x v="1"/>
          </reference>
        </references>
      </pivotArea>
    </format>
    <format dxfId="2515">
      <pivotArea dataOnly="0" labelOnly="1" fieldPosition="0">
        <references count="3">
          <reference field="4" count="1" selected="0">
            <x v="16"/>
          </reference>
          <reference field="6" count="1" selected="0">
            <x v="4"/>
          </reference>
          <reference field="7" count="2">
            <x v="8"/>
            <x v="11"/>
          </reference>
        </references>
      </pivotArea>
    </format>
    <format dxfId="2514">
      <pivotArea dataOnly="0" labelOnly="1" fieldPosition="0">
        <references count="3">
          <reference field="4" count="1" selected="0">
            <x v="17"/>
          </reference>
          <reference field="6" count="1" selected="0">
            <x v="0"/>
          </reference>
          <reference field="7" count="2">
            <x v="16"/>
            <x v="22"/>
          </reference>
        </references>
      </pivotArea>
    </format>
    <format dxfId="2513">
      <pivotArea dataOnly="0" labelOnly="1" fieldPosition="0">
        <references count="3">
          <reference field="4" count="1" selected="0">
            <x v="18"/>
          </reference>
          <reference field="6" count="1" selected="0">
            <x v="3"/>
          </reference>
          <reference field="7" count="1">
            <x v="2"/>
          </reference>
        </references>
      </pivotArea>
    </format>
    <format dxfId="2512">
      <pivotArea dataOnly="0" labelOnly="1" fieldPosition="0">
        <references count="3">
          <reference field="4" count="1" selected="0">
            <x v="19"/>
          </reference>
          <reference field="6" count="1" selected="0">
            <x v="3"/>
          </reference>
          <reference field="7" count="1">
            <x v="6"/>
          </reference>
        </references>
      </pivotArea>
    </format>
    <format dxfId="2511">
      <pivotArea dataOnly="0" labelOnly="1" fieldPosition="0">
        <references count="3">
          <reference field="4" count="1" selected="0">
            <x v="20"/>
          </reference>
          <reference field="6" count="1" selected="0">
            <x v="1"/>
          </reference>
          <reference field="7" count="1">
            <x v="24"/>
          </reference>
        </references>
      </pivotArea>
    </format>
    <format dxfId="2510">
      <pivotArea dataOnly="0" labelOnly="1" fieldPosition="0">
        <references count="4">
          <reference field="4" count="1" selected="0">
            <x v="0"/>
          </reference>
          <reference field="6" count="1" selected="0">
            <x v="0"/>
          </reference>
          <reference field="7" count="1" selected="0">
            <x v="17"/>
          </reference>
          <reference field="8" count="5">
            <x v="65"/>
            <x v="66"/>
            <x v="67"/>
            <x v="68"/>
            <x v="69"/>
          </reference>
        </references>
      </pivotArea>
    </format>
    <format dxfId="2509">
      <pivotArea dataOnly="0" labelOnly="1" fieldPosition="0">
        <references count="4">
          <reference field="4" count="1" selected="0">
            <x v="0"/>
          </reference>
          <reference field="6" count="1" selected="0">
            <x v="0"/>
          </reference>
          <reference field="7" count="1" selected="0">
            <x v="19"/>
          </reference>
          <reference field="8" count="3">
            <x v="78"/>
            <x v="79"/>
            <x v="80"/>
          </reference>
        </references>
      </pivotArea>
    </format>
    <format dxfId="2508">
      <pivotArea dataOnly="0" labelOnly="1" fieldPosition="0">
        <references count="4">
          <reference field="4" count="1" selected="0">
            <x v="0"/>
          </reference>
          <reference field="6" count="1" selected="0">
            <x v="1"/>
          </reference>
          <reference field="7" count="1" selected="0">
            <x v="23"/>
          </reference>
          <reference field="8" count="10">
            <x v="95"/>
            <x v="96"/>
            <x v="97"/>
            <x v="98"/>
            <x v="99"/>
            <x v="100"/>
            <x v="101"/>
            <x v="102"/>
            <x v="103"/>
            <x v="104"/>
          </reference>
        </references>
      </pivotArea>
    </format>
    <format dxfId="2507">
      <pivotArea dataOnly="0" labelOnly="1" fieldPosition="0">
        <references count="4">
          <reference field="4" count="1" selected="0">
            <x v="0"/>
          </reference>
          <reference field="6" count="1" selected="0">
            <x v="1"/>
          </reference>
          <reference field="7" count="1" selected="0">
            <x v="26"/>
          </reference>
          <reference field="8" count="1">
            <x v="131"/>
          </reference>
        </references>
      </pivotArea>
    </format>
    <format dxfId="2506">
      <pivotArea dataOnly="0" labelOnly="1" fieldPosition="0">
        <references count="4">
          <reference field="4" count="1" selected="0">
            <x v="1"/>
          </reference>
          <reference field="6" count="1" selected="0">
            <x v="0"/>
          </reference>
          <reference field="7" count="1" selected="0">
            <x v="19"/>
          </reference>
          <reference field="8" count="1">
            <x v="81"/>
          </reference>
        </references>
      </pivotArea>
    </format>
    <format dxfId="2505">
      <pivotArea dataOnly="0" labelOnly="1" fieldPosition="0">
        <references count="4">
          <reference field="4" count="1" selected="0">
            <x v="1"/>
          </reference>
          <reference field="6" count="1" selected="0">
            <x v="3"/>
          </reference>
          <reference field="7" count="1" selected="0">
            <x v="2"/>
          </reference>
          <reference field="8" count="7">
            <x v="7"/>
            <x v="10"/>
            <x v="11"/>
            <x v="12"/>
            <x v="13"/>
            <x v="14"/>
            <x v="15"/>
          </reference>
        </references>
      </pivotArea>
    </format>
    <format dxfId="2504">
      <pivotArea dataOnly="0" labelOnly="1" fieldPosition="0">
        <references count="4">
          <reference field="4" count="1" selected="0">
            <x v="1"/>
          </reference>
          <reference field="6" count="1" selected="0">
            <x v="3"/>
          </reference>
          <reference field="7" count="1" selected="0">
            <x v="3"/>
          </reference>
          <reference field="8" count="2">
            <x v="18"/>
            <x v="19"/>
          </reference>
        </references>
      </pivotArea>
    </format>
    <format dxfId="2503">
      <pivotArea dataOnly="0" labelOnly="1" fieldPosition="0">
        <references count="4">
          <reference field="4" count="1" selected="0">
            <x v="1"/>
          </reference>
          <reference field="6" count="1" selected="0">
            <x v="3"/>
          </reference>
          <reference field="7" count="1" selected="0">
            <x v="4"/>
          </reference>
          <reference field="8" count="2">
            <x v="20"/>
            <x v="21"/>
          </reference>
        </references>
      </pivotArea>
    </format>
    <format dxfId="2502">
      <pivotArea dataOnly="0" labelOnly="1" fieldPosition="0">
        <references count="4">
          <reference field="4" count="1" selected="0">
            <x v="1"/>
          </reference>
          <reference field="6" count="1" selected="0">
            <x v="4"/>
          </reference>
          <reference field="7" count="1" selected="0">
            <x v="8"/>
          </reference>
          <reference field="8" count="3">
            <x v="33"/>
            <x v="34"/>
            <x v="39"/>
          </reference>
        </references>
      </pivotArea>
    </format>
    <format dxfId="2501">
      <pivotArea dataOnly="0" labelOnly="1" fieldPosition="0">
        <references count="4">
          <reference field="4" count="1" selected="0">
            <x v="2"/>
          </reference>
          <reference field="6" count="1" selected="0">
            <x v="2"/>
          </reference>
          <reference field="7" count="1" selected="0">
            <x v="29"/>
          </reference>
          <reference field="8" count="6">
            <x v="145"/>
            <x v="146"/>
            <x v="147"/>
            <x v="148"/>
            <x v="149"/>
            <x v="150"/>
          </reference>
        </references>
      </pivotArea>
    </format>
    <format dxfId="2500">
      <pivotArea dataOnly="0" labelOnly="1" fieldPosition="0">
        <references count="4">
          <reference field="4" count="1" selected="0">
            <x v="2"/>
          </reference>
          <reference field="6" count="1" selected="0">
            <x v="2"/>
          </reference>
          <reference field="7" count="1" selected="0">
            <x v="30"/>
          </reference>
          <reference field="8" count="2">
            <x v="152"/>
            <x v="153"/>
          </reference>
        </references>
      </pivotArea>
    </format>
    <format dxfId="2499">
      <pivotArea dataOnly="0" labelOnly="1" fieldPosition="0">
        <references count="4">
          <reference field="4" count="1" selected="0">
            <x v="2"/>
          </reference>
          <reference field="6" count="1" selected="0">
            <x v="3"/>
          </reference>
          <reference field="7" count="1" selected="0">
            <x v="5"/>
          </reference>
          <reference field="8" count="1">
            <x v="24"/>
          </reference>
        </references>
      </pivotArea>
    </format>
    <format dxfId="2498">
      <pivotArea dataOnly="0" labelOnly="1" fieldPosition="0">
        <references count="4">
          <reference field="4" count="1" selected="0">
            <x v="2"/>
          </reference>
          <reference field="6" count="1" selected="0">
            <x v="3"/>
          </reference>
          <reference field="7" count="1" selected="0">
            <x v="7"/>
          </reference>
          <reference field="8" count="2">
            <x v="31"/>
            <x v="32"/>
          </reference>
        </references>
      </pivotArea>
    </format>
    <format dxfId="2497">
      <pivotArea dataOnly="0" labelOnly="1" fieldPosition="0">
        <references count="4">
          <reference field="4" count="1" selected="0">
            <x v="2"/>
          </reference>
          <reference field="6" count="1" selected="0">
            <x v="4"/>
          </reference>
          <reference field="7" count="1" selected="0">
            <x v="8"/>
          </reference>
          <reference field="8" count="2">
            <x v="36"/>
            <x v="39"/>
          </reference>
        </references>
      </pivotArea>
    </format>
    <format dxfId="2496">
      <pivotArea dataOnly="0" labelOnly="1" fieldPosition="0">
        <references count="4">
          <reference field="4" count="1" selected="0">
            <x v="3"/>
          </reference>
          <reference field="6" count="1" selected="0">
            <x v="3"/>
          </reference>
          <reference field="7" count="1" selected="0">
            <x v="6"/>
          </reference>
          <reference field="8" count="1">
            <x v="29"/>
          </reference>
        </references>
      </pivotArea>
    </format>
    <format dxfId="2495">
      <pivotArea dataOnly="0" labelOnly="1" fieldPosition="0">
        <references count="4">
          <reference field="4" count="1" selected="0">
            <x v="4"/>
          </reference>
          <reference field="6" count="1" selected="0">
            <x v="0"/>
          </reference>
          <reference field="7" count="1" selected="0">
            <x v="21"/>
          </reference>
          <reference field="8" count="5">
            <x v="87"/>
            <x v="88"/>
            <x v="89"/>
            <x v="90"/>
            <x v="91"/>
          </reference>
        </references>
      </pivotArea>
    </format>
    <format dxfId="2494">
      <pivotArea dataOnly="0" labelOnly="1" fieldPosition="0">
        <references count="4">
          <reference field="4" count="1" selected="0">
            <x v="4"/>
          </reference>
          <reference field="6" count="1" selected="0">
            <x v="1"/>
          </reference>
          <reference field="7" count="1" selected="0">
            <x v="24"/>
          </reference>
          <reference field="8" count="1">
            <x v="114"/>
          </reference>
        </references>
      </pivotArea>
    </format>
    <format dxfId="2493">
      <pivotArea dataOnly="0" labelOnly="1" fieldPosition="0">
        <references count="4">
          <reference field="4" count="1" selected="0">
            <x v="4"/>
          </reference>
          <reference field="6" count="1" selected="0">
            <x v="2"/>
          </reference>
          <reference field="7" count="1" selected="0">
            <x v="29"/>
          </reference>
          <reference field="8" count="3">
            <x v="142"/>
            <x v="143"/>
            <x v="151"/>
          </reference>
        </references>
      </pivotArea>
    </format>
    <format dxfId="2492">
      <pivotArea dataOnly="0" labelOnly="1" fieldPosition="0">
        <references count="4">
          <reference field="4" count="1" selected="0">
            <x v="4"/>
          </reference>
          <reference field="6" count="1" selected="0">
            <x v="2"/>
          </reference>
          <reference field="7" count="1" selected="0">
            <x v="31"/>
          </reference>
          <reference field="8" count="3">
            <x v="155"/>
            <x v="156"/>
            <x v="157"/>
          </reference>
        </references>
      </pivotArea>
    </format>
    <format dxfId="2491">
      <pivotArea dataOnly="0" labelOnly="1" fieldPosition="0">
        <references count="4">
          <reference field="4" count="1" selected="0">
            <x v="4"/>
          </reference>
          <reference field="6" count="1" selected="0">
            <x v="3"/>
          </reference>
          <reference field="7" count="1" selected="0">
            <x v="0"/>
          </reference>
          <reference field="8" count="2">
            <x v="0"/>
            <x v="1"/>
          </reference>
        </references>
      </pivotArea>
    </format>
    <format dxfId="2490">
      <pivotArea dataOnly="0" labelOnly="1" fieldPosition="0">
        <references count="4">
          <reference field="4" count="1" selected="0">
            <x v="4"/>
          </reference>
          <reference field="6" count="1" selected="0">
            <x v="3"/>
          </reference>
          <reference field="7" count="1" selected="0">
            <x v="1"/>
          </reference>
          <reference field="8" count="4">
            <x v="2"/>
            <x v="3"/>
            <x v="4"/>
            <x v="5"/>
          </reference>
        </references>
      </pivotArea>
    </format>
    <format dxfId="2489">
      <pivotArea dataOnly="0" labelOnly="1" fieldPosition="0">
        <references count="4">
          <reference field="4" count="1" selected="0">
            <x v="5"/>
          </reference>
          <reference field="6" count="1" selected="0">
            <x v="0"/>
          </reference>
          <reference field="7" count="1" selected="0">
            <x v="18"/>
          </reference>
          <reference field="8" count="3">
            <x v="73"/>
            <x v="74"/>
            <x v="77"/>
          </reference>
        </references>
      </pivotArea>
    </format>
    <format dxfId="2488">
      <pivotArea dataOnly="0" labelOnly="1" fieldPosition="0">
        <references count="4">
          <reference field="4" count="1" selected="0">
            <x v="5"/>
          </reference>
          <reference field="6" count="1" selected="0">
            <x v="0"/>
          </reference>
          <reference field="7" count="1" selected="0">
            <x v="22"/>
          </reference>
          <reference field="8" count="1">
            <x v="94"/>
          </reference>
        </references>
      </pivotArea>
    </format>
    <format dxfId="2487">
      <pivotArea dataOnly="0" labelOnly="1" fieldPosition="0">
        <references count="4">
          <reference field="4" count="1" selected="0">
            <x v="5"/>
          </reference>
          <reference field="6" count="1" selected="0">
            <x v="4"/>
          </reference>
          <reference field="7" count="1" selected="0">
            <x v="8"/>
          </reference>
          <reference field="8" count="1">
            <x v="37"/>
          </reference>
        </references>
      </pivotArea>
    </format>
    <format dxfId="2486">
      <pivotArea dataOnly="0" labelOnly="1" fieldPosition="0">
        <references count="4">
          <reference field="4" count="1" selected="0">
            <x v="6"/>
          </reference>
          <reference field="6" count="1" selected="0">
            <x v="1"/>
          </reference>
          <reference field="7" count="1" selected="0">
            <x v="24"/>
          </reference>
          <reference field="8" count="8">
            <x v="105"/>
            <x v="107"/>
            <x v="108"/>
            <x v="109"/>
            <x v="110"/>
            <x v="111"/>
            <x v="112"/>
            <x v="113"/>
          </reference>
        </references>
      </pivotArea>
    </format>
    <format dxfId="2485">
      <pivotArea dataOnly="0" labelOnly="1" fieldPosition="0">
        <references count="4">
          <reference field="4" count="1" selected="0">
            <x v="7"/>
          </reference>
          <reference field="6" count="1" selected="0">
            <x v="0"/>
          </reference>
          <reference field="7" count="1" selected="0">
            <x v="16"/>
          </reference>
          <reference field="8" count="1">
            <x v="64"/>
          </reference>
        </references>
      </pivotArea>
    </format>
    <format dxfId="2484">
      <pivotArea dataOnly="0" labelOnly="1" fieldPosition="0">
        <references count="4">
          <reference field="4" count="1" selected="0">
            <x v="7"/>
          </reference>
          <reference field="6" count="1" selected="0">
            <x v="2"/>
          </reference>
          <reference field="7" count="1" selected="0">
            <x v="29"/>
          </reference>
          <reference field="8" count="4">
            <x v="140"/>
            <x v="141"/>
            <x v="144"/>
            <x v="145"/>
          </reference>
        </references>
      </pivotArea>
    </format>
    <format dxfId="2483">
      <pivotArea dataOnly="0" labelOnly="1" fieldPosition="0">
        <references count="4">
          <reference field="4" count="1" selected="0">
            <x v="7"/>
          </reference>
          <reference field="6" count="1" selected="0">
            <x v="2"/>
          </reference>
          <reference field="7" count="1" selected="0">
            <x v="30"/>
          </reference>
          <reference field="8" count="1">
            <x v="154"/>
          </reference>
        </references>
      </pivotArea>
    </format>
    <format dxfId="2482">
      <pivotArea dataOnly="0" labelOnly="1" fieldPosition="0">
        <references count="4">
          <reference field="4" count="1" selected="0">
            <x v="7"/>
          </reference>
          <reference field="6" count="1" selected="0">
            <x v="3"/>
          </reference>
          <reference field="7" count="1" selected="0">
            <x v="6"/>
          </reference>
          <reference field="8" count="1">
            <x v="28"/>
          </reference>
        </references>
      </pivotArea>
    </format>
    <format dxfId="2481">
      <pivotArea dataOnly="0" labelOnly="1" fieldPosition="0">
        <references count="4">
          <reference field="4" count="1" selected="0">
            <x v="7"/>
          </reference>
          <reference field="6" count="1" selected="0">
            <x v="4"/>
          </reference>
          <reference field="7" count="1" selected="0">
            <x v="8"/>
          </reference>
          <reference field="8" count="2">
            <x v="35"/>
            <x v="36"/>
          </reference>
        </references>
      </pivotArea>
    </format>
    <format dxfId="2480">
      <pivotArea dataOnly="0" labelOnly="1" fieldPosition="0">
        <references count="4">
          <reference field="4" count="1" selected="0">
            <x v="7"/>
          </reference>
          <reference field="6" count="1" selected="0">
            <x v="4"/>
          </reference>
          <reference field="7" count="1" selected="0">
            <x v="9"/>
          </reference>
          <reference field="8" count="4">
            <x v="40"/>
            <x v="41"/>
            <x v="42"/>
            <x v="43"/>
          </reference>
        </references>
      </pivotArea>
    </format>
    <format dxfId="2479">
      <pivotArea dataOnly="0" labelOnly="1" fieldPosition="0">
        <references count="4">
          <reference field="4" count="1" selected="0">
            <x v="7"/>
          </reference>
          <reference field="6" count="1" selected="0">
            <x v="4"/>
          </reference>
          <reference field="7" count="1" selected="0">
            <x v="10"/>
          </reference>
          <reference field="8" count="4">
            <x v="44"/>
            <x v="45"/>
            <x v="46"/>
            <x v="47"/>
          </reference>
        </references>
      </pivotArea>
    </format>
    <format dxfId="2478">
      <pivotArea dataOnly="0" labelOnly="1" fieldPosition="0">
        <references count="4">
          <reference field="4" count="1" selected="0">
            <x v="7"/>
          </reference>
          <reference field="6" count="1" selected="0">
            <x v="4"/>
          </reference>
          <reference field="7" count="1" selected="0">
            <x v="11"/>
          </reference>
          <reference field="8" count="2">
            <x v="48"/>
            <x v="49"/>
          </reference>
        </references>
      </pivotArea>
    </format>
    <format dxfId="2477">
      <pivotArea dataOnly="0" labelOnly="1" fieldPosition="0">
        <references count="4">
          <reference field="4" count="1" selected="0">
            <x v="7"/>
          </reference>
          <reference field="6" count="1" selected="0">
            <x v="4"/>
          </reference>
          <reference field="7" count="1" selected="0">
            <x v="12"/>
          </reference>
          <reference field="8" count="1">
            <x v="50"/>
          </reference>
        </references>
      </pivotArea>
    </format>
    <format dxfId="2476">
      <pivotArea dataOnly="0" labelOnly="1" fieldPosition="0">
        <references count="4">
          <reference field="4" count="1" selected="0">
            <x v="7"/>
          </reference>
          <reference field="6" count="1" selected="0">
            <x v="4"/>
          </reference>
          <reference field="7" count="1" selected="0">
            <x v="13"/>
          </reference>
          <reference field="8" count="3">
            <x v="51"/>
            <x v="52"/>
            <x v="53"/>
          </reference>
        </references>
      </pivotArea>
    </format>
    <format dxfId="2475">
      <pivotArea dataOnly="0" labelOnly="1" fieldPosition="0">
        <references count="4">
          <reference field="4" count="1" selected="0">
            <x v="7"/>
          </reference>
          <reference field="6" count="1" selected="0">
            <x v="4"/>
          </reference>
          <reference field="7" count="1" selected="0">
            <x v="14"/>
          </reference>
          <reference field="8" count="2">
            <x v="54"/>
            <x v="55"/>
          </reference>
        </references>
      </pivotArea>
    </format>
    <format dxfId="2474">
      <pivotArea dataOnly="0" labelOnly="1" fieldPosition="0">
        <references count="4">
          <reference field="4" count="1" selected="0">
            <x v="7"/>
          </reference>
          <reference field="6" count="1" selected="0">
            <x v="4"/>
          </reference>
          <reference field="7" count="1" selected="0">
            <x v="15"/>
          </reference>
          <reference field="8" count="1">
            <x v="56"/>
          </reference>
        </references>
      </pivotArea>
    </format>
    <format dxfId="2473">
      <pivotArea dataOnly="0" labelOnly="1" fieldPosition="0">
        <references count="4">
          <reference field="4" count="1" selected="0">
            <x v="8"/>
          </reference>
          <reference field="6" count="1" selected="0">
            <x v="0"/>
          </reference>
          <reference field="7" count="1" selected="0">
            <x v="18"/>
          </reference>
          <reference field="8" count="1">
            <x v="77"/>
          </reference>
        </references>
      </pivotArea>
    </format>
    <format dxfId="2472">
      <pivotArea dataOnly="0" labelOnly="1" fieldPosition="0">
        <references count="4">
          <reference field="4" count="1" selected="0">
            <x v="8"/>
          </reference>
          <reference field="6" count="1" selected="0">
            <x v="0"/>
          </reference>
          <reference field="7" count="1" selected="0">
            <x v="22"/>
          </reference>
          <reference field="8" count="3">
            <x v="92"/>
            <x v="93"/>
            <x v="94"/>
          </reference>
        </references>
      </pivotArea>
    </format>
    <format dxfId="2471">
      <pivotArea dataOnly="0" labelOnly="1" fieldPosition="0">
        <references count="4">
          <reference field="4" count="1" selected="0">
            <x v="8"/>
          </reference>
          <reference field="6" count="1" selected="0">
            <x v="1"/>
          </reference>
          <reference field="7" count="1" selected="0">
            <x v="28"/>
          </reference>
          <reference field="8" count="2">
            <x v="138"/>
            <x v="139"/>
          </reference>
        </references>
      </pivotArea>
    </format>
    <format dxfId="2470">
      <pivotArea dataOnly="0" labelOnly="1" fieldPosition="0">
        <references count="4">
          <reference field="4" count="1" selected="0">
            <x v="8"/>
          </reference>
          <reference field="6" count="1" selected="0">
            <x v="2"/>
          </reference>
          <reference field="7" count="1" selected="0">
            <x v="32"/>
          </reference>
          <reference field="8" count="2">
            <x v="158"/>
            <x v="159"/>
          </reference>
        </references>
      </pivotArea>
    </format>
    <format dxfId="2469">
      <pivotArea dataOnly="0" labelOnly="1" fieldPosition="0">
        <references count="4">
          <reference field="4" count="1" selected="0">
            <x v="8"/>
          </reference>
          <reference field="6" count="1" selected="0">
            <x v="3"/>
          </reference>
          <reference field="7" count="1" selected="0">
            <x v="6"/>
          </reference>
          <reference field="8" count="2">
            <x v="29"/>
            <x v="30"/>
          </reference>
        </references>
      </pivotArea>
    </format>
    <format dxfId="2468">
      <pivotArea dataOnly="0" labelOnly="1" fieldPosition="0">
        <references count="4">
          <reference field="4" count="1" selected="0">
            <x v="9"/>
          </reference>
          <reference field="6" count="1" selected="0">
            <x v="1"/>
          </reference>
          <reference field="7" count="1" selected="0">
            <x v="25"/>
          </reference>
          <reference field="8" count="10">
            <x v="115"/>
            <x v="116"/>
            <x v="117"/>
            <x v="118"/>
            <x v="119"/>
            <x v="120"/>
            <x v="121"/>
            <x v="122"/>
            <x v="123"/>
            <x v="124"/>
          </reference>
        </references>
      </pivotArea>
    </format>
    <format dxfId="2467">
      <pivotArea dataOnly="0" labelOnly="1" fieldPosition="0">
        <references count="4">
          <reference field="4" count="1" selected="0">
            <x v="10"/>
          </reference>
          <reference field="6" count="1" selected="0">
            <x v="3"/>
          </reference>
          <reference field="7" count="1" selected="0">
            <x v="6"/>
          </reference>
          <reference field="8" count="1">
            <x v="29"/>
          </reference>
        </references>
      </pivotArea>
    </format>
    <format dxfId="2466">
      <pivotArea dataOnly="0" labelOnly="1" fieldPosition="0">
        <references count="4">
          <reference field="4" count="1" selected="0">
            <x v="11"/>
          </reference>
          <reference field="6" count="1" selected="0">
            <x v="0"/>
          </reference>
          <reference field="7" count="1" selected="0">
            <x v="17"/>
          </reference>
          <reference field="8" count="3">
            <x v="70"/>
            <x v="71"/>
            <x v="72"/>
          </reference>
        </references>
      </pivotArea>
    </format>
    <format dxfId="2465">
      <pivotArea dataOnly="0" labelOnly="1" fieldPosition="0">
        <references count="4">
          <reference field="4" count="1" selected="0">
            <x v="12"/>
          </reference>
          <reference field="6" count="1" selected="0">
            <x v="0"/>
          </reference>
          <reference field="7" count="1" selected="0">
            <x v="18"/>
          </reference>
          <reference field="8" count="3">
            <x v="74"/>
            <x v="75"/>
            <x v="76"/>
          </reference>
        </references>
      </pivotArea>
    </format>
    <format dxfId="2464">
      <pivotArea dataOnly="0" labelOnly="1" fieldPosition="0">
        <references count="4">
          <reference field="4" count="1" selected="0">
            <x v="13"/>
          </reference>
          <reference field="6" count="1" selected="0">
            <x v="3"/>
          </reference>
          <reference field="7" count="1" selected="0">
            <x v="1"/>
          </reference>
          <reference field="8" count="1">
            <x v="6"/>
          </reference>
        </references>
      </pivotArea>
    </format>
    <format dxfId="2463">
      <pivotArea dataOnly="0" labelOnly="1" fieldPosition="0">
        <references count="4">
          <reference field="4" count="1" selected="0">
            <x v="13"/>
          </reference>
          <reference field="6" count="1" selected="0">
            <x v="3"/>
          </reference>
          <reference field="7" count="1" selected="0">
            <x v="5"/>
          </reference>
          <reference field="8" count="6">
            <x v="22"/>
            <x v="23"/>
            <x v="24"/>
            <x v="25"/>
            <x v="26"/>
            <x v="27"/>
          </reference>
        </references>
      </pivotArea>
    </format>
    <format dxfId="2462">
      <pivotArea dataOnly="0" labelOnly="1" fieldPosition="0">
        <references count="4">
          <reference field="4" count="1" selected="0">
            <x v="14"/>
          </reference>
          <reference field="6" count="1" selected="0">
            <x v="1"/>
          </reference>
          <reference field="7" count="1" selected="0">
            <x v="26"/>
          </reference>
          <reference field="8" count="7">
            <x v="125"/>
            <x v="126"/>
            <x v="127"/>
            <x v="128"/>
            <x v="129"/>
            <x v="130"/>
            <x v="131"/>
          </reference>
        </references>
      </pivotArea>
    </format>
    <format dxfId="2461">
      <pivotArea dataOnly="0" labelOnly="1" fieldPosition="0">
        <references count="4">
          <reference field="4" count="1" selected="0">
            <x v="15"/>
          </reference>
          <reference field="6" count="1" selected="0">
            <x v="0"/>
          </reference>
          <reference field="7" count="1" selected="0">
            <x v="20"/>
          </reference>
          <reference field="8" count="5">
            <x v="82"/>
            <x v="83"/>
            <x v="84"/>
            <x v="85"/>
            <x v="86"/>
          </reference>
        </references>
      </pivotArea>
    </format>
    <format dxfId="2460">
      <pivotArea dataOnly="0" labelOnly="1" fieldPosition="0">
        <references count="4">
          <reference field="4" count="1" selected="0">
            <x v="16"/>
          </reference>
          <reference field="6" count="1" selected="0">
            <x v="1"/>
          </reference>
          <reference field="7" count="1" selected="0">
            <x v="27"/>
          </reference>
          <reference field="8" count="6">
            <x v="132"/>
            <x v="133"/>
            <x v="134"/>
            <x v="135"/>
            <x v="136"/>
            <x v="137"/>
          </reference>
        </references>
      </pivotArea>
    </format>
    <format dxfId="2459">
      <pivotArea dataOnly="0" labelOnly="1" fieldPosition="0">
        <references count="4">
          <reference field="4" count="1" selected="0">
            <x v="16"/>
          </reference>
          <reference field="6" count="1" selected="0">
            <x v="3"/>
          </reference>
          <reference field="7" count="1" selected="0">
            <x v="1"/>
          </reference>
          <reference field="8" count="1">
            <x v="6"/>
          </reference>
        </references>
      </pivotArea>
    </format>
    <format dxfId="2458">
      <pivotArea dataOnly="0" labelOnly="1" fieldPosition="0">
        <references count="4">
          <reference field="4" count="1" selected="0">
            <x v="16"/>
          </reference>
          <reference field="6" count="1" selected="0">
            <x v="4"/>
          </reference>
          <reference field="7" count="1" selected="0">
            <x v="8"/>
          </reference>
          <reference field="8" count="1">
            <x v="38"/>
          </reference>
        </references>
      </pivotArea>
    </format>
    <format dxfId="2457">
      <pivotArea dataOnly="0" labelOnly="1" fieldPosition="0">
        <references count="4">
          <reference field="4" count="1" selected="0">
            <x v="16"/>
          </reference>
          <reference field="6" count="1" selected="0">
            <x v="4"/>
          </reference>
          <reference field="7" count="1" selected="0">
            <x v="11"/>
          </reference>
          <reference field="8" count="1">
            <x v="48"/>
          </reference>
        </references>
      </pivotArea>
    </format>
    <format dxfId="2456">
      <pivotArea dataOnly="0" labelOnly="1" fieldPosition="0">
        <references count="4">
          <reference field="4" count="1" selected="0">
            <x v="17"/>
          </reference>
          <reference field="6" count="1" selected="0">
            <x v="0"/>
          </reference>
          <reference field="7" count="1" selected="0">
            <x v="16"/>
          </reference>
          <reference field="8" count="7">
            <x v="57"/>
            <x v="58"/>
            <x v="59"/>
            <x v="60"/>
            <x v="61"/>
            <x v="62"/>
            <x v="63"/>
          </reference>
        </references>
      </pivotArea>
    </format>
    <format dxfId="2455">
      <pivotArea dataOnly="0" labelOnly="1" fieldPosition="0">
        <references count="4">
          <reference field="4" count="1" selected="0">
            <x v="17"/>
          </reference>
          <reference field="6" count="1" selected="0">
            <x v="0"/>
          </reference>
          <reference field="7" count="1" selected="0">
            <x v="22"/>
          </reference>
          <reference field="8" count="1">
            <x v="94"/>
          </reference>
        </references>
      </pivotArea>
    </format>
    <format dxfId="2454">
      <pivotArea dataOnly="0" labelOnly="1" fieldPosition="0">
        <references count="4">
          <reference field="4" count="1" selected="0">
            <x v="18"/>
          </reference>
          <reference field="6" count="1" selected="0">
            <x v="3"/>
          </reference>
          <reference field="7" count="1" selected="0">
            <x v="2"/>
          </reference>
          <reference field="8" count="4">
            <x v="8"/>
            <x v="9"/>
            <x v="16"/>
            <x v="17"/>
          </reference>
        </references>
      </pivotArea>
    </format>
    <format dxfId="2453">
      <pivotArea dataOnly="0" labelOnly="1" fieldPosition="0">
        <references count="4">
          <reference field="4" count="1" selected="0">
            <x v="19"/>
          </reference>
          <reference field="6" count="1" selected="0">
            <x v="3"/>
          </reference>
          <reference field="7" count="1" selected="0">
            <x v="6"/>
          </reference>
          <reference field="8" count="1">
            <x v="29"/>
          </reference>
        </references>
      </pivotArea>
    </format>
    <format dxfId="2452">
      <pivotArea dataOnly="0" labelOnly="1" fieldPosition="0">
        <references count="4">
          <reference field="4" count="1" selected="0">
            <x v="20"/>
          </reference>
          <reference field="6" count="1" selected="0">
            <x v="1"/>
          </reference>
          <reference field="7" count="1" selected="0">
            <x v="24"/>
          </reference>
          <reference field="8" count="1">
            <x v="106"/>
          </reference>
        </references>
      </pivotArea>
    </format>
    <format dxfId="2451">
      <pivotArea dataOnly="0" labelOnly="1" fieldPosition="0">
        <references count="5">
          <reference field="4" count="1" selected="0">
            <x v="0"/>
          </reference>
          <reference field="6" count="1" selected="0">
            <x v="0"/>
          </reference>
          <reference field="7" count="1" selected="0">
            <x v="17"/>
          </reference>
          <reference field="8" count="1" selected="0">
            <x v="65"/>
          </reference>
          <reference field="15" count="1">
            <x v="108"/>
          </reference>
        </references>
      </pivotArea>
    </format>
    <format dxfId="2450">
      <pivotArea dataOnly="0" labelOnly="1" fieldPosition="0">
        <references count="5">
          <reference field="4" count="1" selected="0">
            <x v="0"/>
          </reference>
          <reference field="6" count="1" selected="0">
            <x v="0"/>
          </reference>
          <reference field="7" count="1" selected="0">
            <x v="17"/>
          </reference>
          <reference field="8" count="1" selected="0">
            <x v="66"/>
          </reference>
          <reference field="15" count="2">
            <x v="365"/>
            <x v="366"/>
          </reference>
        </references>
      </pivotArea>
    </format>
    <format dxfId="2449">
      <pivotArea dataOnly="0" labelOnly="1" fieldPosition="0">
        <references count="5">
          <reference field="4" count="1" selected="0">
            <x v="0"/>
          </reference>
          <reference field="6" count="1" selected="0">
            <x v="0"/>
          </reference>
          <reference field="7" count="1" selected="0">
            <x v="17"/>
          </reference>
          <reference field="8" count="1" selected="0">
            <x v="67"/>
          </reference>
          <reference field="15" count="2">
            <x v="364"/>
            <x v="370"/>
          </reference>
        </references>
      </pivotArea>
    </format>
    <format dxfId="2448">
      <pivotArea dataOnly="0" labelOnly="1" fieldPosition="0">
        <references count="5">
          <reference field="4" count="1" selected="0">
            <x v="0"/>
          </reference>
          <reference field="6" count="1" selected="0">
            <x v="0"/>
          </reference>
          <reference field="7" count="1" selected="0">
            <x v="17"/>
          </reference>
          <reference field="8" count="1" selected="0">
            <x v="68"/>
          </reference>
          <reference field="15" count="1">
            <x v="79"/>
          </reference>
        </references>
      </pivotArea>
    </format>
    <format dxfId="2447">
      <pivotArea dataOnly="0" labelOnly="1" fieldPosition="0">
        <references count="5">
          <reference field="4" count="1" selected="0">
            <x v="0"/>
          </reference>
          <reference field="6" count="1" selected="0">
            <x v="0"/>
          </reference>
          <reference field="7" count="1" selected="0">
            <x v="17"/>
          </reference>
          <reference field="8" count="1" selected="0">
            <x v="69"/>
          </reference>
          <reference field="15" count="1">
            <x v="42"/>
          </reference>
        </references>
      </pivotArea>
    </format>
    <format dxfId="2446">
      <pivotArea dataOnly="0" labelOnly="1" fieldPosition="0">
        <references count="5">
          <reference field="4" count="1" selected="0">
            <x v="0"/>
          </reference>
          <reference field="6" count="1" selected="0">
            <x v="0"/>
          </reference>
          <reference field="7" count="1" selected="0">
            <x v="19"/>
          </reference>
          <reference field="8" count="1" selected="0">
            <x v="78"/>
          </reference>
          <reference field="15" count="1">
            <x v="236"/>
          </reference>
        </references>
      </pivotArea>
    </format>
    <format dxfId="2445">
      <pivotArea dataOnly="0" labelOnly="1" fieldPosition="0">
        <references count="5">
          <reference field="4" count="1" selected="0">
            <x v="0"/>
          </reference>
          <reference field="6" count="1" selected="0">
            <x v="0"/>
          </reference>
          <reference field="7" count="1" selected="0">
            <x v="19"/>
          </reference>
          <reference field="8" count="1" selected="0">
            <x v="79"/>
          </reference>
          <reference field="15" count="1">
            <x v="12"/>
          </reference>
        </references>
      </pivotArea>
    </format>
    <format dxfId="2444">
      <pivotArea dataOnly="0" labelOnly="1" fieldPosition="0">
        <references count="5">
          <reference field="4" count="1" selected="0">
            <x v="0"/>
          </reference>
          <reference field="6" count="1" selected="0">
            <x v="0"/>
          </reference>
          <reference field="7" count="1" selected="0">
            <x v="19"/>
          </reference>
          <reference field="8" count="1" selected="0">
            <x v="80"/>
          </reference>
          <reference field="15" count="2">
            <x v="10"/>
            <x v="11"/>
          </reference>
        </references>
      </pivotArea>
    </format>
    <format dxfId="2443">
      <pivotArea dataOnly="0" labelOnly="1" fieldPosition="0">
        <references count="5">
          <reference field="4" count="1" selected="0">
            <x v="0"/>
          </reference>
          <reference field="6" count="1" selected="0">
            <x v="1"/>
          </reference>
          <reference field="7" count="1" selected="0">
            <x v="23"/>
          </reference>
          <reference field="8" count="1" selected="0">
            <x v="95"/>
          </reference>
          <reference field="15" count="1">
            <x v="250"/>
          </reference>
        </references>
      </pivotArea>
    </format>
    <format dxfId="2442">
      <pivotArea dataOnly="0" labelOnly="1" fieldPosition="0">
        <references count="5">
          <reference field="4" count="1" selected="0">
            <x v="0"/>
          </reference>
          <reference field="6" count="1" selected="0">
            <x v="1"/>
          </reference>
          <reference field="7" count="1" selected="0">
            <x v="23"/>
          </reference>
          <reference field="8" count="1" selected="0">
            <x v="96"/>
          </reference>
          <reference field="15" count="2">
            <x v="251"/>
            <x v="358"/>
          </reference>
        </references>
      </pivotArea>
    </format>
    <format dxfId="2441">
      <pivotArea dataOnly="0" labelOnly="1" fieldPosition="0">
        <references count="5">
          <reference field="4" count="1" selected="0">
            <x v="0"/>
          </reference>
          <reference field="6" count="1" selected="0">
            <x v="1"/>
          </reference>
          <reference field="7" count="1" selected="0">
            <x v="23"/>
          </reference>
          <reference field="8" count="1" selected="0">
            <x v="97"/>
          </reference>
          <reference field="15" count="1">
            <x v="257"/>
          </reference>
        </references>
      </pivotArea>
    </format>
    <format dxfId="2440">
      <pivotArea dataOnly="0" labelOnly="1" fieldPosition="0">
        <references count="5">
          <reference field="4" count="1" selected="0">
            <x v="0"/>
          </reference>
          <reference field="6" count="1" selected="0">
            <x v="1"/>
          </reference>
          <reference field="7" count="1" selected="0">
            <x v="23"/>
          </reference>
          <reference field="8" count="1" selected="0">
            <x v="98"/>
          </reference>
          <reference field="15" count="1">
            <x v="43"/>
          </reference>
        </references>
      </pivotArea>
    </format>
    <format dxfId="2439">
      <pivotArea dataOnly="0" labelOnly="1" fieldPosition="0">
        <references count="5">
          <reference field="4" count="1" selected="0">
            <x v="0"/>
          </reference>
          <reference field="6" count="1" selected="0">
            <x v="1"/>
          </reference>
          <reference field="7" count="1" selected="0">
            <x v="23"/>
          </reference>
          <reference field="8" count="1" selected="0">
            <x v="99"/>
          </reference>
          <reference field="15" count="1">
            <x v="254"/>
          </reference>
        </references>
      </pivotArea>
    </format>
    <format dxfId="2438">
      <pivotArea dataOnly="0" labelOnly="1" fieldPosition="0">
        <references count="5">
          <reference field="4" count="1" selected="0">
            <x v="0"/>
          </reference>
          <reference field="6" count="1" selected="0">
            <x v="1"/>
          </reference>
          <reference field="7" count="1" selected="0">
            <x v="23"/>
          </reference>
          <reference field="8" count="1" selected="0">
            <x v="100"/>
          </reference>
          <reference field="15" count="1">
            <x v="253"/>
          </reference>
        </references>
      </pivotArea>
    </format>
    <format dxfId="2437">
      <pivotArea dataOnly="0" labelOnly="1" fieldPosition="0">
        <references count="5">
          <reference field="4" count="1" selected="0">
            <x v="0"/>
          </reference>
          <reference field="6" count="1" selected="0">
            <x v="1"/>
          </reference>
          <reference field="7" count="1" selected="0">
            <x v="23"/>
          </reference>
          <reference field="8" count="1" selected="0">
            <x v="101"/>
          </reference>
          <reference field="15" count="1">
            <x v="255"/>
          </reference>
        </references>
      </pivotArea>
    </format>
    <format dxfId="2436">
      <pivotArea dataOnly="0" labelOnly="1" fieldPosition="0">
        <references count="5">
          <reference field="4" count="1" selected="0">
            <x v="0"/>
          </reference>
          <reference field="6" count="1" selected="0">
            <x v="1"/>
          </reference>
          <reference field="7" count="1" selected="0">
            <x v="23"/>
          </reference>
          <reference field="8" count="1" selected="0">
            <x v="102"/>
          </reference>
          <reference field="15" count="1">
            <x v="40"/>
          </reference>
        </references>
      </pivotArea>
    </format>
    <format dxfId="2435">
      <pivotArea dataOnly="0" labelOnly="1" fieldPosition="0">
        <references count="5">
          <reference field="4" count="1" selected="0">
            <x v="0"/>
          </reference>
          <reference field="6" count="1" selected="0">
            <x v="1"/>
          </reference>
          <reference field="7" count="1" selected="0">
            <x v="23"/>
          </reference>
          <reference field="8" count="1" selected="0">
            <x v="103"/>
          </reference>
          <reference field="15" count="1">
            <x v="252"/>
          </reference>
        </references>
      </pivotArea>
    </format>
    <format dxfId="2434">
      <pivotArea dataOnly="0" labelOnly="1" fieldPosition="0">
        <references count="5">
          <reference field="4" count="1" selected="0">
            <x v="0"/>
          </reference>
          <reference field="6" count="1" selected="0">
            <x v="1"/>
          </reference>
          <reference field="7" count="1" selected="0">
            <x v="23"/>
          </reference>
          <reference field="8" count="1" selected="0">
            <x v="104"/>
          </reference>
          <reference field="15" count="1">
            <x v="256"/>
          </reference>
        </references>
      </pivotArea>
    </format>
    <format dxfId="2433">
      <pivotArea dataOnly="0" labelOnly="1" fieldPosition="0">
        <references count="5">
          <reference field="4" count="1" selected="0">
            <x v="0"/>
          </reference>
          <reference field="6" count="1" selected="0">
            <x v="1"/>
          </reference>
          <reference field="7" count="1" selected="0">
            <x v="26"/>
          </reference>
          <reference field="8" count="1" selected="0">
            <x v="131"/>
          </reference>
          <reference field="15" count="1">
            <x v="13"/>
          </reference>
        </references>
      </pivotArea>
    </format>
    <format dxfId="2432">
      <pivotArea dataOnly="0" labelOnly="1" fieldPosition="0">
        <references count="5">
          <reference field="4" count="1" selected="0">
            <x v="1"/>
          </reference>
          <reference field="6" count="1" selected="0">
            <x v="0"/>
          </reference>
          <reference field="7" count="1" selected="0">
            <x v="19"/>
          </reference>
          <reference field="8" count="1" selected="0">
            <x v="81"/>
          </reference>
          <reference field="15" count="1">
            <x v="231"/>
          </reference>
        </references>
      </pivotArea>
    </format>
    <format dxfId="2431">
      <pivotArea dataOnly="0" labelOnly="1" fieldPosition="0">
        <references count="5">
          <reference field="4" count="1" selected="0">
            <x v="1"/>
          </reference>
          <reference field="6" count="1" selected="0">
            <x v="3"/>
          </reference>
          <reference field="7" count="1" selected="0">
            <x v="2"/>
          </reference>
          <reference field="8" count="1" selected="0">
            <x v="7"/>
          </reference>
          <reference field="15" count="5">
            <x v="117"/>
            <x v="124"/>
            <x v="131"/>
            <x v="380"/>
            <x v="400"/>
          </reference>
        </references>
      </pivotArea>
    </format>
    <format dxfId="2430">
      <pivotArea dataOnly="0" labelOnly="1" fieldPosition="0">
        <references count="5">
          <reference field="4" count="1" selected="0">
            <x v="1"/>
          </reference>
          <reference field="6" count="1" selected="0">
            <x v="3"/>
          </reference>
          <reference field="7" count="1" selected="0">
            <x v="2"/>
          </reference>
          <reference field="8" count="1" selected="0">
            <x v="10"/>
          </reference>
          <reference field="15" count="2">
            <x v="17"/>
            <x v="18"/>
          </reference>
        </references>
      </pivotArea>
    </format>
    <format dxfId="2429">
      <pivotArea dataOnly="0" labelOnly="1" fieldPosition="0">
        <references count="5">
          <reference field="4" count="1" selected="0">
            <x v="1"/>
          </reference>
          <reference field="6" count="1" selected="0">
            <x v="3"/>
          </reference>
          <reference field="7" count="1" selected="0">
            <x v="2"/>
          </reference>
          <reference field="8" count="1" selected="0">
            <x v="11"/>
          </reference>
          <reference field="15" count="2">
            <x v="7"/>
            <x v="8"/>
          </reference>
        </references>
      </pivotArea>
    </format>
    <format dxfId="2428">
      <pivotArea dataOnly="0" labelOnly="1" fieldPosition="0">
        <references count="5">
          <reference field="4" count="1" selected="0">
            <x v="1"/>
          </reference>
          <reference field="6" count="1" selected="0">
            <x v="3"/>
          </reference>
          <reference field="7" count="1" selected="0">
            <x v="2"/>
          </reference>
          <reference field="8" count="1" selected="0">
            <x v="12"/>
          </reference>
          <reference field="15" count="1">
            <x v="107"/>
          </reference>
        </references>
      </pivotArea>
    </format>
    <format dxfId="2427">
      <pivotArea dataOnly="0" labelOnly="1" fieldPosition="0">
        <references count="5">
          <reference field="4" count="1" selected="0">
            <x v="1"/>
          </reference>
          <reference field="6" count="1" selected="0">
            <x v="3"/>
          </reference>
          <reference field="7" count="1" selected="0">
            <x v="2"/>
          </reference>
          <reference field="8" count="1" selected="0">
            <x v="13"/>
          </reference>
          <reference field="15" count="1">
            <x v="6"/>
          </reference>
        </references>
      </pivotArea>
    </format>
    <format dxfId="2426">
      <pivotArea dataOnly="0" labelOnly="1" fieldPosition="0">
        <references count="5">
          <reference field="4" count="1" selected="0">
            <x v="1"/>
          </reference>
          <reference field="6" count="1" selected="0">
            <x v="3"/>
          </reference>
          <reference field="7" count="1" selected="0">
            <x v="2"/>
          </reference>
          <reference field="8" count="1" selected="0">
            <x v="14"/>
          </reference>
          <reference field="15" count="2">
            <x v="46"/>
            <x v="47"/>
          </reference>
        </references>
      </pivotArea>
    </format>
    <format dxfId="2425">
      <pivotArea dataOnly="0" labelOnly="1" fieldPosition="0">
        <references count="5">
          <reference field="4" count="1" selected="0">
            <x v="1"/>
          </reference>
          <reference field="6" count="1" selected="0">
            <x v="3"/>
          </reference>
          <reference field="7" count="1" selected="0">
            <x v="2"/>
          </reference>
          <reference field="8" count="1" selected="0">
            <x v="15"/>
          </reference>
          <reference field="15" count="1">
            <x v="372"/>
          </reference>
        </references>
      </pivotArea>
    </format>
    <format dxfId="2424">
      <pivotArea dataOnly="0" labelOnly="1" fieldPosition="0">
        <references count="5">
          <reference field="4" count="1" selected="0">
            <x v="1"/>
          </reference>
          <reference field="6" count="1" selected="0">
            <x v="3"/>
          </reference>
          <reference field="7" count="1" selected="0">
            <x v="3"/>
          </reference>
          <reference field="8" count="1" selected="0">
            <x v="18"/>
          </reference>
          <reference field="15" count="1">
            <x v="232"/>
          </reference>
        </references>
      </pivotArea>
    </format>
    <format dxfId="2423">
      <pivotArea dataOnly="0" labelOnly="1" fieldPosition="0">
        <references count="5">
          <reference field="4" count="1" selected="0">
            <x v="1"/>
          </reference>
          <reference field="6" count="1" selected="0">
            <x v="3"/>
          </reference>
          <reference field="7" count="1" selected="0">
            <x v="3"/>
          </reference>
          <reference field="8" count="1" selected="0">
            <x v="19"/>
          </reference>
          <reference field="15" count="1">
            <x v="9"/>
          </reference>
        </references>
      </pivotArea>
    </format>
    <format dxfId="2422">
      <pivotArea dataOnly="0" labelOnly="1" fieldPosition="0">
        <references count="5">
          <reference field="4" count="1" selected="0">
            <x v="1"/>
          </reference>
          <reference field="6" count="1" selected="0">
            <x v="3"/>
          </reference>
          <reference field="7" count="1" selected="0">
            <x v="4"/>
          </reference>
          <reference field="8" count="1" selected="0">
            <x v="20"/>
          </reference>
          <reference field="15" count="1">
            <x v="34"/>
          </reference>
        </references>
      </pivotArea>
    </format>
    <format dxfId="2421">
      <pivotArea dataOnly="0" labelOnly="1" fieldPosition="0">
        <references count="5">
          <reference field="4" count="1" selected="0">
            <x v="1"/>
          </reference>
          <reference field="6" count="1" selected="0">
            <x v="3"/>
          </reference>
          <reference field="7" count="1" selected="0">
            <x v="4"/>
          </reference>
          <reference field="8" count="1" selected="0">
            <x v="21"/>
          </reference>
          <reference field="15" count="1">
            <x v="98"/>
          </reference>
        </references>
      </pivotArea>
    </format>
    <format dxfId="2420">
      <pivotArea dataOnly="0" labelOnly="1" fieldPosition="0">
        <references count="5">
          <reference field="4" count="1" selected="0">
            <x v="1"/>
          </reference>
          <reference field="6" count="1" selected="0">
            <x v="4"/>
          </reference>
          <reference field="7" count="1" selected="0">
            <x v="8"/>
          </reference>
          <reference field="8" count="1" selected="0">
            <x v="33"/>
          </reference>
          <reference field="15" count="1">
            <x v="237"/>
          </reference>
        </references>
      </pivotArea>
    </format>
    <format dxfId="2419">
      <pivotArea dataOnly="0" labelOnly="1" fieldPosition="0">
        <references count="5">
          <reference field="4" count="1" selected="0">
            <x v="1"/>
          </reference>
          <reference field="6" count="1" selected="0">
            <x v="4"/>
          </reference>
          <reference field="7" count="1" selected="0">
            <x v="8"/>
          </reference>
          <reference field="8" count="1" selected="0">
            <x v="34"/>
          </reference>
          <reference field="15" count="1">
            <x v="373"/>
          </reference>
        </references>
      </pivotArea>
    </format>
    <format dxfId="2418">
      <pivotArea dataOnly="0" labelOnly="1" fieldPosition="0">
        <references count="5">
          <reference field="4" count="1" selected="0">
            <x v="1"/>
          </reference>
          <reference field="6" count="1" selected="0">
            <x v="4"/>
          </reference>
          <reference field="7" count="1" selected="0">
            <x v="8"/>
          </reference>
          <reference field="8" count="1" selected="0">
            <x v="39"/>
          </reference>
          <reference field="15" count="2">
            <x v="233"/>
            <x v="234"/>
          </reference>
        </references>
      </pivotArea>
    </format>
    <format dxfId="2417">
      <pivotArea dataOnly="0" labelOnly="1" fieldPosition="0">
        <references count="5">
          <reference field="4" count="1" selected="0">
            <x v="2"/>
          </reference>
          <reference field="6" count="1" selected="0">
            <x v="2"/>
          </reference>
          <reference field="7" count="1" selected="0">
            <x v="29"/>
          </reference>
          <reference field="8" count="1" selected="0">
            <x v="145"/>
          </reference>
          <reference field="15" count="1">
            <x v="377"/>
          </reference>
        </references>
      </pivotArea>
    </format>
    <format dxfId="2416">
      <pivotArea dataOnly="0" labelOnly="1" fieldPosition="0">
        <references count="5">
          <reference field="4" count="1" selected="0">
            <x v="2"/>
          </reference>
          <reference field="6" count="1" selected="0">
            <x v="2"/>
          </reference>
          <reference field="7" count="1" selected="0">
            <x v="29"/>
          </reference>
          <reference field="8" count="1" selected="0">
            <x v="146"/>
          </reference>
          <reference field="15" count="1">
            <x v="139"/>
          </reference>
        </references>
      </pivotArea>
    </format>
    <format dxfId="2415">
      <pivotArea dataOnly="0" labelOnly="1" fieldPosition="0">
        <references count="5">
          <reference field="4" count="1" selected="0">
            <x v="2"/>
          </reference>
          <reference field="6" count="1" selected="0">
            <x v="2"/>
          </reference>
          <reference field="7" count="1" selected="0">
            <x v="29"/>
          </reference>
          <reference field="8" count="1" selected="0">
            <x v="147"/>
          </reference>
          <reference field="15" count="1">
            <x v="127"/>
          </reference>
        </references>
      </pivotArea>
    </format>
    <format dxfId="2414">
      <pivotArea dataOnly="0" labelOnly="1" fieldPosition="0">
        <references count="5">
          <reference field="4" count="1" selected="0">
            <x v="2"/>
          </reference>
          <reference field="6" count="1" selected="0">
            <x v="2"/>
          </reference>
          <reference field="7" count="1" selected="0">
            <x v="29"/>
          </reference>
          <reference field="8" count="1" selected="0">
            <x v="148"/>
          </reference>
          <reference field="15" count="1">
            <x v="142"/>
          </reference>
        </references>
      </pivotArea>
    </format>
    <format dxfId="2413">
      <pivotArea dataOnly="0" labelOnly="1" fieldPosition="0">
        <references count="5">
          <reference field="4" count="1" selected="0">
            <x v="2"/>
          </reference>
          <reference field="6" count="1" selected="0">
            <x v="2"/>
          </reference>
          <reference field="7" count="1" selected="0">
            <x v="29"/>
          </reference>
          <reference field="8" count="1" selected="0">
            <x v="149"/>
          </reference>
          <reference field="15" count="1">
            <x v="140"/>
          </reference>
        </references>
      </pivotArea>
    </format>
    <format dxfId="2412">
      <pivotArea dataOnly="0" labelOnly="1" fieldPosition="0">
        <references count="5">
          <reference field="4" count="1" selected="0">
            <x v="2"/>
          </reference>
          <reference field="6" count="1" selected="0">
            <x v="2"/>
          </reference>
          <reference field="7" count="1" selected="0">
            <x v="29"/>
          </reference>
          <reference field="8" count="1" selected="0">
            <x v="150"/>
          </reference>
          <reference field="15" count="1">
            <x v="144"/>
          </reference>
        </references>
      </pivotArea>
    </format>
    <format dxfId="2411">
      <pivotArea dataOnly="0" labelOnly="1" fieldPosition="0">
        <references count="5">
          <reference field="4" count="1" selected="0">
            <x v="2"/>
          </reference>
          <reference field="6" count="1" selected="0">
            <x v="2"/>
          </reference>
          <reference field="7" count="1" selected="0">
            <x v="30"/>
          </reference>
          <reference field="8" count="1" selected="0">
            <x v="152"/>
          </reference>
          <reference field="15" count="2">
            <x v="128"/>
            <x v="129"/>
          </reference>
        </references>
      </pivotArea>
    </format>
    <format dxfId="2410">
      <pivotArea dataOnly="0" labelOnly="1" fieldPosition="0">
        <references count="5">
          <reference field="4" count="1" selected="0">
            <x v="2"/>
          </reference>
          <reference field="6" count="1" selected="0">
            <x v="2"/>
          </reference>
          <reference field="7" count="1" selected="0">
            <x v="30"/>
          </reference>
          <reference field="8" count="1" selected="0">
            <x v="153"/>
          </reference>
          <reference field="15" count="1">
            <x v="141"/>
          </reference>
        </references>
      </pivotArea>
    </format>
    <format dxfId="2409">
      <pivotArea dataOnly="0" labelOnly="1" fieldPosition="0">
        <references count="5">
          <reference field="4" count="1" selected="0">
            <x v="2"/>
          </reference>
          <reference field="6" count="1" selected="0">
            <x v="3"/>
          </reference>
          <reference field="7" count="1" selected="0">
            <x v="5"/>
          </reference>
          <reference field="8" count="1" selected="0">
            <x v="24"/>
          </reference>
          <reference field="15" count="1">
            <x v="339"/>
          </reference>
        </references>
      </pivotArea>
    </format>
    <format dxfId="2408">
      <pivotArea dataOnly="0" labelOnly="1" fieldPosition="0">
        <references count="5">
          <reference field="4" count="1" selected="0">
            <x v="2"/>
          </reference>
          <reference field="6" count="1" selected="0">
            <x v="3"/>
          </reference>
          <reference field="7" count="1" selected="0">
            <x v="7"/>
          </reference>
          <reference field="8" count="1" selected="0">
            <x v="31"/>
          </reference>
          <reference field="15" count="2">
            <x v="391"/>
            <x v="392"/>
          </reference>
        </references>
      </pivotArea>
    </format>
    <format dxfId="2407">
      <pivotArea dataOnly="0" labelOnly="1" fieldPosition="0">
        <references count="5">
          <reference field="4" count="1" selected="0">
            <x v="2"/>
          </reference>
          <reference field="6" count="1" selected="0">
            <x v="3"/>
          </reference>
          <reference field="7" count="1" selected="0">
            <x v="7"/>
          </reference>
          <reference field="8" count="1" selected="0">
            <x v="32"/>
          </reference>
          <reference field="15" count="1">
            <x v="371"/>
          </reference>
        </references>
      </pivotArea>
    </format>
    <format dxfId="2406">
      <pivotArea dataOnly="0" labelOnly="1" fieldPosition="0">
        <references count="5">
          <reference field="4" count="1" selected="0">
            <x v="2"/>
          </reference>
          <reference field="6" count="1" selected="0">
            <x v="4"/>
          </reference>
          <reference field="7" count="1" selected="0">
            <x v="8"/>
          </reference>
          <reference field="8" count="1" selected="0">
            <x v="36"/>
          </reference>
          <reference field="15" count="1">
            <x v="379"/>
          </reference>
        </references>
      </pivotArea>
    </format>
    <format dxfId="2405">
      <pivotArea dataOnly="0" labelOnly="1" fieldPosition="0">
        <references count="5">
          <reference field="4" count="1" selected="0">
            <x v="2"/>
          </reference>
          <reference field="6" count="1" selected="0">
            <x v="4"/>
          </reference>
          <reference field="7" count="1" selected="0">
            <x v="8"/>
          </reference>
          <reference field="8" count="1" selected="0">
            <x v="39"/>
          </reference>
          <reference field="15" count="1">
            <x v="378"/>
          </reference>
        </references>
      </pivotArea>
    </format>
    <format dxfId="2404">
      <pivotArea dataOnly="0" labelOnly="1" fieldPosition="0">
        <references count="5">
          <reference field="4" count="1" selected="0">
            <x v="3"/>
          </reference>
          <reference field="6" count="1" selected="0">
            <x v="3"/>
          </reference>
          <reference field="7" count="1" selected="0">
            <x v="6"/>
          </reference>
          <reference field="8" count="1" selected="0">
            <x v="29"/>
          </reference>
          <reference field="15" count="41">
            <x v="0"/>
            <x v="1"/>
            <x v="167"/>
            <x v="175"/>
            <x v="176"/>
            <x v="177"/>
            <x v="178"/>
            <x v="179"/>
            <x v="180"/>
            <x v="181"/>
            <x v="182"/>
            <x v="201"/>
            <x v="202"/>
            <x v="205"/>
            <x v="206"/>
            <x v="207"/>
            <x v="208"/>
            <x v="209"/>
            <x v="210"/>
            <x v="211"/>
            <x v="212"/>
            <x v="213"/>
            <x v="214"/>
            <x v="215"/>
            <x v="216"/>
            <x v="217"/>
            <x v="218"/>
            <x v="219"/>
            <x v="220"/>
            <x v="221"/>
            <x v="224"/>
            <x v="225"/>
            <x v="226"/>
            <x v="227"/>
            <x v="228"/>
            <x v="393"/>
            <x v="394"/>
            <x v="396"/>
            <x v="397"/>
            <x v="398"/>
            <x v="399"/>
          </reference>
        </references>
      </pivotArea>
    </format>
    <format dxfId="2403">
      <pivotArea dataOnly="0" labelOnly="1" fieldPosition="0">
        <references count="5">
          <reference field="4" count="1" selected="0">
            <x v="4"/>
          </reference>
          <reference field="6" count="1" selected="0">
            <x v="0"/>
          </reference>
          <reference field="7" count="1" selected="0">
            <x v="21"/>
          </reference>
          <reference field="8" count="1" selected="0">
            <x v="87"/>
          </reference>
          <reference field="15" count="8">
            <x v="126"/>
            <x v="293"/>
            <x v="305"/>
            <x v="306"/>
            <x v="317"/>
            <x v="388"/>
            <x v="389"/>
            <x v="390"/>
          </reference>
        </references>
      </pivotArea>
    </format>
    <format dxfId="2402">
      <pivotArea dataOnly="0" labelOnly="1" fieldPosition="0">
        <references count="5">
          <reference field="4" count="1" selected="0">
            <x v="4"/>
          </reference>
          <reference field="6" count="1" selected="0">
            <x v="0"/>
          </reference>
          <reference field="7" count="1" selected="0">
            <x v="21"/>
          </reference>
          <reference field="8" count="1" selected="0">
            <x v="88"/>
          </reference>
          <reference field="15" count="3">
            <x v="291"/>
            <x v="292"/>
            <x v="301"/>
          </reference>
        </references>
      </pivotArea>
    </format>
    <format dxfId="2401">
      <pivotArea dataOnly="0" labelOnly="1" fieldPosition="0">
        <references count="5">
          <reference field="4" count="1" selected="0">
            <x v="4"/>
          </reference>
          <reference field="6" count="1" selected="0">
            <x v="0"/>
          </reference>
          <reference field="7" count="1" selected="0">
            <x v="21"/>
          </reference>
          <reference field="8" count="1" selected="0">
            <x v="89"/>
          </reference>
          <reference field="15" count="1">
            <x v="310"/>
          </reference>
        </references>
      </pivotArea>
    </format>
    <format dxfId="2400">
      <pivotArea dataOnly="0" labelOnly="1" fieldPosition="0">
        <references count="5">
          <reference field="4" count="1" selected="0">
            <x v="4"/>
          </reference>
          <reference field="6" count="1" selected="0">
            <x v="0"/>
          </reference>
          <reference field="7" count="1" selected="0">
            <x v="21"/>
          </reference>
          <reference field="8" count="1" selected="0">
            <x v="90"/>
          </reference>
          <reference field="15" count="1">
            <x v="385"/>
          </reference>
        </references>
      </pivotArea>
    </format>
    <format dxfId="2399">
      <pivotArea dataOnly="0" labelOnly="1" fieldPosition="0">
        <references count="5">
          <reference field="4" count="1" selected="0">
            <x v="4"/>
          </reference>
          <reference field="6" count="1" selected="0">
            <x v="0"/>
          </reference>
          <reference field="7" count="1" selected="0">
            <x v="21"/>
          </reference>
          <reference field="8" count="1" selected="0">
            <x v="91"/>
          </reference>
          <reference field="15" count="2">
            <x v="264"/>
            <x v="265"/>
          </reference>
        </references>
      </pivotArea>
    </format>
    <format dxfId="2398">
      <pivotArea dataOnly="0" labelOnly="1" fieldPosition="0">
        <references count="5">
          <reference field="4" count="1" selected="0">
            <x v="4"/>
          </reference>
          <reference field="6" count="1" selected="0">
            <x v="1"/>
          </reference>
          <reference field="7" count="1" selected="0">
            <x v="24"/>
          </reference>
          <reference field="8" count="1" selected="0">
            <x v="114"/>
          </reference>
          <reference field="15" count="1">
            <x v="263"/>
          </reference>
        </references>
      </pivotArea>
    </format>
    <format dxfId="2397">
      <pivotArea dataOnly="0" labelOnly="1" fieldPosition="0">
        <references count="5">
          <reference field="4" count="1" selected="0">
            <x v="4"/>
          </reference>
          <reference field="6" count="1" selected="0">
            <x v="2"/>
          </reference>
          <reference field="7" count="1" selected="0">
            <x v="29"/>
          </reference>
          <reference field="8" count="1" selected="0">
            <x v="142"/>
          </reference>
          <reference field="15" count="1">
            <x v="283"/>
          </reference>
        </references>
      </pivotArea>
    </format>
    <format dxfId="2396">
      <pivotArea dataOnly="0" labelOnly="1" fieldPosition="0">
        <references count="5">
          <reference field="4" count="1" selected="0">
            <x v="4"/>
          </reference>
          <reference field="6" count="1" selected="0">
            <x v="2"/>
          </reference>
          <reference field="7" count="1" selected="0">
            <x v="29"/>
          </reference>
          <reference field="8" count="1" selected="0">
            <x v="143"/>
          </reference>
          <reference field="15" count="2">
            <x v="289"/>
            <x v="314"/>
          </reference>
        </references>
      </pivotArea>
    </format>
    <format dxfId="2395">
      <pivotArea dataOnly="0" labelOnly="1" fieldPosition="0">
        <references count="5">
          <reference field="4" count="1" selected="0">
            <x v="4"/>
          </reference>
          <reference field="6" count="1" selected="0">
            <x v="2"/>
          </reference>
          <reference field="7" count="1" selected="0">
            <x v="29"/>
          </reference>
          <reference field="8" count="1" selected="0">
            <x v="151"/>
          </reference>
          <reference field="15" count="1">
            <x v="387"/>
          </reference>
        </references>
      </pivotArea>
    </format>
    <format dxfId="2394">
      <pivotArea dataOnly="0" labelOnly="1" fieldPosition="0">
        <references count="5">
          <reference field="4" count="1" selected="0">
            <x v="4"/>
          </reference>
          <reference field="6" count="1" selected="0">
            <x v="2"/>
          </reference>
          <reference field="7" count="1" selected="0">
            <x v="31"/>
          </reference>
          <reference field="8" count="1" selected="0">
            <x v="155"/>
          </reference>
          <reference field="15" count="4">
            <x v="235"/>
            <x v="303"/>
            <x v="374"/>
            <x v="386"/>
          </reference>
        </references>
      </pivotArea>
    </format>
    <format dxfId="2393">
      <pivotArea dataOnly="0" labelOnly="1" fieldPosition="0">
        <references count="5">
          <reference field="4" count="1" selected="0">
            <x v="4"/>
          </reference>
          <reference field="6" count="1" selected="0">
            <x v="2"/>
          </reference>
          <reference field="7" count="1" selected="0">
            <x v="31"/>
          </reference>
          <reference field="8" count="1" selected="0">
            <x v="156"/>
          </reference>
          <reference field="15" count="1">
            <x v="304"/>
          </reference>
        </references>
      </pivotArea>
    </format>
    <format dxfId="2392">
      <pivotArea dataOnly="0" labelOnly="1" fieldPosition="0">
        <references count="5">
          <reference field="4" count="1" selected="0">
            <x v="4"/>
          </reference>
          <reference field="6" count="1" selected="0">
            <x v="2"/>
          </reference>
          <reference field="7" count="1" selected="0">
            <x v="31"/>
          </reference>
          <reference field="8" count="1" selected="0">
            <x v="157"/>
          </reference>
          <reference field="15" count="1">
            <x v="302"/>
          </reference>
        </references>
      </pivotArea>
    </format>
    <format dxfId="2391">
      <pivotArea dataOnly="0" labelOnly="1" fieldPosition="0">
        <references count="5">
          <reference field="4" count="1" selected="0">
            <x v="4"/>
          </reference>
          <reference field="6" count="1" selected="0">
            <x v="3"/>
          </reference>
          <reference field="7" count="1" selected="0">
            <x v="0"/>
          </reference>
          <reference field="8" count="1" selected="0">
            <x v="0"/>
          </reference>
          <reference field="15" count="2">
            <x v="125"/>
            <x v="269"/>
          </reference>
        </references>
      </pivotArea>
    </format>
    <format dxfId="2390">
      <pivotArea dataOnly="0" labelOnly="1" fieldPosition="0">
        <references count="5">
          <reference field="4" count="1" selected="0">
            <x v="4"/>
          </reference>
          <reference field="6" count="1" selected="0">
            <x v="3"/>
          </reference>
          <reference field="7" count="1" selected="0">
            <x v="0"/>
          </reference>
          <reference field="8" count="1" selected="0">
            <x v="1"/>
          </reference>
          <reference field="15" count="1">
            <x v="382"/>
          </reference>
        </references>
      </pivotArea>
    </format>
    <format dxfId="2389">
      <pivotArea dataOnly="0" labelOnly="1" fieldPosition="0">
        <references count="5">
          <reference field="4" count="1" selected="0">
            <x v="4"/>
          </reference>
          <reference field="6" count="1" selected="0">
            <x v="3"/>
          </reference>
          <reference field="7" count="1" selected="0">
            <x v="1"/>
          </reference>
          <reference field="8" count="1" selected="0">
            <x v="2"/>
          </reference>
          <reference field="15" count="1">
            <x v="282"/>
          </reference>
        </references>
      </pivotArea>
    </format>
    <format dxfId="2388">
      <pivotArea dataOnly="0" labelOnly="1" fieldPosition="0">
        <references count="5">
          <reference field="4" count="1" selected="0">
            <x v="4"/>
          </reference>
          <reference field="6" count="1" selected="0">
            <x v="3"/>
          </reference>
          <reference field="7" count="1" selected="0">
            <x v="1"/>
          </reference>
          <reference field="8" count="1" selected="0">
            <x v="3"/>
          </reference>
          <reference field="15" count="1">
            <x v="384"/>
          </reference>
        </references>
      </pivotArea>
    </format>
    <format dxfId="2387">
      <pivotArea dataOnly="0" labelOnly="1" fieldPosition="0">
        <references count="5">
          <reference field="4" count="1" selected="0">
            <x v="4"/>
          </reference>
          <reference field="6" count="1" selected="0">
            <x v="3"/>
          </reference>
          <reference field="7" count="1" selected="0">
            <x v="1"/>
          </reference>
          <reference field="8" count="1" selected="0">
            <x v="4"/>
          </reference>
          <reference field="15" count="1">
            <x v="298"/>
          </reference>
        </references>
      </pivotArea>
    </format>
    <format dxfId="2386">
      <pivotArea dataOnly="0" labelOnly="1" fieldPosition="0">
        <references count="5">
          <reference field="4" count="1" selected="0">
            <x v="4"/>
          </reference>
          <reference field="6" count="1" selected="0">
            <x v="3"/>
          </reference>
          <reference field="7" count="1" selected="0">
            <x v="1"/>
          </reference>
          <reference field="8" count="1" selected="0">
            <x v="5"/>
          </reference>
          <reference field="15" count="2">
            <x v="381"/>
            <x v="383"/>
          </reference>
        </references>
      </pivotArea>
    </format>
    <format dxfId="2385">
      <pivotArea dataOnly="0" labelOnly="1" fieldPosition="0">
        <references count="5">
          <reference field="4" count="1" selected="0">
            <x v="5"/>
          </reference>
          <reference field="6" count="1" selected="0">
            <x v="0"/>
          </reference>
          <reference field="7" count="1" selected="0">
            <x v="18"/>
          </reference>
          <reference field="8" count="1" selected="0">
            <x v="73"/>
          </reference>
          <reference field="15" count="3">
            <x v="245"/>
            <x v="246"/>
            <x v="313"/>
          </reference>
        </references>
      </pivotArea>
    </format>
    <format dxfId="2384">
      <pivotArea dataOnly="0" labelOnly="1" fieldPosition="0">
        <references count="5">
          <reference field="4" count="1" selected="0">
            <x v="5"/>
          </reference>
          <reference field="6" count="1" selected="0">
            <x v="0"/>
          </reference>
          <reference field="7" count="1" selected="0">
            <x v="18"/>
          </reference>
          <reference field="8" count="1" selected="0">
            <x v="74"/>
          </reference>
          <reference field="15" count="1">
            <x v="230"/>
          </reference>
        </references>
      </pivotArea>
    </format>
    <format dxfId="2383">
      <pivotArea dataOnly="0" labelOnly="1" fieldPosition="0">
        <references count="5">
          <reference field="4" count="1" selected="0">
            <x v="5"/>
          </reference>
          <reference field="6" count="1" selected="0">
            <x v="0"/>
          </reference>
          <reference field="7" count="1" selected="0">
            <x v="18"/>
          </reference>
          <reference field="8" count="1" selected="0">
            <x v="77"/>
          </reference>
          <reference field="15" count="2">
            <x v="276"/>
            <x v="277"/>
          </reference>
        </references>
      </pivotArea>
    </format>
    <format dxfId="2382">
      <pivotArea dataOnly="0" labelOnly="1" fieldPosition="0">
        <references count="5">
          <reference field="4" count="1" selected="0">
            <x v="5"/>
          </reference>
          <reference field="6" count="1" selected="0">
            <x v="0"/>
          </reference>
          <reference field="7" count="1" selected="0">
            <x v="22"/>
          </reference>
          <reference field="8" count="1" selected="0">
            <x v="94"/>
          </reference>
          <reference field="15" count="1">
            <x v="164"/>
          </reference>
        </references>
      </pivotArea>
    </format>
    <format dxfId="2381">
      <pivotArea dataOnly="0" labelOnly="1" fieldPosition="0">
        <references count="5">
          <reference field="4" count="1" selected="0">
            <x v="5"/>
          </reference>
          <reference field="6" count="1" selected="0">
            <x v="4"/>
          </reference>
          <reference field="7" count="1" selected="0">
            <x v="8"/>
          </reference>
          <reference field="8" count="1" selected="0">
            <x v="37"/>
          </reference>
          <reference field="15" count="1">
            <x v="222"/>
          </reference>
        </references>
      </pivotArea>
    </format>
    <format dxfId="2380">
      <pivotArea dataOnly="0" labelOnly="1" fieldPosition="0">
        <references count="5">
          <reference field="4" count="1" selected="0">
            <x v="6"/>
          </reference>
          <reference field="6" count="1" selected="0">
            <x v="1"/>
          </reference>
          <reference field="7" count="1" selected="0">
            <x v="24"/>
          </reference>
          <reference field="8" count="1" selected="0">
            <x v="105"/>
          </reference>
          <reference field="15" count="13">
            <x v="24"/>
            <x v="25"/>
            <x v="31"/>
            <x v="37"/>
            <x v="44"/>
            <x v="45"/>
            <x v="48"/>
            <x v="49"/>
            <x v="50"/>
            <x v="56"/>
            <x v="66"/>
            <x v="100"/>
            <x v="101"/>
          </reference>
        </references>
      </pivotArea>
    </format>
    <format dxfId="2379">
      <pivotArea dataOnly="0" labelOnly="1" fieldPosition="0">
        <references count="5">
          <reference field="4" count="1" selected="0">
            <x v="6"/>
          </reference>
          <reference field="6" count="1" selected="0">
            <x v="1"/>
          </reference>
          <reference field="7" count="1" selected="0">
            <x v="24"/>
          </reference>
          <reference field="8" count="1" selected="0">
            <x v="107"/>
          </reference>
          <reference field="15" count="3">
            <x v="118"/>
            <x v="123"/>
            <x v="165"/>
          </reference>
        </references>
      </pivotArea>
    </format>
    <format dxfId="2378">
      <pivotArea dataOnly="0" labelOnly="1" fieldPosition="0">
        <references count="5">
          <reference field="4" count="1" selected="0">
            <x v="6"/>
          </reference>
          <reference field="6" count="1" selected="0">
            <x v="1"/>
          </reference>
          <reference field="7" count="1" selected="0">
            <x v="24"/>
          </reference>
          <reference field="8" count="1" selected="0">
            <x v="108"/>
          </reference>
          <reference field="15" count="2">
            <x v="97"/>
            <x v="119"/>
          </reference>
        </references>
      </pivotArea>
    </format>
    <format dxfId="2377">
      <pivotArea dataOnly="0" labelOnly="1" fieldPosition="0">
        <references count="5">
          <reference field="4" count="1" selected="0">
            <x v="6"/>
          </reference>
          <reference field="6" count="1" selected="0">
            <x v="1"/>
          </reference>
          <reference field="7" count="1" selected="0">
            <x v="24"/>
          </reference>
          <reference field="8" count="1" selected="0">
            <x v="109"/>
          </reference>
          <reference field="15" count="2">
            <x v="96"/>
            <x v="327"/>
          </reference>
        </references>
      </pivotArea>
    </format>
    <format dxfId="2376">
      <pivotArea dataOnly="0" labelOnly="1" fieldPosition="0">
        <references count="5">
          <reference field="4" count="1" selected="0">
            <x v="6"/>
          </reference>
          <reference field="6" count="1" selected="0">
            <x v="1"/>
          </reference>
          <reference field="7" count="1" selected="0">
            <x v="24"/>
          </reference>
          <reference field="8" count="1" selected="0">
            <x v="110"/>
          </reference>
          <reference field="15" count="2">
            <x v="115"/>
            <x v="324"/>
          </reference>
        </references>
      </pivotArea>
    </format>
    <format dxfId="2375">
      <pivotArea dataOnly="0" labelOnly="1" fieldPosition="0">
        <references count="5">
          <reference field="4" count="1" selected="0">
            <x v="6"/>
          </reference>
          <reference field="6" count="1" selected="0">
            <x v="1"/>
          </reference>
          <reference field="7" count="1" selected="0">
            <x v="24"/>
          </reference>
          <reference field="8" count="1" selected="0">
            <x v="111"/>
          </reference>
          <reference field="15" count="1">
            <x v="326"/>
          </reference>
        </references>
      </pivotArea>
    </format>
    <format dxfId="2374">
      <pivotArea dataOnly="0" labelOnly="1" fieldPosition="0">
        <references count="5">
          <reference field="4" count="1" selected="0">
            <x v="6"/>
          </reference>
          <reference field="6" count="1" selected="0">
            <x v="1"/>
          </reference>
          <reference field="7" count="1" selected="0">
            <x v="24"/>
          </reference>
          <reference field="8" count="1" selected="0">
            <x v="112"/>
          </reference>
          <reference field="15" count="5">
            <x v="80"/>
            <x v="120"/>
            <x v="121"/>
            <x v="122"/>
            <x v="135"/>
          </reference>
        </references>
      </pivotArea>
    </format>
    <format dxfId="2373">
      <pivotArea dataOnly="0" labelOnly="1" fieldPosition="0">
        <references count="5">
          <reference field="4" count="1" selected="0">
            <x v="6"/>
          </reference>
          <reference field="6" count="1" selected="0">
            <x v="1"/>
          </reference>
          <reference field="7" count="1" selected="0">
            <x v="24"/>
          </reference>
          <reference field="8" count="1" selected="0">
            <x v="113"/>
          </reference>
          <reference field="15" count="3">
            <x v="67"/>
            <x v="84"/>
            <x v="166"/>
          </reference>
        </references>
      </pivotArea>
    </format>
    <format dxfId="2372">
      <pivotArea dataOnly="0" labelOnly="1" fieldPosition="0">
        <references count="5">
          <reference field="4" count="1" selected="0">
            <x v="7"/>
          </reference>
          <reference field="6" count="1" selected="0">
            <x v="0"/>
          </reference>
          <reference field="7" count="1" selected="0">
            <x v="16"/>
          </reference>
          <reference field="8" count="1" selected="0">
            <x v="64"/>
          </reference>
          <reference field="15" count="3">
            <x v="274"/>
            <x v="278"/>
            <x v="325"/>
          </reference>
        </references>
      </pivotArea>
    </format>
    <format dxfId="2371">
      <pivotArea dataOnly="0" labelOnly="1" fieldPosition="0">
        <references count="5">
          <reference field="4" count="1" selected="0">
            <x v="7"/>
          </reference>
          <reference field="6" count="1" selected="0">
            <x v="2"/>
          </reference>
          <reference field="7" count="1" selected="0">
            <x v="29"/>
          </reference>
          <reference field="8" count="1" selected="0">
            <x v="140"/>
          </reference>
          <reference field="15" count="1">
            <x v="53"/>
          </reference>
        </references>
      </pivotArea>
    </format>
    <format dxfId="2370">
      <pivotArea dataOnly="0" labelOnly="1" fieldPosition="0">
        <references count="5">
          <reference field="4" count="1" selected="0">
            <x v="7"/>
          </reference>
          <reference field="6" count="1" selected="0">
            <x v="2"/>
          </reference>
          <reference field="7" count="1" selected="0">
            <x v="29"/>
          </reference>
          <reference field="8" count="1" selected="0">
            <x v="141"/>
          </reference>
          <reference field="15" count="1">
            <x v="279"/>
          </reference>
        </references>
      </pivotArea>
    </format>
    <format dxfId="2369">
      <pivotArea dataOnly="0" labelOnly="1" fieldPosition="0">
        <references count="5">
          <reference field="4" count="1" selected="0">
            <x v="7"/>
          </reference>
          <reference field="6" count="1" selected="0">
            <x v="2"/>
          </reference>
          <reference field="7" count="1" selected="0">
            <x v="29"/>
          </reference>
          <reference field="8" count="1" selected="0">
            <x v="144"/>
          </reference>
          <reference field="15" count="1">
            <x v="52"/>
          </reference>
        </references>
      </pivotArea>
    </format>
    <format dxfId="2368">
      <pivotArea dataOnly="0" labelOnly="1" fieldPosition="0">
        <references count="5">
          <reference field="4" count="1" selected="0">
            <x v="7"/>
          </reference>
          <reference field="6" count="1" selected="0">
            <x v="2"/>
          </reference>
          <reference field="7" count="1" selected="0">
            <x v="29"/>
          </reference>
          <reference field="8" count="1" selected="0">
            <x v="145"/>
          </reference>
          <reference field="15" count="1">
            <x v="51"/>
          </reference>
        </references>
      </pivotArea>
    </format>
    <format dxfId="2367">
      <pivotArea dataOnly="0" labelOnly="1" fieldPosition="0">
        <references count="5">
          <reference field="4" count="1" selected="0">
            <x v="7"/>
          </reference>
          <reference field="6" count="1" selected="0">
            <x v="2"/>
          </reference>
          <reference field="7" count="1" selected="0">
            <x v="30"/>
          </reference>
          <reference field="8" count="1" selected="0">
            <x v="154"/>
          </reference>
          <reference field="15" count="1">
            <x v="275"/>
          </reference>
        </references>
      </pivotArea>
    </format>
    <format dxfId="2366">
      <pivotArea dataOnly="0" labelOnly="1" fieldPosition="0">
        <references count="5">
          <reference field="4" count="1" selected="0">
            <x v="7"/>
          </reference>
          <reference field="6" count="1" selected="0">
            <x v="3"/>
          </reference>
          <reference field="7" count="1" selected="0">
            <x v="6"/>
          </reference>
          <reference field="8" count="1" selected="0">
            <x v="28"/>
          </reference>
          <reference field="15" count="3">
            <x v="318"/>
            <x v="319"/>
            <x v="320"/>
          </reference>
        </references>
      </pivotArea>
    </format>
    <format dxfId="2365">
      <pivotArea dataOnly="0" labelOnly="1" fieldPosition="0">
        <references count="5">
          <reference field="4" count="1" selected="0">
            <x v="7"/>
          </reference>
          <reference field="6" count="1" selected="0">
            <x v="4"/>
          </reference>
          <reference field="7" count="1" selected="0">
            <x v="8"/>
          </reference>
          <reference field="8" count="1" selected="0">
            <x v="35"/>
          </reference>
          <reference field="15" count="1">
            <x v="337"/>
          </reference>
        </references>
      </pivotArea>
    </format>
    <format dxfId="2364">
      <pivotArea dataOnly="0" labelOnly="1" fieldPosition="0">
        <references count="5">
          <reference field="4" count="1" selected="0">
            <x v="7"/>
          </reference>
          <reference field="6" count="1" selected="0">
            <x v="4"/>
          </reference>
          <reference field="7" count="1" selected="0">
            <x v="8"/>
          </reference>
          <reference field="8" count="1" selected="0">
            <x v="36"/>
          </reference>
          <reference field="15" count="1">
            <x v="280"/>
          </reference>
        </references>
      </pivotArea>
    </format>
    <format dxfId="2363">
      <pivotArea dataOnly="0" labelOnly="1" fieldPosition="0">
        <references count="5">
          <reference field="4" count="1" selected="0">
            <x v="7"/>
          </reference>
          <reference field="6" count="1" selected="0">
            <x v="4"/>
          </reference>
          <reference field="7" count="1" selected="0">
            <x v="9"/>
          </reference>
          <reference field="8" count="1" selected="0">
            <x v="40"/>
          </reference>
          <reference field="15" count="3">
            <x v="311"/>
            <x v="312"/>
            <x v="334"/>
          </reference>
        </references>
      </pivotArea>
    </format>
    <format dxfId="2362">
      <pivotArea dataOnly="0" labelOnly="1" fieldPosition="0">
        <references count="5">
          <reference field="4" count="1" selected="0">
            <x v="7"/>
          </reference>
          <reference field="6" count="1" selected="0">
            <x v="4"/>
          </reference>
          <reference field="7" count="1" selected="0">
            <x v="9"/>
          </reference>
          <reference field="8" count="1" selected="0">
            <x v="41"/>
          </reference>
          <reference field="15" count="1">
            <x v="328"/>
          </reference>
        </references>
      </pivotArea>
    </format>
    <format dxfId="2361">
      <pivotArea dataOnly="0" labelOnly="1" fieldPosition="0">
        <references count="5">
          <reference field="4" count="1" selected="0">
            <x v="7"/>
          </reference>
          <reference field="6" count="1" selected="0">
            <x v="4"/>
          </reference>
          <reference field="7" count="1" selected="0">
            <x v="9"/>
          </reference>
          <reference field="8" count="1" selected="0">
            <x v="42"/>
          </reference>
          <reference field="15" count="1">
            <x v="329"/>
          </reference>
        </references>
      </pivotArea>
    </format>
    <format dxfId="2360">
      <pivotArea dataOnly="0" labelOnly="1" fieldPosition="0">
        <references count="5">
          <reference field="4" count="1" selected="0">
            <x v="7"/>
          </reference>
          <reference field="6" count="1" selected="0">
            <x v="4"/>
          </reference>
          <reference field="7" count="1" selected="0">
            <x v="9"/>
          </reference>
          <reference field="8" count="1" selected="0">
            <x v="43"/>
          </reference>
          <reference field="15" count="1">
            <x v="321"/>
          </reference>
        </references>
      </pivotArea>
    </format>
    <format dxfId="2359">
      <pivotArea dataOnly="0" labelOnly="1" fieldPosition="0">
        <references count="5">
          <reference field="4" count="1" selected="0">
            <x v="7"/>
          </reference>
          <reference field="6" count="1" selected="0">
            <x v="4"/>
          </reference>
          <reference field="7" count="1" selected="0">
            <x v="10"/>
          </reference>
          <reference field="8" count="1" selected="0">
            <x v="44"/>
          </reference>
          <reference field="15" count="2">
            <x v="57"/>
            <x v="58"/>
          </reference>
        </references>
      </pivotArea>
    </format>
    <format dxfId="2358">
      <pivotArea dataOnly="0" labelOnly="1" fieldPosition="0">
        <references count="5">
          <reference field="4" count="1" selected="0">
            <x v="7"/>
          </reference>
          <reference field="6" count="1" selected="0">
            <x v="4"/>
          </reference>
          <reference field="7" count="1" selected="0">
            <x v="10"/>
          </reference>
          <reference field="8" count="1" selected="0">
            <x v="45"/>
          </reference>
          <reference field="15" count="1">
            <x v="55"/>
          </reference>
        </references>
      </pivotArea>
    </format>
    <format dxfId="2357">
      <pivotArea dataOnly="0" labelOnly="1" fieldPosition="0">
        <references count="5">
          <reference field="4" count="1" selected="0">
            <x v="7"/>
          </reference>
          <reference field="6" count="1" selected="0">
            <x v="4"/>
          </reference>
          <reference field="7" count="1" selected="0">
            <x v="10"/>
          </reference>
          <reference field="8" count="1" selected="0">
            <x v="46"/>
          </reference>
          <reference field="15" count="1">
            <x v="59"/>
          </reference>
        </references>
      </pivotArea>
    </format>
    <format dxfId="2356">
      <pivotArea dataOnly="0" labelOnly="1" fieldPosition="0">
        <references count="5">
          <reference field="4" count="1" selected="0">
            <x v="7"/>
          </reference>
          <reference field="6" count="1" selected="0">
            <x v="4"/>
          </reference>
          <reference field="7" count="1" selected="0">
            <x v="10"/>
          </reference>
          <reference field="8" count="1" selected="0">
            <x v="47"/>
          </reference>
          <reference field="15" count="1">
            <x v="54"/>
          </reference>
        </references>
      </pivotArea>
    </format>
    <format dxfId="2355">
      <pivotArea dataOnly="0" labelOnly="1" fieldPosition="0">
        <references count="5">
          <reference field="4" count="1" selected="0">
            <x v="7"/>
          </reference>
          <reference field="6" count="1" selected="0">
            <x v="4"/>
          </reference>
          <reference field="7" count="1" selected="0">
            <x v="11"/>
          </reference>
          <reference field="8" count="1" selected="0">
            <x v="48"/>
          </reference>
          <reference field="15" count="1">
            <x v="88"/>
          </reference>
        </references>
      </pivotArea>
    </format>
    <format dxfId="2354">
      <pivotArea dataOnly="0" labelOnly="1" fieldPosition="0">
        <references count="5">
          <reference field="4" count="1" selected="0">
            <x v="7"/>
          </reference>
          <reference field="6" count="1" selected="0">
            <x v="4"/>
          </reference>
          <reference field="7" count="1" selected="0">
            <x v="11"/>
          </reference>
          <reference field="8" count="1" selected="0">
            <x v="49"/>
          </reference>
          <reference field="15" count="1">
            <x v="86"/>
          </reference>
        </references>
      </pivotArea>
    </format>
    <format dxfId="2353">
      <pivotArea dataOnly="0" labelOnly="1" fieldPosition="0">
        <references count="5">
          <reference field="4" count="1" selected="0">
            <x v="7"/>
          </reference>
          <reference field="6" count="1" selected="0">
            <x v="4"/>
          </reference>
          <reference field="7" count="1" selected="0">
            <x v="12"/>
          </reference>
          <reference field="8" count="1" selected="0">
            <x v="50"/>
          </reference>
          <reference field="15" count="3">
            <x v="64"/>
            <x v="65"/>
            <x v="136"/>
          </reference>
        </references>
      </pivotArea>
    </format>
    <format dxfId="2352">
      <pivotArea dataOnly="0" labelOnly="1" fieldPosition="0">
        <references count="5">
          <reference field="4" count="1" selected="0">
            <x v="7"/>
          </reference>
          <reference field="6" count="1" selected="0">
            <x v="4"/>
          </reference>
          <reference field="7" count="1" selected="0">
            <x v="13"/>
          </reference>
          <reference field="8" count="1" selected="0">
            <x v="51"/>
          </reference>
          <reference field="15" count="1">
            <x v="307"/>
          </reference>
        </references>
      </pivotArea>
    </format>
    <format dxfId="2351">
      <pivotArea dataOnly="0" labelOnly="1" fieldPosition="0">
        <references count="5">
          <reference field="4" count="1" selected="0">
            <x v="7"/>
          </reference>
          <reference field="6" count="1" selected="0">
            <x v="4"/>
          </reference>
          <reference field="7" count="1" selected="0">
            <x v="13"/>
          </reference>
          <reference field="8" count="1" selected="0">
            <x v="52"/>
          </reference>
          <reference field="15" count="1">
            <x v="309"/>
          </reference>
        </references>
      </pivotArea>
    </format>
    <format dxfId="2350">
      <pivotArea dataOnly="0" labelOnly="1" fieldPosition="0">
        <references count="5">
          <reference field="4" count="1" selected="0">
            <x v="7"/>
          </reference>
          <reference field="6" count="1" selected="0">
            <x v="4"/>
          </reference>
          <reference field="7" count="1" selected="0">
            <x v="13"/>
          </reference>
          <reference field="8" count="1" selected="0">
            <x v="53"/>
          </reference>
          <reference field="15" count="1">
            <x v="308"/>
          </reference>
        </references>
      </pivotArea>
    </format>
    <format dxfId="2349">
      <pivotArea dataOnly="0" labelOnly="1" fieldPosition="0">
        <references count="5">
          <reference field="4" count="1" selected="0">
            <x v="7"/>
          </reference>
          <reference field="6" count="1" selected="0">
            <x v="4"/>
          </reference>
          <reference field="7" count="1" selected="0">
            <x v="14"/>
          </reference>
          <reference field="8" count="1" selected="0">
            <x v="54"/>
          </reference>
          <reference field="15" count="1">
            <x v="281"/>
          </reference>
        </references>
      </pivotArea>
    </format>
    <format dxfId="2348">
      <pivotArea dataOnly="0" labelOnly="1" fieldPosition="0">
        <references count="5">
          <reference field="4" count="1" selected="0">
            <x v="7"/>
          </reference>
          <reference field="6" count="1" selected="0">
            <x v="4"/>
          </reference>
          <reference field="7" count="1" selected="0">
            <x v="14"/>
          </reference>
          <reference field="8" count="1" selected="0">
            <x v="55"/>
          </reference>
          <reference field="15" count="1">
            <x v="138"/>
          </reference>
        </references>
      </pivotArea>
    </format>
    <format dxfId="2347">
      <pivotArea dataOnly="0" labelOnly="1" fieldPosition="0">
        <references count="5">
          <reference field="4" count="1" selected="0">
            <x v="7"/>
          </reference>
          <reference field="6" count="1" selected="0">
            <x v="4"/>
          </reference>
          <reference field="7" count="1" selected="0">
            <x v="15"/>
          </reference>
          <reference field="8" count="1" selected="0">
            <x v="56"/>
          </reference>
          <reference field="15" count="2">
            <x v="335"/>
            <x v="336"/>
          </reference>
        </references>
      </pivotArea>
    </format>
    <format dxfId="2346">
      <pivotArea dataOnly="0" labelOnly="1" fieldPosition="0">
        <references count="5">
          <reference field="4" count="1" selected="0">
            <x v="8"/>
          </reference>
          <reference field="6" count="1" selected="0">
            <x v="0"/>
          </reference>
          <reference field="7" count="1" selected="0">
            <x v="18"/>
          </reference>
          <reference field="8" count="1" selected="0">
            <x v="77"/>
          </reference>
          <reference field="15" count="1">
            <x v="290"/>
          </reference>
        </references>
      </pivotArea>
    </format>
    <format dxfId="2345">
      <pivotArea dataOnly="0" labelOnly="1" fieldPosition="0">
        <references count="5">
          <reference field="4" count="1" selected="0">
            <x v="8"/>
          </reference>
          <reference field="6" count="1" selected="0">
            <x v="0"/>
          </reference>
          <reference field="7" count="1" selected="0">
            <x v="22"/>
          </reference>
          <reference field="8" count="1" selected="0">
            <x v="92"/>
          </reference>
          <reference field="15" count="4">
            <x v="130"/>
            <x v="359"/>
            <x v="360"/>
            <x v="361"/>
          </reference>
        </references>
      </pivotArea>
    </format>
    <format dxfId="2344">
      <pivotArea dataOnly="0" labelOnly="1" fieldPosition="0">
        <references count="5">
          <reference field="4" count="1" selected="0">
            <x v="8"/>
          </reference>
          <reference field="6" count="1" selected="0">
            <x v="0"/>
          </reference>
          <reference field="7" count="1" selected="0">
            <x v="22"/>
          </reference>
          <reference field="8" count="1" selected="0">
            <x v="93"/>
          </reference>
          <reference field="15" count="1">
            <x v="369"/>
          </reference>
        </references>
      </pivotArea>
    </format>
    <format dxfId="2343">
      <pivotArea dataOnly="0" labelOnly="1" fieldPosition="0">
        <references count="5">
          <reference field="4" count="1" selected="0">
            <x v="8"/>
          </reference>
          <reference field="6" count="1" selected="0">
            <x v="0"/>
          </reference>
          <reference field="7" count="1" selected="0">
            <x v="22"/>
          </reference>
          <reference field="8" count="1" selected="0">
            <x v="94"/>
          </reference>
          <reference field="15" count="1">
            <x v="273"/>
          </reference>
        </references>
      </pivotArea>
    </format>
    <format dxfId="2342">
      <pivotArea dataOnly="0" labelOnly="1" fieldPosition="0">
        <references count="5">
          <reference field="4" count="1" selected="0">
            <x v="8"/>
          </reference>
          <reference field="6" count="1" selected="0">
            <x v="1"/>
          </reference>
          <reference field="7" count="1" selected="0">
            <x v="28"/>
          </reference>
          <reference field="8" count="1" selected="0">
            <x v="138"/>
          </reference>
          <reference field="15" count="3">
            <x v="270"/>
            <x v="343"/>
            <x v="355"/>
          </reference>
        </references>
      </pivotArea>
    </format>
    <format dxfId="2341">
      <pivotArea dataOnly="0" labelOnly="1" fieldPosition="0">
        <references count="5">
          <reference field="4" count="1" selected="0">
            <x v="8"/>
          </reference>
          <reference field="6" count="1" selected="0">
            <x v="1"/>
          </reference>
          <reference field="7" count="1" selected="0">
            <x v="28"/>
          </reference>
          <reference field="8" count="1" selected="0">
            <x v="139"/>
          </reference>
          <reference field="15" count="1">
            <x v="147"/>
          </reference>
        </references>
      </pivotArea>
    </format>
    <format dxfId="2340">
      <pivotArea dataOnly="0" labelOnly="1" fieldPosition="0">
        <references count="5">
          <reference field="4" count="1" selected="0">
            <x v="8"/>
          </reference>
          <reference field="6" count="1" selected="0">
            <x v="2"/>
          </reference>
          <reference field="7" count="1" selected="0">
            <x v="32"/>
          </reference>
          <reference field="8" count="1" selected="0">
            <x v="158"/>
          </reference>
          <reference field="15" count="1">
            <x v="344"/>
          </reference>
        </references>
      </pivotArea>
    </format>
    <format dxfId="2339">
      <pivotArea dataOnly="0" labelOnly="1" fieldPosition="0">
        <references count="5">
          <reference field="4" count="1" selected="0">
            <x v="8"/>
          </reference>
          <reference field="6" count="1" selected="0">
            <x v="2"/>
          </reference>
          <reference field="7" count="1" selected="0">
            <x v="32"/>
          </reference>
          <reference field="8" count="1" selected="0">
            <x v="159"/>
          </reference>
          <reference field="15" count="1">
            <x v="137"/>
          </reference>
        </references>
      </pivotArea>
    </format>
    <format dxfId="2338">
      <pivotArea dataOnly="0" labelOnly="1" fieldPosition="0">
        <references count="5">
          <reference field="4" count="1" selected="0">
            <x v="8"/>
          </reference>
          <reference field="6" count="1" selected="0">
            <x v="3"/>
          </reference>
          <reference field="7" count="1" selected="0">
            <x v="6"/>
          </reference>
          <reference field="8" count="1" selected="0">
            <x v="29"/>
          </reference>
          <reference field="15" count="4">
            <x v="145"/>
            <x v="146"/>
            <x v="356"/>
            <x v="357"/>
          </reference>
        </references>
      </pivotArea>
    </format>
    <format dxfId="2337">
      <pivotArea dataOnly="0" labelOnly="1" fieldPosition="0">
        <references count="5">
          <reference field="4" count="1" selected="0">
            <x v="8"/>
          </reference>
          <reference field="6" count="1" selected="0">
            <x v="3"/>
          </reference>
          <reference field="7" count="1" selected="0">
            <x v="6"/>
          </reference>
          <reference field="8" count="1" selected="0">
            <x v="30"/>
          </reference>
          <reference field="15" count="2">
            <x v="267"/>
            <x v="268"/>
          </reference>
        </references>
      </pivotArea>
    </format>
    <format dxfId="2336">
      <pivotArea dataOnly="0" labelOnly="1" fieldPosition="0">
        <references count="5">
          <reference field="4" count="1" selected="0">
            <x v="9"/>
          </reference>
          <reference field="6" count="1" selected="0">
            <x v="1"/>
          </reference>
          <reference field="7" count="1" selected="0">
            <x v="25"/>
          </reference>
          <reference field="8" count="1" selected="0">
            <x v="115"/>
          </reference>
          <reference field="15" count="13">
            <x v="35"/>
            <x v="36"/>
            <x v="63"/>
            <x v="72"/>
            <x v="77"/>
            <x v="238"/>
            <x v="241"/>
            <x v="242"/>
            <x v="243"/>
            <x v="247"/>
            <x v="248"/>
            <x v="260"/>
            <x v="262"/>
          </reference>
        </references>
      </pivotArea>
    </format>
    <format dxfId="2335">
      <pivotArea dataOnly="0" labelOnly="1" fieldPosition="0">
        <references count="5">
          <reference field="4" count="1" selected="0">
            <x v="9"/>
          </reference>
          <reference field="6" count="1" selected="0">
            <x v="1"/>
          </reference>
          <reference field="7" count="1" selected="0">
            <x v="25"/>
          </reference>
          <reference field="8" count="1" selected="0">
            <x v="116"/>
          </reference>
          <reference field="15" count="1">
            <x v="61"/>
          </reference>
        </references>
      </pivotArea>
    </format>
    <format dxfId="2334">
      <pivotArea dataOnly="0" labelOnly="1" fieldPosition="0">
        <references count="5">
          <reference field="4" count="1" selected="0">
            <x v="9"/>
          </reference>
          <reference field="6" count="1" selected="0">
            <x v="1"/>
          </reference>
          <reference field="7" count="1" selected="0">
            <x v="25"/>
          </reference>
          <reference field="8" count="1" selected="0">
            <x v="117"/>
          </reference>
          <reference field="15" count="2">
            <x v="92"/>
            <x v="249"/>
          </reference>
        </references>
      </pivotArea>
    </format>
    <format dxfId="2333">
      <pivotArea dataOnly="0" labelOnly="1" fieldPosition="0">
        <references count="5">
          <reference field="4" count="1" selected="0">
            <x v="9"/>
          </reference>
          <reference field="6" count="1" selected="0">
            <x v="1"/>
          </reference>
          <reference field="7" count="1" selected="0">
            <x v="25"/>
          </reference>
          <reference field="8" count="1" selected="0">
            <x v="118"/>
          </reference>
          <reference field="15" count="3">
            <x v="71"/>
            <x v="87"/>
            <x v="91"/>
          </reference>
        </references>
      </pivotArea>
    </format>
    <format dxfId="2332">
      <pivotArea dataOnly="0" labelOnly="1" fieldPosition="0">
        <references count="5">
          <reference field="4" count="1" selected="0">
            <x v="9"/>
          </reference>
          <reference field="6" count="1" selected="0">
            <x v="1"/>
          </reference>
          <reference field="7" count="1" selected="0">
            <x v="25"/>
          </reference>
          <reference field="8" count="1" selected="0">
            <x v="119"/>
          </reference>
          <reference field="15" count="4">
            <x v="62"/>
            <x v="68"/>
            <x v="69"/>
            <x v="70"/>
          </reference>
        </references>
      </pivotArea>
    </format>
    <format dxfId="2331">
      <pivotArea dataOnly="0" labelOnly="1" fieldPosition="0">
        <references count="5">
          <reference field="4" count="1" selected="0">
            <x v="9"/>
          </reference>
          <reference field="6" count="1" selected="0">
            <x v="1"/>
          </reference>
          <reference field="7" count="1" selected="0">
            <x v="25"/>
          </reference>
          <reference field="8" count="1" selected="0">
            <x v="120"/>
          </reference>
          <reference field="15" count="1">
            <x v="85"/>
          </reference>
        </references>
      </pivotArea>
    </format>
    <format dxfId="2330">
      <pivotArea dataOnly="0" labelOnly="1" fieldPosition="0">
        <references count="5">
          <reference field="4" count="1" selected="0">
            <x v="9"/>
          </reference>
          <reference field="6" count="1" selected="0">
            <x v="1"/>
          </reference>
          <reference field="7" count="1" selected="0">
            <x v="25"/>
          </reference>
          <reference field="8" count="1" selected="0">
            <x v="121"/>
          </reference>
          <reference field="15" count="2">
            <x v="41"/>
            <x v="78"/>
          </reference>
        </references>
      </pivotArea>
    </format>
    <format dxfId="2329">
      <pivotArea dataOnly="0" labelOnly="1" fieldPosition="0">
        <references count="5">
          <reference field="4" count="1" selected="0">
            <x v="9"/>
          </reference>
          <reference field="6" count="1" selected="0">
            <x v="1"/>
          </reference>
          <reference field="7" count="1" selected="0">
            <x v="25"/>
          </reference>
          <reference field="8" count="1" selected="0">
            <x v="122"/>
          </reference>
          <reference field="15" count="2">
            <x v="38"/>
            <x v="39"/>
          </reference>
        </references>
      </pivotArea>
    </format>
    <format dxfId="2328">
      <pivotArea dataOnly="0" labelOnly="1" fieldPosition="0">
        <references count="5">
          <reference field="4" count="1" selected="0">
            <x v="9"/>
          </reference>
          <reference field="6" count="1" selected="0">
            <x v="1"/>
          </reference>
          <reference field="7" count="1" selected="0">
            <x v="25"/>
          </reference>
          <reference field="8" count="1" selected="0">
            <x v="123"/>
          </reference>
          <reference field="15" count="7">
            <x v="32"/>
            <x v="33"/>
            <x v="60"/>
            <x v="82"/>
            <x v="83"/>
            <x v="89"/>
            <x v="90"/>
          </reference>
        </references>
      </pivotArea>
    </format>
    <format dxfId="2327">
      <pivotArea dataOnly="0" labelOnly="1" fieldPosition="0">
        <references count="5">
          <reference field="4" count="1" selected="0">
            <x v="9"/>
          </reference>
          <reference field="6" count="1" selected="0">
            <x v="1"/>
          </reference>
          <reference field="7" count="1" selected="0">
            <x v="25"/>
          </reference>
          <reference field="8" count="1" selected="0">
            <x v="124"/>
          </reference>
          <reference field="15" count="1">
            <x v="261"/>
          </reference>
        </references>
      </pivotArea>
    </format>
    <format dxfId="2326">
      <pivotArea dataOnly="0" labelOnly="1" fieldPosition="0">
        <references count="5">
          <reference field="4" count="1" selected="0">
            <x v="10"/>
          </reference>
          <reference field="6" count="1" selected="0">
            <x v="3"/>
          </reference>
          <reference field="7" count="1" selected="0">
            <x v="6"/>
          </reference>
          <reference field="8" count="1" selected="0">
            <x v="29"/>
          </reference>
          <reference field="15" count="21">
            <x v="2"/>
            <x v="3"/>
            <x v="5"/>
            <x v="152"/>
            <x v="153"/>
            <x v="154"/>
            <x v="155"/>
            <x v="156"/>
            <x v="157"/>
            <x v="158"/>
            <x v="159"/>
            <x v="160"/>
            <x v="161"/>
            <x v="162"/>
            <x v="163"/>
            <x v="189"/>
            <x v="190"/>
            <x v="191"/>
            <x v="192"/>
            <x v="193"/>
            <x v="395"/>
          </reference>
        </references>
      </pivotArea>
    </format>
    <format dxfId="2325">
      <pivotArea dataOnly="0" labelOnly="1" fieldPosition="0">
        <references count="5">
          <reference field="4" count="1" selected="0">
            <x v="11"/>
          </reference>
          <reference field="6" count="1" selected="0">
            <x v="0"/>
          </reference>
          <reference field="7" count="1" selected="0">
            <x v="17"/>
          </reference>
          <reference field="8" count="1" selected="0">
            <x v="70"/>
          </reference>
          <reference field="15" count="4">
            <x v="345"/>
            <x v="346"/>
            <x v="347"/>
            <x v="351"/>
          </reference>
        </references>
      </pivotArea>
    </format>
    <format dxfId="2324">
      <pivotArea dataOnly="0" labelOnly="1" fieldPosition="0">
        <references count="5">
          <reference field="4" count="1" selected="0">
            <x v="11"/>
          </reference>
          <reference field="6" count="1" selected="0">
            <x v="0"/>
          </reference>
          <reference field="7" count="1" selected="0">
            <x v="17"/>
          </reference>
          <reference field="8" count="1" selected="0">
            <x v="71"/>
          </reference>
          <reference field="15" count="3">
            <x v="348"/>
            <x v="352"/>
            <x v="353"/>
          </reference>
        </references>
      </pivotArea>
    </format>
    <format dxfId="2323">
      <pivotArea dataOnly="0" labelOnly="1" fieldPosition="0">
        <references count="5">
          <reference field="4" count="1" selected="0">
            <x v="11"/>
          </reference>
          <reference field="6" count="1" selected="0">
            <x v="0"/>
          </reference>
          <reference field="7" count="1" selected="0">
            <x v="17"/>
          </reference>
          <reference field="8" count="1" selected="0">
            <x v="72"/>
          </reference>
          <reference field="15" count="3">
            <x v="143"/>
            <x v="349"/>
            <x v="350"/>
          </reference>
        </references>
      </pivotArea>
    </format>
    <format dxfId="2322">
      <pivotArea dataOnly="0" labelOnly="1" fieldPosition="0">
        <references count="5">
          <reference field="4" count="1" selected="0">
            <x v="12"/>
          </reference>
          <reference field="6" count="1" selected="0">
            <x v="0"/>
          </reference>
          <reference field="7" count="1" selected="0">
            <x v="18"/>
          </reference>
          <reference field="8" count="1" selected="0">
            <x v="74"/>
          </reference>
          <reference field="15" count="2">
            <x v="113"/>
            <x v="114"/>
          </reference>
        </references>
      </pivotArea>
    </format>
    <format dxfId="2321">
      <pivotArea dataOnly="0" labelOnly="1" fieldPosition="0">
        <references count="5">
          <reference field="4" count="1" selected="0">
            <x v="12"/>
          </reference>
          <reference field="6" count="1" selected="0">
            <x v="0"/>
          </reference>
          <reference field="7" count="1" selected="0">
            <x v="18"/>
          </reference>
          <reference field="8" count="1" selected="0">
            <x v="75"/>
          </reference>
          <reference field="15" count="1">
            <x v="116"/>
          </reference>
        </references>
      </pivotArea>
    </format>
    <format dxfId="2320">
      <pivotArea dataOnly="0" labelOnly="1" fieldPosition="0">
        <references count="5">
          <reference field="4" count="1" selected="0">
            <x v="12"/>
          </reference>
          <reference field="6" count="1" selected="0">
            <x v="0"/>
          </reference>
          <reference field="7" count="1" selected="0">
            <x v="18"/>
          </reference>
          <reference field="8" count="1" selected="0">
            <x v="76"/>
          </reference>
          <reference field="15" count="1">
            <x v="244"/>
          </reference>
        </references>
      </pivotArea>
    </format>
    <format dxfId="2319">
      <pivotArea dataOnly="0" labelOnly="1" fieldPosition="0">
        <references count="5">
          <reference field="4" count="1" selected="0">
            <x v="13"/>
          </reference>
          <reference field="6" count="1" selected="0">
            <x v="3"/>
          </reference>
          <reference field="7" count="1" selected="0">
            <x v="1"/>
          </reference>
          <reference field="8" count="1" selected="0">
            <x v="6"/>
          </reference>
          <reference field="15" count="1">
            <x v="340"/>
          </reference>
        </references>
      </pivotArea>
    </format>
    <format dxfId="2318">
      <pivotArea dataOnly="0" labelOnly="1" fieldPosition="0">
        <references count="5">
          <reference field="4" count="1" selected="0">
            <x v="13"/>
          </reference>
          <reference field="6" count="1" selected="0">
            <x v="3"/>
          </reference>
          <reference field="7" count="1" selected="0">
            <x v="5"/>
          </reference>
          <reference field="8" count="1" selected="0">
            <x v="22"/>
          </reference>
          <reference field="15" count="1">
            <x v="333"/>
          </reference>
        </references>
      </pivotArea>
    </format>
    <format dxfId="2317">
      <pivotArea dataOnly="0" labelOnly="1" fieldPosition="0">
        <references count="5">
          <reference field="4" count="1" selected="0">
            <x v="13"/>
          </reference>
          <reference field="6" count="1" selected="0">
            <x v="3"/>
          </reference>
          <reference field="7" count="1" selected="0">
            <x v="5"/>
          </reference>
          <reference field="8" count="1" selected="0">
            <x v="23"/>
          </reference>
          <reference field="15" count="1">
            <x v="332"/>
          </reference>
        </references>
      </pivotArea>
    </format>
    <format dxfId="2316">
      <pivotArea dataOnly="0" labelOnly="1" fieldPosition="0">
        <references count="5">
          <reference field="4" count="1" selected="0">
            <x v="13"/>
          </reference>
          <reference field="6" count="1" selected="0">
            <x v="3"/>
          </reference>
          <reference field="7" count="1" selected="0">
            <x v="5"/>
          </reference>
          <reference field="8" count="1" selected="0">
            <x v="24"/>
          </reference>
          <reference field="15" count="1">
            <x v="339"/>
          </reference>
        </references>
      </pivotArea>
    </format>
    <format dxfId="2315">
      <pivotArea dataOnly="0" labelOnly="1" fieldPosition="0">
        <references count="5">
          <reference field="4" count="1" selected="0">
            <x v="13"/>
          </reference>
          <reference field="6" count="1" selected="0">
            <x v="3"/>
          </reference>
          <reference field="7" count="1" selected="0">
            <x v="5"/>
          </reference>
          <reference field="8" count="1" selected="0">
            <x v="25"/>
          </reference>
          <reference field="15" count="1">
            <x v="342"/>
          </reference>
        </references>
      </pivotArea>
    </format>
    <format dxfId="2314">
      <pivotArea dataOnly="0" labelOnly="1" fieldPosition="0">
        <references count="5">
          <reference field="4" count="1" selected="0">
            <x v="13"/>
          </reference>
          <reference field="6" count="1" selected="0">
            <x v="3"/>
          </reference>
          <reference field="7" count="1" selected="0">
            <x v="5"/>
          </reference>
          <reference field="8" count="1" selected="0">
            <x v="26"/>
          </reference>
          <reference field="15" count="1">
            <x v="338"/>
          </reference>
        </references>
      </pivotArea>
    </format>
    <format dxfId="2313">
      <pivotArea dataOnly="0" labelOnly="1" fieldPosition="0">
        <references count="5">
          <reference field="4" count="1" selected="0">
            <x v="13"/>
          </reference>
          <reference field="6" count="1" selected="0">
            <x v="3"/>
          </reference>
          <reference field="7" count="1" selected="0">
            <x v="5"/>
          </reference>
          <reference field="8" count="1" selected="0">
            <x v="27"/>
          </reference>
          <reference field="15" count="1">
            <x v="341"/>
          </reference>
        </references>
      </pivotArea>
    </format>
    <format dxfId="2312">
      <pivotArea dataOnly="0" labelOnly="1" fieldPosition="0">
        <references count="5">
          <reference field="4" count="1" selected="0">
            <x v="14"/>
          </reference>
          <reference field="6" count="1" selected="0">
            <x v="1"/>
          </reference>
          <reference field="7" count="1" selected="0">
            <x v="26"/>
          </reference>
          <reference field="8" count="1" selected="0">
            <x v="125"/>
          </reference>
          <reference field="15" count="4">
            <x v="26"/>
            <x v="27"/>
            <x v="28"/>
            <x v="99"/>
          </reference>
        </references>
      </pivotArea>
    </format>
    <format dxfId="2311">
      <pivotArea dataOnly="0" labelOnly="1" fieldPosition="0">
        <references count="5">
          <reference field="4" count="1" selected="0">
            <x v="14"/>
          </reference>
          <reference field="6" count="1" selected="0">
            <x v="1"/>
          </reference>
          <reference field="7" count="1" selected="0">
            <x v="26"/>
          </reference>
          <reference field="8" count="1" selected="0">
            <x v="126"/>
          </reference>
          <reference field="15" count="1">
            <x v="19"/>
          </reference>
        </references>
      </pivotArea>
    </format>
    <format dxfId="2310">
      <pivotArea dataOnly="0" labelOnly="1" fieldPosition="0">
        <references count="5">
          <reference field="4" count="1" selected="0">
            <x v="14"/>
          </reference>
          <reference field="6" count="1" selected="0">
            <x v="1"/>
          </reference>
          <reference field="7" count="1" selected="0">
            <x v="26"/>
          </reference>
          <reference field="8" count="1" selected="0">
            <x v="127"/>
          </reference>
          <reference field="15" count="2">
            <x v="150"/>
            <x v="151"/>
          </reference>
        </references>
      </pivotArea>
    </format>
    <format dxfId="2309">
      <pivotArea dataOnly="0" labelOnly="1" fieldPosition="0">
        <references count="5">
          <reference field="4" count="1" selected="0">
            <x v="14"/>
          </reference>
          <reference field="6" count="1" selected="0">
            <x v="1"/>
          </reference>
          <reference field="7" count="1" selected="0">
            <x v="26"/>
          </reference>
          <reference field="8" count="1" selected="0">
            <x v="128"/>
          </reference>
          <reference field="15" count="2">
            <x v="29"/>
            <x v="30"/>
          </reference>
        </references>
      </pivotArea>
    </format>
    <format dxfId="2308">
      <pivotArea dataOnly="0" labelOnly="1" fieldPosition="0">
        <references count="5">
          <reference field="4" count="1" selected="0">
            <x v="14"/>
          </reference>
          <reference field="6" count="1" selected="0">
            <x v="1"/>
          </reference>
          <reference field="7" count="1" selected="0">
            <x v="26"/>
          </reference>
          <reference field="8" count="1" selected="0">
            <x v="129"/>
          </reference>
          <reference field="15" count="2">
            <x v="330"/>
            <x v="331"/>
          </reference>
        </references>
      </pivotArea>
    </format>
    <format dxfId="2307">
      <pivotArea dataOnly="0" labelOnly="1" fieldPosition="0">
        <references count="5">
          <reference field="4" count="1" selected="0">
            <x v="14"/>
          </reference>
          <reference field="6" count="1" selected="0">
            <x v="1"/>
          </reference>
          <reference field="7" count="1" selected="0">
            <x v="26"/>
          </reference>
          <reference field="8" count="1" selected="0">
            <x v="130"/>
          </reference>
          <reference field="15" count="2">
            <x v="367"/>
            <x v="368"/>
          </reference>
        </references>
      </pivotArea>
    </format>
    <format dxfId="2306">
      <pivotArea dataOnly="0" labelOnly="1" fieldPosition="0">
        <references count="5">
          <reference field="4" count="1" selected="0">
            <x v="14"/>
          </reference>
          <reference field="6" count="1" selected="0">
            <x v="1"/>
          </reference>
          <reference field="7" count="1" selected="0">
            <x v="26"/>
          </reference>
          <reference field="8" count="1" selected="0">
            <x v="131"/>
          </reference>
          <reference field="15" count="3">
            <x v="14"/>
            <x v="15"/>
            <x v="16"/>
          </reference>
        </references>
      </pivotArea>
    </format>
    <format dxfId="2305">
      <pivotArea dataOnly="0" labelOnly="1" fieldPosition="0">
        <references count="5">
          <reference field="4" count="1" selected="0">
            <x v="15"/>
          </reference>
          <reference field="6" count="1" selected="0">
            <x v="0"/>
          </reference>
          <reference field="7" count="1" selected="0">
            <x v="20"/>
          </reference>
          <reference field="8" count="1" selected="0">
            <x v="82"/>
          </reference>
          <reference field="15" count="2">
            <x v="73"/>
            <x v="74"/>
          </reference>
        </references>
      </pivotArea>
    </format>
    <format dxfId="2304">
      <pivotArea dataOnly="0" labelOnly="1" fieldPosition="0">
        <references count="5">
          <reference field="4" count="1" selected="0">
            <x v="15"/>
          </reference>
          <reference field="6" count="1" selected="0">
            <x v="0"/>
          </reference>
          <reference field="7" count="1" selected="0">
            <x v="20"/>
          </reference>
          <reference field="8" count="1" selected="0">
            <x v="83"/>
          </reference>
          <reference field="15" count="1">
            <x v="75"/>
          </reference>
        </references>
      </pivotArea>
    </format>
    <format dxfId="2303">
      <pivotArea dataOnly="0" labelOnly="1" fieldPosition="0">
        <references count="5">
          <reference field="4" count="1" selected="0">
            <x v="15"/>
          </reference>
          <reference field="6" count="1" selected="0">
            <x v="0"/>
          </reference>
          <reference field="7" count="1" selected="0">
            <x v="20"/>
          </reference>
          <reference field="8" count="1" selected="0">
            <x v="84"/>
          </reference>
          <reference field="15" count="1">
            <x v="76"/>
          </reference>
        </references>
      </pivotArea>
    </format>
    <format dxfId="2302">
      <pivotArea dataOnly="0" labelOnly="1" fieldPosition="0">
        <references count="5">
          <reference field="4" count="1" selected="0">
            <x v="15"/>
          </reference>
          <reference field="6" count="1" selected="0">
            <x v="0"/>
          </reference>
          <reference field="7" count="1" selected="0">
            <x v="20"/>
          </reference>
          <reference field="8" count="1" selected="0">
            <x v="85"/>
          </reference>
          <reference field="15" count="1">
            <x v="259"/>
          </reference>
        </references>
      </pivotArea>
    </format>
    <format dxfId="2301">
      <pivotArea dataOnly="0" labelOnly="1" fieldPosition="0">
        <references count="5">
          <reference field="4" count="1" selected="0">
            <x v="15"/>
          </reference>
          <reference field="6" count="1" selected="0">
            <x v="0"/>
          </reference>
          <reference field="7" count="1" selected="0">
            <x v="20"/>
          </reference>
          <reference field="8" count="1" selected="0">
            <x v="86"/>
          </reference>
          <reference field="15" count="3">
            <x v="132"/>
            <x v="133"/>
            <x v="134"/>
          </reference>
        </references>
      </pivotArea>
    </format>
    <format dxfId="2300">
      <pivotArea dataOnly="0" labelOnly="1" fieldPosition="0">
        <references count="5">
          <reference field="4" count="1" selected="0">
            <x v="16"/>
          </reference>
          <reference field="6" count="1" selected="0">
            <x v="1"/>
          </reference>
          <reference field="7" count="1" selected="0">
            <x v="27"/>
          </reference>
          <reference field="8" count="1" selected="0">
            <x v="132"/>
          </reference>
          <reference field="15" count="1">
            <x v="20"/>
          </reference>
        </references>
      </pivotArea>
    </format>
    <format dxfId="2299">
      <pivotArea dataOnly="0" labelOnly="1" fieldPosition="0">
        <references count="5">
          <reference field="4" count="1" selected="0">
            <x v="16"/>
          </reference>
          <reference field="6" count="1" selected="0">
            <x v="1"/>
          </reference>
          <reference field="7" count="1" selected="0">
            <x v="27"/>
          </reference>
          <reference field="8" count="1" selected="0">
            <x v="133"/>
          </reference>
          <reference field="15" count="3">
            <x v="21"/>
            <x v="22"/>
            <x v="23"/>
          </reference>
        </references>
      </pivotArea>
    </format>
    <format dxfId="2298">
      <pivotArea dataOnly="0" labelOnly="1" fieldPosition="0">
        <references count="5">
          <reference field="4" count="1" selected="0">
            <x v="16"/>
          </reference>
          <reference field="6" count="1" selected="0">
            <x v="1"/>
          </reference>
          <reference field="7" count="1" selected="0">
            <x v="27"/>
          </reference>
          <reference field="8" count="1" selected="0">
            <x v="134"/>
          </reference>
          <reference field="15" count="2">
            <x v="149"/>
            <x v="354"/>
          </reference>
        </references>
      </pivotArea>
    </format>
    <format dxfId="2297">
      <pivotArea dataOnly="0" labelOnly="1" fieldPosition="0">
        <references count="5">
          <reference field="4" count="1" selected="0">
            <x v="16"/>
          </reference>
          <reference field="6" count="1" selected="0">
            <x v="1"/>
          </reference>
          <reference field="7" count="1" selected="0">
            <x v="27"/>
          </reference>
          <reference field="8" count="1" selected="0">
            <x v="135"/>
          </reference>
          <reference field="15" count="2">
            <x v="109"/>
            <x v="363"/>
          </reference>
        </references>
      </pivotArea>
    </format>
    <format dxfId="2296">
      <pivotArea dataOnly="0" labelOnly="1" fieldPosition="0">
        <references count="5">
          <reference field="4" count="1" selected="0">
            <x v="16"/>
          </reference>
          <reference field="6" count="1" selected="0">
            <x v="1"/>
          </reference>
          <reference field="7" count="1" selected="0">
            <x v="27"/>
          </reference>
          <reference field="8" count="1" selected="0">
            <x v="136"/>
          </reference>
          <reference field="15" count="2">
            <x v="81"/>
            <x v="148"/>
          </reference>
        </references>
      </pivotArea>
    </format>
    <format dxfId="2295">
      <pivotArea dataOnly="0" labelOnly="1" fieldPosition="0">
        <references count="5">
          <reference field="4" count="1" selected="0">
            <x v="16"/>
          </reference>
          <reference field="6" count="1" selected="0">
            <x v="1"/>
          </reference>
          <reference field="7" count="1" selected="0">
            <x v="27"/>
          </reference>
          <reference field="8" count="1" selected="0">
            <x v="137"/>
          </reference>
          <reference field="15" count="2">
            <x v="111"/>
            <x v="112"/>
          </reference>
        </references>
      </pivotArea>
    </format>
    <format dxfId="2294">
      <pivotArea dataOnly="0" labelOnly="1" fieldPosition="0">
        <references count="5">
          <reference field="4" count="1" selected="0">
            <x v="16"/>
          </reference>
          <reference field="6" count="1" selected="0">
            <x v="3"/>
          </reference>
          <reference field="7" count="1" selected="0">
            <x v="1"/>
          </reference>
          <reference field="8" count="1" selected="0">
            <x v="6"/>
          </reference>
          <reference field="15" count="1">
            <x v="362"/>
          </reference>
        </references>
      </pivotArea>
    </format>
    <format dxfId="2293">
      <pivotArea dataOnly="0" labelOnly="1" fieldPosition="0">
        <references count="5">
          <reference field="4" count="1" selected="0">
            <x v="16"/>
          </reference>
          <reference field="6" count="1" selected="0">
            <x v="4"/>
          </reference>
          <reference field="7" count="1" selected="0">
            <x v="8"/>
          </reference>
          <reference field="8" count="1" selected="0">
            <x v="38"/>
          </reference>
          <reference field="15" count="1">
            <x v="229"/>
          </reference>
        </references>
      </pivotArea>
    </format>
    <format dxfId="2292">
      <pivotArea dataOnly="0" labelOnly="1" fieldPosition="0">
        <references count="5">
          <reference field="4" count="1" selected="0">
            <x v="16"/>
          </reference>
          <reference field="6" count="1" selected="0">
            <x v="4"/>
          </reference>
          <reference field="7" count="1" selected="0">
            <x v="11"/>
          </reference>
          <reference field="8" count="1" selected="0">
            <x v="48"/>
          </reference>
          <reference field="15" count="1">
            <x v="200"/>
          </reference>
        </references>
      </pivotArea>
    </format>
    <format dxfId="2291">
      <pivotArea dataOnly="0" labelOnly="1" fieldPosition="0">
        <references count="5">
          <reference field="4" count="1" selected="0">
            <x v="17"/>
          </reference>
          <reference field="6" count="1" selected="0">
            <x v="0"/>
          </reference>
          <reference field="7" count="1" selected="0">
            <x v="16"/>
          </reference>
          <reference field="8" count="1" selected="0">
            <x v="57"/>
          </reference>
          <reference field="15" count="5">
            <x v="110"/>
            <x v="284"/>
            <x v="285"/>
            <x v="294"/>
            <x v="295"/>
          </reference>
        </references>
      </pivotArea>
    </format>
    <format dxfId="2290">
      <pivotArea dataOnly="0" labelOnly="1" fieldPosition="0">
        <references count="5">
          <reference field="4" count="1" selected="0">
            <x v="17"/>
          </reference>
          <reference field="6" count="1" selected="0">
            <x v="0"/>
          </reference>
          <reference field="7" count="1" selected="0">
            <x v="16"/>
          </reference>
          <reference field="8" count="1" selected="0">
            <x v="58"/>
          </reference>
          <reference field="15" count="2">
            <x v="299"/>
            <x v="300"/>
          </reference>
        </references>
      </pivotArea>
    </format>
    <format dxfId="2289">
      <pivotArea dataOnly="0" labelOnly="1" fieldPosition="0">
        <references count="5">
          <reference field="4" count="1" selected="0">
            <x v="17"/>
          </reference>
          <reference field="6" count="1" selected="0">
            <x v="0"/>
          </reference>
          <reference field="7" count="1" selected="0">
            <x v="16"/>
          </reference>
          <reference field="8" count="1" selected="0">
            <x v="59"/>
          </reference>
          <reference field="15" count="2">
            <x v="94"/>
            <x v="95"/>
          </reference>
        </references>
      </pivotArea>
    </format>
    <format dxfId="2288">
      <pivotArea dataOnly="0" labelOnly="1" fieldPosition="0">
        <references count="5">
          <reference field="4" count="1" selected="0">
            <x v="17"/>
          </reference>
          <reference field="6" count="1" selected="0">
            <x v="0"/>
          </reference>
          <reference field="7" count="1" selected="0">
            <x v="16"/>
          </reference>
          <reference field="8" count="1" selected="0">
            <x v="60"/>
          </reference>
          <reference field="15" count="5">
            <x v="102"/>
            <x v="103"/>
            <x v="104"/>
            <x v="322"/>
            <x v="323"/>
          </reference>
        </references>
      </pivotArea>
    </format>
    <format dxfId="2287">
      <pivotArea dataOnly="0" labelOnly="1" fieldPosition="0">
        <references count="5">
          <reference field="4" count="1" selected="0">
            <x v="17"/>
          </reference>
          <reference field="6" count="1" selected="0">
            <x v="0"/>
          </reference>
          <reference field="7" count="1" selected="0">
            <x v="16"/>
          </reference>
          <reference field="8" count="1" selected="0">
            <x v="61"/>
          </reference>
          <reference field="15" count="2">
            <x v="296"/>
            <x v="297"/>
          </reference>
        </references>
      </pivotArea>
    </format>
    <format dxfId="2286">
      <pivotArea dataOnly="0" labelOnly="1" fieldPosition="0">
        <references count="5">
          <reference field="4" count="1" selected="0">
            <x v="17"/>
          </reference>
          <reference field="6" count="1" selected="0">
            <x v="0"/>
          </reference>
          <reference field="7" count="1" selected="0">
            <x v="16"/>
          </reference>
          <reference field="8" count="1" selected="0">
            <x v="62"/>
          </reference>
          <reference field="15" count="1">
            <x v="93"/>
          </reference>
        </references>
      </pivotArea>
    </format>
    <format dxfId="2285">
      <pivotArea dataOnly="0" labelOnly="1" fieldPosition="0">
        <references count="5">
          <reference field="4" count="1" selected="0">
            <x v="17"/>
          </reference>
          <reference field="6" count="1" selected="0">
            <x v="0"/>
          </reference>
          <reference field="7" count="1" selected="0">
            <x v="16"/>
          </reference>
          <reference field="8" count="1" selected="0">
            <x v="63"/>
          </reference>
          <reference field="15" count="2">
            <x v="315"/>
            <x v="316"/>
          </reference>
        </references>
      </pivotArea>
    </format>
    <format dxfId="2284">
      <pivotArea dataOnly="0" labelOnly="1" fieldPosition="0">
        <references count="5">
          <reference field="4" count="1" selected="0">
            <x v="17"/>
          </reference>
          <reference field="6" count="1" selected="0">
            <x v="0"/>
          </reference>
          <reference field="7" count="1" selected="0">
            <x v="22"/>
          </reference>
          <reference field="8" count="1" selected="0">
            <x v="94"/>
          </reference>
          <reference field="15" count="2">
            <x v="105"/>
            <x v="106"/>
          </reference>
        </references>
      </pivotArea>
    </format>
    <format dxfId="2283">
      <pivotArea dataOnly="0" labelOnly="1" fieldPosition="0">
        <references count="5">
          <reference field="4" count="1" selected="0">
            <x v="18"/>
          </reference>
          <reference field="6" count="1" selected="0">
            <x v="3"/>
          </reference>
          <reference field="7" count="1" selected="0">
            <x v="2"/>
          </reference>
          <reference field="8" count="1" selected="0">
            <x v="8"/>
          </reference>
          <reference field="15" count="2">
            <x v="375"/>
            <x v="376"/>
          </reference>
        </references>
      </pivotArea>
    </format>
    <format dxfId="2282">
      <pivotArea dataOnly="0" labelOnly="1" fieldPosition="0">
        <references count="5">
          <reference field="4" count="1" selected="0">
            <x v="18"/>
          </reference>
          <reference field="6" count="1" selected="0">
            <x v="3"/>
          </reference>
          <reference field="7" count="1" selected="0">
            <x v="2"/>
          </reference>
          <reference field="8" count="1" selected="0">
            <x v="9"/>
          </reference>
          <reference field="15" count="1">
            <x v="266"/>
          </reference>
        </references>
      </pivotArea>
    </format>
    <format dxfId="2281">
      <pivotArea dataOnly="0" labelOnly="1" fieldPosition="0">
        <references count="5">
          <reference field="4" count="1" selected="0">
            <x v="18"/>
          </reference>
          <reference field="6" count="1" selected="0">
            <x v="3"/>
          </reference>
          <reference field="7" count="1" selected="0">
            <x v="2"/>
          </reference>
          <reference field="8" count="1" selected="0">
            <x v="16"/>
          </reference>
          <reference field="15" count="2">
            <x v="271"/>
            <x v="272"/>
          </reference>
        </references>
      </pivotArea>
    </format>
    <format dxfId="2280">
      <pivotArea dataOnly="0" labelOnly="1" fieldPosition="0">
        <references count="5">
          <reference field="4" count="1" selected="0">
            <x v="18"/>
          </reference>
          <reference field="6" count="1" selected="0">
            <x v="3"/>
          </reference>
          <reference field="7" count="1" selected="0">
            <x v="2"/>
          </reference>
          <reference field="8" count="1" selected="0">
            <x v="17"/>
          </reference>
          <reference field="15" count="3">
            <x v="286"/>
            <x v="287"/>
            <x v="288"/>
          </reference>
        </references>
      </pivotArea>
    </format>
    <format dxfId="2279">
      <pivotArea dataOnly="0" labelOnly="1" fieldPosition="0">
        <references count="5">
          <reference field="4" count="1" selected="0">
            <x v="19"/>
          </reference>
          <reference field="6" count="1" selected="0">
            <x v="3"/>
          </reference>
          <reference field="7" count="1" selected="0">
            <x v="6"/>
          </reference>
          <reference field="8" count="1" selected="0">
            <x v="29"/>
          </reference>
          <reference field="15" count="24">
            <x v="4"/>
            <x v="168"/>
            <x v="169"/>
            <x v="170"/>
            <x v="171"/>
            <x v="172"/>
            <x v="173"/>
            <x v="174"/>
            <x v="183"/>
            <x v="184"/>
            <x v="185"/>
            <x v="186"/>
            <x v="187"/>
            <x v="188"/>
            <x v="194"/>
            <x v="195"/>
            <x v="196"/>
            <x v="197"/>
            <x v="198"/>
            <x v="199"/>
            <x v="203"/>
            <x v="204"/>
            <x v="223"/>
            <x v="258"/>
          </reference>
        </references>
      </pivotArea>
    </format>
    <format dxfId="2278">
      <pivotArea dataOnly="0" labelOnly="1" fieldPosition="0">
        <references count="5">
          <reference field="4" count="1" selected="0">
            <x v="20"/>
          </reference>
          <reference field="6" count="1" selected="0">
            <x v="1"/>
          </reference>
          <reference field="7" count="1" selected="0">
            <x v="24"/>
          </reference>
          <reference field="8" count="1" selected="0">
            <x v="106"/>
          </reference>
          <reference field="15" count="2">
            <x v="239"/>
            <x v="240"/>
          </reference>
        </references>
      </pivotArea>
    </format>
    <format dxfId="2277">
      <pivotArea dataOnly="0" labelOnly="1" outline="0" fieldPosition="0">
        <references count="1">
          <reference field="4294967294" count="2">
            <x v="7"/>
            <x v="8"/>
          </reference>
        </references>
      </pivotArea>
    </format>
    <format dxfId="2276">
      <pivotArea outline="0" collapsedLevelsAreSubtotals="1" fieldPosition="0"/>
    </format>
    <format dxfId="2275">
      <pivotArea dataOnly="0" labelOnly="1" outline="0" fieldPosition="0">
        <references count="1">
          <reference field="2" count="0"/>
        </references>
      </pivotArea>
    </format>
    <format dxfId="2274">
      <pivotArea dataOnly="0" labelOnly="1" outline="0" fieldPosition="0">
        <references count="1">
          <reference field="4294967294" count="9">
            <x v="0"/>
            <x v="1"/>
            <x v="2"/>
            <x v="3"/>
            <x v="4"/>
            <x v="5"/>
            <x v="6"/>
            <x v="7"/>
            <x v="8"/>
          </reference>
        </references>
      </pivotArea>
    </format>
    <format dxfId="2273">
      <pivotArea outline="0" collapsedLevelsAreSubtotals="1" fieldPosition="0">
        <references count="1">
          <reference field="4294967294" count="2" selected="0">
            <x v="7"/>
            <x v="8"/>
          </reference>
        </references>
      </pivotArea>
    </format>
    <format dxfId="2272">
      <pivotArea dataOnly="0" labelOnly="1" outline="0" fieldPosition="0">
        <references count="1">
          <reference field="4294967294" count="2">
            <x v="7"/>
            <x v="8"/>
          </reference>
        </references>
      </pivotArea>
    </format>
    <format dxfId="2271">
      <pivotArea field="2" type="button" dataOnly="0" labelOnly="1" outline="0" axis="axisPage" fieldPosition="0"/>
    </format>
    <format dxfId="2270">
      <pivotArea field="4" type="button" dataOnly="0" labelOnly="1" outline="0" axis="axisRow" fieldPosition="0"/>
    </format>
    <format dxfId="2269">
      <pivotArea dataOnly="0" labelOnly="1" fieldPosition="0">
        <references count="1">
          <reference field="4" count="1">
            <x v="14"/>
          </reference>
        </references>
      </pivotArea>
    </format>
    <format dxfId="2268">
      <pivotArea dataOnly="0" labelOnly="1" grandRow="1" outline="0" fieldPosition="0"/>
    </format>
    <format dxfId="2267">
      <pivotArea dataOnly="0" labelOnly="1" fieldPosition="0">
        <references count="2">
          <reference field="4" count="1" selected="0">
            <x v="14"/>
          </reference>
          <reference field="6" count="1">
            <x v="1"/>
          </reference>
        </references>
      </pivotArea>
    </format>
    <format dxfId="2266">
      <pivotArea dataOnly="0" labelOnly="1" fieldPosition="0">
        <references count="3">
          <reference field="4" count="1" selected="0">
            <x v="14"/>
          </reference>
          <reference field="6" count="1" selected="0">
            <x v="1"/>
          </reference>
          <reference field="7" count="1">
            <x v="26"/>
          </reference>
        </references>
      </pivotArea>
    </format>
    <format dxfId="2265">
      <pivotArea dataOnly="0" labelOnly="1" fieldPosition="0">
        <references count="4">
          <reference field="4" count="1" selected="0">
            <x v="14"/>
          </reference>
          <reference field="6" count="1" selected="0">
            <x v="1"/>
          </reference>
          <reference field="7" count="1" selected="0">
            <x v="26"/>
          </reference>
          <reference field="8" count="7">
            <x v="125"/>
            <x v="126"/>
            <x v="127"/>
            <x v="128"/>
            <x v="129"/>
            <x v="130"/>
            <x v="131"/>
          </reference>
        </references>
      </pivotArea>
    </format>
    <format dxfId="2264">
      <pivotArea dataOnly="0" labelOnly="1" fieldPosition="0">
        <references count="5">
          <reference field="4" count="1" selected="0">
            <x v="14"/>
          </reference>
          <reference field="6" count="1" selected="0">
            <x v="1"/>
          </reference>
          <reference field="7" count="1" selected="0">
            <x v="26"/>
          </reference>
          <reference field="8" count="1" selected="0">
            <x v="125"/>
          </reference>
          <reference field="15" count="4">
            <x v="26"/>
            <x v="27"/>
            <x v="28"/>
            <x v="99"/>
          </reference>
        </references>
      </pivotArea>
    </format>
    <format dxfId="2263">
      <pivotArea dataOnly="0" labelOnly="1" fieldPosition="0">
        <references count="5">
          <reference field="4" count="1" selected="0">
            <x v="14"/>
          </reference>
          <reference field="6" count="1" selected="0">
            <x v="1"/>
          </reference>
          <reference field="7" count="1" selected="0">
            <x v="26"/>
          </reference>
          <reference field="8" count="1" selected="0">
            <x v="126"/>
          </reference>
          <reference field="15" count="1">
            <x v="19"/>
          </reference>
        </references>
      </pivotArea>
    </format>
    <format dxfId="2262">
      <pivotArea dataOnly="0" labelOnly="1" fieldPosition="0">
        <references count="5">
          <reference field="4" count="1" selected="0">
            <x v="14"/>
          </reference>
          <reference field="6" count="1" selected="0">
            <x v="1"/>
          </reference>
          <reference field="7" count="1" selected="0">
            <x v="26"/>
          </reference>
          <reference field="8" count="1" selected="0">
            <x v="127"/>
          </reference>
          <reference field="15" count="2">
            <x v="150"/>
            <x v="151"/>
          </reference>
        </references>
      </pivotArea>
    </format>
    <format dxfId="2261">
      <pivotArea dataOnly="0" labelOnly="1" fieldPosition="0">
        <references count="5">
          <reference field="4" count="1" selected="0">
            <x v="14"/>
          </reference>
          <reference field="6" count="1" selected="0">
            <x v="1"/>
          </reference>
          <reference field="7" count="1" selected="0">
            <x v="26"/>
          </reference>
          <reference field="8" count="1" selected="0">
            <x v="128"/>
          </reference>
          <reference field="15" count="2">
            <x v="29"/>
            <x v="30"/>
          </reference>
        </references>
      </pivotArea>
    </format>
    <format dxfId="2260">
      <pivotArea dataOnly="0" labelOnly="1" fieldPosition="0">
        <references count="5">
          <reference field="4" count="1" selected="0">
            <x v="14"/>
          </reference>
          <reference field="6" count="1" selected="0">
            <x v="1"/>
          </reference>
          <reference field="7" count="1" selected="0">
            <x v="26"/>
          </reference>
          <reference field="8" count="1" selected="0">
            <x v="129"/>
          </reference>
          <reference field="15" count="2">
            <x v="330"/>
            <x v="331"/>
          </reference>
        </references>
      </pivotArea>
    </format>
    <format dxfId="2259">
      <pivotArea dataOnly="0" labelOnly="1" fieldPosition="0">
        <references count="5">
          <reference field="4" count="1" selected="0">
            <x v="14"/>
          </reference>
          <reference field="6" count="1" selected="0">
            <x v="1"/>
          </reference>
          <reference field="7" count="1" selected="0">
            <x v="26"/>
          </reference>
          <reference field="8" count="1" selected="0">
            <x v="130"/>
          </reference>
          <reference field="15" count="2">
            <x v="367"/>
            <x v="368"/>
          </reference>
        </references>
      </pivotArea>
    </format>
    <format dxfId="2258">
      <pivotArea dataOnly="0" labelOnly="1" fieldPosition="0">
        <references count="5">
          <reference field="4" count="1" selected="0">
            <x v="14"/>
          </reference>
          <reference field="6" count="1" selected="0">
            <x v="1"/>
          </reference>
          <reference field="7" count="1" selected="0">
            <x v="26"/>
          </reference>
          <reference field="8" count="1" selected="0">
            <x v="131"/>
          </reference>
          <reference field="15" count="3">
            <x v="14"/>
            <x v="15"/>
            <x v="1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6" cacheId="2" applyNumberFormats="0" applyBorderFormats="0" applyFontFormats="0" applyPatternFormats="0" applyAlignmentFormats="0" applyWidthHeightFormats="1" dataCaption="Valores" grandTotalCaption="TOTAL " updatedVersion="8" minRefreshableVersion="3" useAutoFormatting="1" itemPrintTitles="1" createdVersion="8" indent="0" outline="1" outlineData="1" multipleFieldFilters="0" rowHeaderCaption="UNIDAD EJECUTORA">
  <location ref="A3:J20" firstHeaderRow="0" firstDataRow="1" firstDataCol="1" rowPageCount="1" colPageCount="1"/>
  <pivotFields count="33">
    <pivotField showAll="0"/>
    <pivotField showAll="0"/>
    <pivotField axis="axisPage" showAll="0">
      <items count="22">
        <item x="4"/>
        <item x="3"/>
        <item x="14"/>
        <item x="0"/>
        <item x="13"/>
        <item x="17"/>
        <item x="7"/>
        <item x="9"/>
        <item x="15"/>
        <item x="8"/>
        <item x="1"/>
        <item x="16"/>
        <item x="12"/>
        <item x="20"/>
        <item x="5"/>
        <item x="10"/>
        <item x="6"/>
        <item x="11"/>
        <item x="19"/>
        <item x="2"/>
        <item x="18"/>
        <item t="default"/>
      </items>
    </pivotField>
    <pivotField showAll="0"/>
    <pivotField axis="axisRow" showAll="0">
      <items count="22">
        <item x="4"/>
        <item x="3"/>
        <item x="14"/>
        <item x="0"/>
        <item x="13"/>
        <item x="17"/>
        <item x="7"/>
        <item x="9"/>
        <item x="15"/>
        <item x="8"/>
        <item x="1"/>
        <item x="16"/>
        <item x="12"/>
        <item x="20"/>
        <item x="5"/>
        <item x="10"/>
        <item x="6"/>
        <item x="11"/>
        <item x="19"/>
        <item x="2"/>
        <item x="18"/>
        <item t="default"/>
      </items>
    </pivotField>
    <pivotField numFmtId="1" showAll="0"/>
    <pivotField axis="axisRow" showAll="0">
      <items count="6">
        <item x="1"/>
        <item x="2"/>
        <item x="3"/>
        <item x="0"/>
        <item x="4"/>
        <item t="default"/>
      </items>
    </pivotField>
    <pivotField axis="axisRow" showAll="0">
      <items count="34">
        <item x="19"/>
        <item x="27"/>
        <item x="1"/>
        <item x="2"/>
        <item x="8"/>
        <item x="30"/>
        <item x="0"/>
        <item x="32"/>
        <item x="25"/>
        <item x="29"/>
        <item x="12"/>
        <item x="15"/>
        <item x="13"/>
        <item x="28"/>
        <item x="23"/>
        <item x="31"/>
        <item x="16"/>
        <item x="10"/>
        <item x="18"/>
        <item x="3"/>
        <item x="14"/>
        <item x="20"/>
        <item x="17"/>
        <item x="9"/>
        <item x="6"/>
        <item x="7"/>
        <item x="4"/>
        <item x="5"/>
        <item x="24"/>
        <item x="11"/>
        <item x="21"/>
        <item x="26"/>
        <item x="22"/>
        <item t="default"/>
      </items>
    </pivotField>
    <pivotField axis="axisRow" showAll="0">
      <items count="161">
        <item x="62"/>
        <item x="155"/>
        <item x="112"/>
        <item x="156"/>
        <item x="118"/>
        <item x="154"/>
        <item x="140"/>
        <item x="60"/>
        <item x="153"/>
        <item x="102"/>
        <item x="7"/>
        <item x="2"/>
        <item x="52"/>
        <item x="1"/>
        <item x="22"/>
        <item x="151"/>
        <item x="105"/>
        <item x="114"/>
        <item x="82"/>
        <item x="3"/>
        <item x="15"/>
        <item x="49"/>
        <item x="135"/>
        <item x="134"/>
        <item x="139"/>
        <item x="142"/>
        <item x="138"/>
        <item x="141"/>
        <item x="128"/>
        <item x="0"/>
        <item x="103"/>
        <item x="159"/>
        <item x="150"/>
        <item x="86"/>
        <item x="152"/>
        <item x="137"/>
        <item x="110"/>
        <item x="79"/>
        <item x="80"/>
        <item x="83"/>
        <item x="126"/>
        <item x="131"/>
        <item x="132"/>
        <item x="129"/>
        <item x="28"/>
        <item x="27"/>
        <item x="29"/>
        <item x="26"/>
        <item x="43"/>
        <item x="42"/>
        <item x="32"/>
        <item x="122"/>
        <item x="124"/>
        <item x="123"/>
        <item x="111"/>
        <item x="69"/>
        <item x="136"/>
        <item x="55"/>
        <item x="119"/>
        <item x="46"/>
        <item x="50"/>
        <item x="117"/>
        <item x="45"/>
        <item x="127"/>
        <item x="106"/>
        <item x="53"/>
        <item x="147"/>
        <item x="146"/>
        <item x="38"/>
        <item x="20"/>
        <item x="144"/>
        <item x="145"/>
        <item x="74"/>
        <item x="89"/>
        <item x="57"/>
        <item x="59"/>
        <item x="88"/>
        <item x="108"/>
        <item x="85"/>
        <item x="5"/>
        <item x="4"/>
        <item x="81"/>
        <item x="35"/>
        <item x="36"/>
        <item x="37"/>
        <item x="98"/>
        <item x="67"/>
        <item x="63"/>
        <item x="116"/>
        <item x="125"/>
        <item x="157"/>
        <item x="101"/>
        <item x="66"/>
        <item x="149"/>
        <item x="51"/>
        <item x="90"/>
        <item x="91"/>
        <item x="97"/>
        <item x="21"/>
        <item x="94"/>
        <item x="93"/>
        <item x="95"/>
        <item x="18"/>
        <item x="92"/>
        <item x="96"/>
        <item x="11"/>
        <item x="87"/>
        <item x="61"/>
        <item x="48"/>
        <item x="47"/>
        <item x="58"/>
        <item x="130"/>
        <item x="39"/>
        <item x="33"/>
        <item x="100"/>
        <item x="16"/>
        <item x="30"/>
        <item x="44"/>
        <item x="34"/>
        <item x="31"/>
        <item x="41"/>
        <item x="19"/>
        <item x="17"/>
        <item x="14"/>
        <item x="99"/>
        <item x="12"/>
        <item x="8"/>
        <item x="78"/>
        <item x="13"/>
        <item x="133"/>
        <item x="148"/>
        <item x="6"/>
        <item x="9"/>
        <item x="10"/>
        <item x="77"/>
        <item x="54"/>
        <item x="40"/>
        <item x="56"/>
        <item x="104"/>
        <item x="76"/>
        <item x="25"/>
        <item x="109"/>
        <item x="113"/>
        <item x="115"/>
        <item x="24"/>
        <item x="23"/>
        <item x="70"/>
        <item x="64"/>
        <item x="73"/>
        <item x="71"/>
        <item x="75"/>
        <item x="158"/>
        <item x="65"/>
        <item x="72"/>
        <item x="107"/>
        <item x="84"/>
        <item x="121"/>
        <item x="120"/>
        <item x="143"/>
        <item x="68"/>
        <item t="default"/>
      </items>
    </pivotField>
    <pivotField showAll="0"/>
    <pivotField showAll="0"/>
    <pivotField showAll="0"/>
    <pivotField showAll="0"/>
    <pivotField showAll="0"/>
    <pivotField showAll="0"/>
    <pivotField axis="axisRow" showAll="0">
      <items count="402">
        <item x="1"/>
        <item x="0"/>
        <item x="3"/>
        <item x="2"/>
        <item x="4"/>
        <item x="5"/>
        <item x="6"/>
        <item x="8"/>
        <item x="7"/>
        <item x="9"/>
        <item x="11"/>
        <item x="10"/>
        <item x="12"/>
        <item x="13"/>
        <item x="16"/>
        <item x="15"/>
        <item x="14"/>
        <item x="18"/>
        <item x="17"/>
        <item x="19"/>
        <item x="20"/>
        <item x="21"/>
        <item x="22"/>
        <item x="23"/>
        <item x="25"/>
        <item x="24"/>
        <item x="27"/>
        <item x="26"/>
        <item x="28"/>
        <item x="29"/>
        <item x="30"/>
        <item x="31"/>
        <item x="32"/>
        <item x="33"/>
        <item x="34"/>
        <item x="35"/>
        <item x="36"/>
        <item x="37"/>
        <item x="38"/>
        <item x="39"/>
        <item x="40"/>
        <item x="41"/>
        <item x="42"/>
        <item x="43"/>
        <item x="44"/>
        <item x="45"/>
        <item x="46"/>
        <item x="47"/>
        <item x="48"/>
        <item x="49"/>
        <item x="50"/>
        <item x="51"/>
        <item x="52"/>
        <item x="53"/>
        <item x="54"/>
        <item x="55"/>
        <item x="56"/>
        <item x="58"/>
        <item x="57"/>
        <item x="59"/>
        <item x="60"/>
        <item x="61"/>
        <item x="62"/>
        <item x="63"/>
        <item x="65"/>
        <item x="64"/>
        <item x="66"/>
        <item x="67"/>
        <item x="68"/>
        <item x="69"/>
        <item x="70"/>
        <item x="71"/>
        <item x="72"/>
        <item x="74"/>
        <item x="73"/>
        <item x="75"/>
        <item x="76"/>
        <item x="77"/>
        <item x="78"/>
        <item x="79"/>
        <item x="80"/>
        <item x="81"/>
        <item x="82"/>
        <item x="83"/>
        <item x="84"/>
        <item x="85"/>
        <item x="86"/>
        <item x="87"/>
        <item x="88"/>
        <item x="89"/>
        <item x="90"/>
        <item x="91"/>
        <item x="92"/>
        <item x="93"/>
        <item x="95"/>
        <item x="94"/>
        <item x="96"/>
        <item x="97"/>
        <item x="98"/>
        <item x="99"/>
        <item x="101"/>
        <item x="100"/>
        <item x="103"/>
        <item x="102"/>
        <item x="104"/>
        <item x="105"/>
        <item x="106"/>
        <item x="107"/>
        <item x="108"/>
        <item x="109"/>
        <item x="110"/>
        <item x="111"/>
        <item x="112"/>
        <item x="114"/>
        <item x="113"/>
        <item x="115"/>
        <item x="116"/>
        <item x="117"/>
        <item x="118"/>
        <item x="119"/>
        <item x="122"/>
        <item x="120"/>
        <item x="121"/>
        <item x="123"/>
        <item x="124"/>
        <item x="125"/>
        <item x="126"/>
        <item x="127"/>
        <item x="129"/>
        <item x="128"/>
        <item x="130"/>
        <item x="131"/>
        <item x="132"/>
        <item x="133"/>
        <item x="134"/>
        <item x="135"/>
        <item x="136"/>
        <item x="137"/>
        <item x="138"/>
        <item x="139"/>
        <item x="140"/>
        <item x="141"/>
        <item x="142"/>
        <item x="143"/>
        <item x="144"/>
        <item x="145"/>
        <item x="146"/>
        <item x="147"/>
        <item x="148"/>
        <item x="149"/>
        <item x="151"/>
        <item x="150"/>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3"/>
        <item x="192"/>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4"/>
        <item x="233"/>
        <item x="235"/>
        <item x="236"/>
        <item x="237"/>
        <item x="238"/>
        <item x="239"/>
        <item x="240"/>
        <item x="241"/>
        <item x="242"/>
        <item x="243"/>
        <item x="244"/>
        <item x="246"/>
        <item x="245"/>
        <item x="247"/>
        <item x="248"/>
        <item x="249"/>
        <item x="250"/>
        <item x="251"/>
        <item x="252"/>
        <item x="253"/>
        <item x="254"/>
        <item x="255"/>
        <item x="256"/>
        <item x="257"/>
        <item x="258"/>
        <item x="259"/>
        <item x="260"/>
        <item x="261"/>
        <item x="262"/>
        <item x="263"/>
        <item x="264"/>
        <item x="265"/>
        <item x="266"/>
        <item x="268"/>
        <item x="267"/>
        <item x="269"/>
        <item x="270"/>
        <item x="271"/>
        <item x="272"/>
        <item x="273"/>
        <item x="274"/>
        <item x="275"/>
        <item x="277"/>
        <item x="276"/>
        <item x="278"/>
        <item x="279"/>
        <item x="280"/>
        <item x="281"/>
        <item x="282"/>
        <item x="283"/>
        <item x="285"/>
        <item x="284"/>
        <item x="288"/>
        <item x="286"/>
        <item x="287"/>
        <item x="289"/>
        <item x="290"/>
        <item x="291"/>
        <item x="292"/>
        <item x="293"/>
        <item x="294"/>
        <item x="295"/>
        <item x="297"/>
        <item x="296"/>
        <item x="298"/>
        <item x="299"/>
        <item x="300"/>
        <item x="301"/>
        <item x="302"/>
        <item x="303"/>
        <item x="304"/>
        <item x="305"/>
        <item x="306"/>
        <item x="307"/>
        <item x="308"/>
        <item x="309"/>
        <item x="310"/>
        <item x="311"/>
        <item x="312"/>
        <item x="313"/>
        <item x="314"/>
        <item x="316"/>
        <item x="315"/>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7"/>
        <item x="346"/>
        <item x="348"/>
        <item x="349"/>
        <item x="350"/>
        <item x="351"/>
        <item x="352"/>
        <item x="353"/>
        <item x="354"/>
        <item x="355"/>
        <item x="357"/>
        <item x="356"/>
        <item x="358"/>
        <item x="360"/>
        <item x="359"/>
        <item x="361"/>
        <item x="362"/>
        <item x="363"/>
        <item x="364"/>
        <item x="365"/>
        <item x="366"/>
        <item x="368"/>
        <item x="367"/>
        <item x="369"/>
        <item x="370"/>
        <item x="371"/>
        <item x="372"/>
        <item x="373"/>
        <item x="374"/>
        <item x="376"/>
        <item x="375"/>
        <item x="377"/>
        <item x="378"/>
        <item x="379"/>
        <item x="380"/>
        <item x="381"/>
        <item x="382"/>
        <item x="383"/>
        <item x="384"/>
        <item x="385"/>
        <item x="386"/>
        <item x="387"/>
        <item x="389"/>
        <item x="388"/>
        <item x="390"/>
        <item x="391"/>
        <item x="392"/>
        <item x="393"/>
        <item x="394"/>
        <item x="395"/>
        <item x="396"/>
        <item x="397"/>
        <item x="398"/>
        <item x="399"/>
        <item x="400"/>
        <item t="default"/>
      </items>
    </pivotField>
    <pivotField showAll="0"/>
    <pivotField showAll="0"/>
    <pivotField dataField="1" numFmtId="43" showAll="0"/>
    <pivotField numFmtId="43" showAll="0"/>
    <pivotField dataField="1" numFmtId="43" showAll="0"/>
    <pivotField numFmtId="43" showAll="0"/>
    <pivotField numFmtId="43" showAll="0"/>
    <pivotField dataField="1" numFmtId="43" showAll="0"/>
    <pivotField numFmtId="43" showAll="0"/>
    <pivotField dataField="1" numFmtId="43" showAll="0"/>
    <pivotField numFmtId="43" showAll="0"/>
    <pivotField numFmtId="43" showAll="0"/>
    <pivotField dataField="1" numFmtId="43" showAl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5">
    <field x="4"/>
    <field x="6"/>
    <field x="7"/>
    <field x="8"/>
    <field x="15"/>
  </rowFields>
  <rowItems count="17">
    <i>
      <x v="15"/>
    </i>
    <i r="1">
      <x/>
    </i>
    <i r="2">
      <x v="20"/>
    </i>
    <i r="3">
      <x v="82"/>
    </i>
    <i r="4">
      <x v="73"/>
    </i>
    <i r="4">
      <x v="74"/>
    </i>
    <i r="3">
      <x v="83"/>
    </i>
    <i r="4">
      <x v="75"/>
    </i>
    <i r="3">
      <x v="84"/>
    </i>
    <i r="4">
      <x v="76"/>
    </i>
    <i r="3">
      <x v="85"/>
    </i>
    <i r="4">
      <x v="259"/>
    </i>
    <i r="3">
      <x v="86"/>
    </i>
    <i r="4">
      <x v="132"/>
    </i>
    <i r="4">
      <x v="133"/>
    </i>
    <i r="4">
      <x v="134"/>
    </i>
    <i t="grand">
      <x/>
    </i>
  </rowItems>
  <colFields count="1">
    <field x="-2"/>
  </colFields>
  <colItems count="9">
    <i>
      <x/>
    </i>
    <i i="1">
      <x v="1"/>
    </i>
    <i i="2">
      <x v="2"/>
    </i>
    <i i="3">
      <x v="3"/>
    </i>
    <i i="4">
      <x v="4"/>
    </i>
    <i i="5">
      <x v="5"/>
    </i>
    <i i="6">
      <x v="6"/>
    </i>
    <i i="7">
      <x v="7"/>
    </i>
    <i i="8">
      <x v="8"/>
    </i>
  </colItems>
  <pageFields count="1">
    <pageField fld="2" item="15" hier="-1"/>
  </pageFields>
  <dataFields count="9">
    <dataField name="PPTO INICIAL" fld="18" baseField="4" baseItem="0"/>
    <dataField name="PPTO VIGENTE" fld="20" baseField="4" baseItem="0"/>
    <dataField name="COMPROMISOS." fld="23" baseField="4" baseItem="0"/>
    <dataField name="GIROS." fld="25" baseField="4" baseItem="0"/>
    <dataField name="PAGOS " fld="28" baseField="4" baseItem="0"/>
    <dataField name=" SALDO APROPIACIÓN CDP" fld="29" baseField="4" baseItem="0" numFmtId="43"/>
    <dataField name="SALDO APROPIACIÓN RP" fld="30" baseField="4" baseItem="0" numFmtId="43"/>
    <dataField name="Suma de % CDP" fld="31" baseField="0" baseItem="0" numFmtId="43"/>
    <dataField name="Suma de % RP" fld="32" baseField="0" baseItem="0" numFmtId="43"/>
  </dataFields>
  <formats count="323">
    <format dxfId="2257">
      <pivotArea dataOnly="0" labelOnly="1" fieldPosition="0">
        <references count="1">
          <reference field="4" count="0"/>
        </references>
      </pivotArea>
    </format>
    <format dxfId="2256">
      <pivotArea dataOnly="0" labelOnly="1" fieldPosition="0">
        <references count="1">
          <reference field="4" count="1">
            <x v="0"/>
          </reference>
        </references>
      </pivotArea>
    </format>
    <format dxfId="2255">
      <pivotArea dataOnly="0" labelOnly="1" fieldPosition="0">
        <references count="1">
          <reference field="6" count="0"/>
        </references>
      </pivotArea>
    </format>
    <format dxfId="2254">
      <pivotArea dataOnly="0" labelOnly="1" fieldPosition="0">
        <references count="1">
          <reference field="7" count="0"/>
        </references>
      </pivotArea>
    </format>
    <format dxfId="2253">
      <pivotArea dataOnly="0" labelOnly="1" fieldPosition="0">
        <references count="1">
          <reference field="7" count="0"/>
        </references>
      </pivotArea>
    </format>
    <format dxfId="2252">
      <pivotArea dataOnly="0" labelOnly="1" fieldPosition="0">
        <references count="1">
          <reference field="8" count="0"/>
        </references>
      </pivotArea>
    </format>
    <format dxfId="2251">
      <pivotArea outline="0" collapsedLevelsAreSubtotals="1" fieldPosition="0"/>
    </format>
    <format dxfId="2250">
      <pivotArea dataOnly="0" labelOnly="1" outline="0" fieldPosition="0">
        <references count="1">
          <reference field="2" count="0"/>
        </references>
      </pivotArea>
    </format>
    <format dxfId="2249">
      <pivotArea dataOnly="0" labelOnly="1" outline="0" fieldPosition="0">
        <references count="1">
          <reference field="4294967294" count="9">
            <x v="0"/>
            <x v="1"/>
            <x v="2"/>
            <x v="3"/>
            <x v="4"/>
            <x v="5"/>
            <x v="6"/>
            <x v="7"/>
            <x v="8"/>
          </reference>
        </references>
      </pivotArea>
    </format>
    <format dxfId="2248">
      <pivotArea field="2" type="button" dataOnly="0" labelOnly="1" outline="0" axis="axisPage" fieldPosition="0"/>
    </format>
    <format dxfId="2247">
      <pivotArea field="4" type="button" dataOnly="0" labelOnly="1" outline="0" axis="axisRow" fieldPosition="0"/>
    </format>
    <format dxfId="2246">
      <pivotArea dataOnly="0" labelOnly="1" fieldPosition="0">
        <references count="1">
          <reference field="4" count="0"/>
        </references>
      </pivotArea>
    </format>
    <format dxfId="2245">
      <pivotArea dataOnly="0" labelOnly="1" grandRow="1" outline="0" fieldPosition="0"/>
    </format>
    <format dxfId="2244">
      <pivotArea dataOnly="0" labelOnly="1" fieldPosition="0">
        <references count="2">
          <reference field="4" count="1" selected="0">
            <x v="0"/>
          </reference>
          <reference field="6" count="2">
            <x v="0"/>
            <x v="1"/>
          </reference>
        </references>
      </pivotArea>
    </format>
    <format dxfId="2243">
      <pivotArea dataOnly="0" labelOnly="1" fieldPosition="0">
        <references count="2">
          <reference field="4" count="1" selected="0">
            <x v="1"/>
          </reference>
          <reference field="6" count="3">
            <x v="0"/>
            <x v="3"/>
            <x v="4"/>
          </reference>
        </references>
      </pivotArea>
    </format>
    <format dxfId="2242">
      <pivotArea dataOnly="0" labelOnly="1" fieldPosition="0">
        <references count="2">
          <reference field="4" count="1" selected="0">
            <x v="2"/>
          </reference>
          <reference field="6" count="3">
            <x v="2"/>
            <x v="3"/>
            <x v="4"/>
          </reference>
        </references>
      </pivotArea>
    </format>
    <format dxfId="2241">
      <pivotArea dataOnly="0" labelOnly="1" fieldPosition="0">
        <references count="2">
          <reference field="4" count="1" selected="0">
            <x v="3"/>
          </reference>
          <reference field="6" count="1">
            <x v="3"/>
          </reference>
        </references>
      </pivotArea>
    </format>
    <format dxfId="2240">
      <pivotArea dataOnly="0" labelOnly="1" fieldPosition="0">
        <references count="2">
          <reference field="4" count="1" selected="0">
            <x v="4"/>
          </reference>
          <reference field="6" count="4">
            <x v="0"/>
            <x v="1"/>
            <x v="2"/>
            <x v="3"/>
          </reference>
        </references>
      </pivotArea>
    </format>
    <format dxfId="2239">
      <pivotArea dataOnly="0" labelOnly="1" fieldPosition="0">
        <references count="2">
          <reference field="4" count="1" selected="0">
            <x v="5"/>
          </reference>
          <reference field="6" count="2">
            <x v="0"/>
            <x v="4"/>
          </reference>
        </references>
      </pivotArea>
    </format>
    <format dxfId="2238">
      <pivotArea dataOnly="0" labelOnly="1" fieldPosition="0">
        <references count="2">
          <reference field="4" count="1" selected="0">
            <x v="6"/>
          </reference>
          <reference field="6" count="1">
            <x v="1"/>
          </reference>
        </references>
      </pivotArea>
    </format>
    <format dxfId="2237">
      <pivotArea dataOnly="0" labelOnly="1" fieldPosition="0">
        <references count="2">
          <reference field="4" count="1" selected="0">
            <x v="7"/>
          </reference>
          <reference field="6" count="4">
            <x v="0"/>
            <x v="2"/>
            <x v="3"/>
            <x v="4"/>
          </reference>
        </references>
      </pivotArea>
    </format>
    <format dxfId="2236">
      <pivotArea dataOnly="0" labelOnly="1" fieldPosition="0">
        <references count="2">
          <reference field="4" count="1" selected="0">
            <x v="8"/>
          </reference>
          <reference field="6" count="4">
            <x v="0"/>
            <x v="1"/>
            <x v="2"/>
            <x v="3"/>
          </reference>
        </references>
      </pivotArea>
    </format>
    <format dxfId="2235">
      <pivotArea dataOnly="0" labelOnly="1" fieldPosition="0">
        <references count="2">
          <reference field="4" count="1" selected="0">
            <x v="9"/>
          </reference>
          <reference field="6" count="1">
            <x v="1"/>
          </reference>
        </references>
      </pivotArea>
    </format>
    <format dxfId="2234">
      <pivotArea dataOnly="0" labelOnly="1" fieldPosition="0">
        <references count="2">
          <reference field="4" count="1" selected="0">
            <x v="10"/>
          </reference>
          <reference field="6" count="1">
            <x v="3"/>
          </reference>
        </references>
      </pivotArea>
    </format>
    <format dxfId="2233">
      <pivotArea dataOnly="0" labelOnly="1" fieldPosition="0">
        <references count="2">
          <reference field="4" count="1" selected="0">
            <x v="11"/>
          </reference>
          <reference field="6" count="1">
            <x v="0"/>
          </reference>
        </references>
      </pivotArea>
    </format>
    <format dxfId="2232">
      <pivotArea dataOnly="0" labelOnly="1" fieldPosition="0">
        <references count="2">
          <reference field="4" count="1" selected="0">
            <x v="12"/>
          </reference>
          <reference field="6" count="1">
            <x v="0"/>
          </reference>
        </references>
      </pivotArea>
    </format>
    <format dxfId="2231">
      <pivotArea dataOnly="0" labelOnly="1" fieldPosition="0">
        <references count="2">
          <reference field="4" count="1" selected="0">
            <x v="13"/>
          </reference>
          <reference field="6" count="1">
            <x v="3"/>
          </reference>
        </references>
      </pivotArea>
    </format>
    <format dxfId="2230">
      <pivotArea dataOnly="0" labelOnly="1" fieldPosition="0">
        <references count="2">
          <reference field="4" count="1" selected="0">
            <x v="14"/>
          </reference>
          <reference field="6" count="1">
            <x v="1"/>
          </reference>
        </references>
      </pivotArea>
    </format>
    <format dxfId="2229">
      <pivotArea dataOnly="0" labelOnly="1" fieldPosition="0">
        <references count="2">
          <reference field="4" count="1" selected="0">
            <x v="15"/>
          </reference>
          <reference field="6" count="1">
            <x v="0"/>
          </reference>
        </references>
      </pivotArea>
    </format>
    <format dxfId="2228">
      <pivotArea dataOnly="0" labelOnly="1" fieldPosition="0">
        <references count="2">
          <reference field="4" count="1" selected="0">
            <x v="16"/>
          </reference>
          <reference field="6" count="3">
            <x v="1"/>
            <x v="3"/>
            <x v="4"/>
          </reference>
        </references>
      </pivotArea>
    </format>
    <format dxfId="2227">
      <pivotArea dataOnly="0" labelOnly="1" fieldPosition="0">
        <references count="2">
          <reference field="4" count="1" selected="0">
            <x v="17"/>
          </reference>
          <reference field="6" count="1">
            <x v="0"/>
          </reference>
        </references>
      </pivotArea>
    </format>
    <format dxfId="2226">
      <pivotArea dataOnly="0" labelOnly="1" fieldPosition="0">
        <references count="2">
          <reference field="4" count="1" selected="0">
            <x v="18"/>
          </reference>
          <reference field="6" count="1">
            <x v="3"/>
          </reference>
        </references>
      </pivotArea>
    </format>
    <format dxfId="2225">
      <pivotArea dataOnly="0" labelOnly="1" fieldPosition="0">
        <references count="2">
          <reference field="4" count="1" selected="0">
            <x v="19"/>
          </reference>
          <reference field="6" count="1">
            <x v="3"/>
          </reference>
        </references>
      </pivotArea>
    </format>
    <format dxfId="2224">
      <pivotArea dataOnly="0" labelOnly="1" fieldPosition="0">
        <references count="2">
          <reference field="4" count="1" selected="0">
            <x v="20"/>
          </reference>
          <reference field="6" count="1">
            <x v="1"/>
          </reference>
        </references>
      </pivotArea>
    </format>
    <format dxfId="2223">
      <pivotArea dataOnly="0" labelOnly="1" fieldPosition="0">
        <references count="3">
          <reference field="4" count="1" selected="0">
            <x v="0"/>
          </reference>
          <reference field="6" count="1" selected="0">
            <x v="0"/>
          </reference>
          <reference field="7" count="2">
            <x v="17"/>
            <x v="19"/>
          </reference>
        </references>
      </pivotArea>
    </format>
    <format dxfId="2222">
      <pivotArea dataOnly="0" labelOnly="1" fieldPosition="0">
        <references count="3">
          <reference field="4" count="1" selected="0">
            <x v="0"/>
          </reference>
          <reference field="6" count="1" selected="0">
            <x v="1"/>
          </reference>
          <reference field="7" count="2">
            <x v="23"/>
            <x v="26"/>
          </reference>
        </references>
      </pivotArea>
    </format>
    <format dxfId="2221">
      <pivotArea dataOnly="0" labelOnly="1" fieldPosition="0">
        <references count="3">
          <reference field="4" count="1" selected="0">
            <x v="1"/>
          </reference>
          <reference field="6" count="1" selected="0">
            <x v="0"/>
          </reference>
          <reference field="7" count="1">
            <x v="19"/>
          </reference>
        </references>
      </pivotArea>
    </format>
    <format dxfId="2220">
      <pivotArea dataOnly="0" labelOnly="1" fieldPosition="0">
        <references count="3">
          <reference field="4" count="1" selected="0">
            <x v="1"/>
          </reference>
          <reference field="6" count="1" selected="0">
            <x v="3"/>
          </reference>
          <reference field="7" count="3">
            <x v="2"/>
            <x v="3"/>
            <x v="4"/>
          </reference>
        </references>
      </pivotArea>
    </format>
    <format dxfId="2219">
      <pivotArea dataOnly="0" labelOnly="1" fieldPosition="0">
        <references count="3">
          <reference field="4" count="1" selected="0">
            <x v="1"/>
          </reference>
          <reference field="6" count="1" selected="0">
            <x v="4"/>
          </reference>
          <reference field="7" count="1">
            <x v="8"/>
          </reference>
        </references>
      </pivotArea>
    </format>
    <format dxfId="2218">
      <pivotArea dataOnly="0" labelOnly="1" fieldPosition="0">
        <references count="3">
          <reference field="4" count="1" selected="0">
            <x v="2"/>
          </reference>
          <reference field="6" count="1" selected="0">
            <x v="2"/>
          </reference>
          <reference field="7" count="2">
            <x v="29"/>
            <x v="30"/>
          </reference>
        </references>
      </pivotArea>
    </format>
    <format dxfId="2217">
      <pivotArea dataOnly="0" labelOnly="1" fieldPosition="0">
        <references count="3">
          <reference field="4" count="1" selected="0">
            <x v="2"/>
          </reference>
          <reference field="6" count="1" selected="0">
            <x v="3"/>
          </reference>
          <reference field="7" count="2">
            <x v="5"/>
            <x v="7"/>
          </reference>
        </references>
      </pivotArea>
    </format>
    <format dxfId="2216">
      <pivotArea dataOnly="0" labelOnly="1" fieldPosition="0">
        <references count="3">
          <reference field="4" count="1" selected="0">
            <x v="2"/>
          </reference>
          <reference field="6" count="1" selected="0">
            <x v="4"/>
          </reference>
          <reference field="7" count="1">
            <x v="8"/>
          </reference>
        </references>
      </pivotArea>
    </format>
    <format dxfId="2215">
      <pivotArea dataOnly="0" labelOnly="1" fieldPosition="0">
        <references count="3">
          <reference field="4" count="1" selected="0">
            <x v="3"/>
          </reference>
          <reference field="6" count="1" selected="0">
            <x v="3"/>
          </reference>
          <reference field="7" count="1">
            <x v="6"/>
          </reference>
        </references>
      </pivotArea>
    </format>
    <format dxfId="2214">
      <pivotArea dataOnly="0" labelOnly="1" fieldPosition="0">
        <references count="3">
          <reference field="4" count="1" selected="0">
            <x v="4"/>
          </reference>
          <reference field="6" count="1" selected="0">
            <x v="0"/>
          </reference>
          <reference field="7" count="1">
            <x v="21"/>
          </reference>
        </references>
      </pivotArea>
    </format>
    <format dxfId="2213">
      <pivotArea dataOnly="0" labelOnly="1" fieldPosition="0">
        <references count="3">
          <reference field="4" count="1" selected="0">
            <x v="4"/>
          </reference>
          <reference field="6" count="1" selected="0">
            <x v="1"/>
          </reference>
          <reference field="7" count="1">
            <x v="24"/>
          </reference>
        </references>
      </pivotArea>
    </format>
    <format dxfId="2212">
      <pivotArea dataOnly="0" labelOnly="1" fieldPosition="0">
        <references count="3">
          <reference field="4" count="1" selected="0">
            <x v="4"/>
          </reference>
          <reference field="6" count="1" selected="0">
            <x v="2"/>
          </reference>
          <reference field="7" count="2">
            <x v="29"/>
            <x v="31"/>
          </reference>
        </references>
      </pivotArea>
    </format>
    <format dxfId="2211">
      <pivotArea dataOnly="0" labelOnly="1" fieldPosition="0">
        <references count="3">
          <reference field="4" count="1" selected="0">
            <x v="4"/>
          </reference>
          <reference field="6" count="1" selected="0">
            <x v="3"/>
          </reference>
          <reference field="7" count="2">
            <x v="0"/>
            <x v="1"/>
          </reference>
        </references>
      </pivotArea>
    </format>
    <format dxfId="2210">
      <pivotArea dataOnly="0" labelOnly="1" fieldPosition="0">
        <references count="3">
          <reference field="4" count="1" selected="0">
            <x v="5"/>
          </reference>
          <reference field="6" count="1" selected="0">
            <x v="0"/>
          </reference>
          <reference field="7" count="2">
            <x v="18"/>
            <x v="22"/>
          </reference>
        </references>
      </pivotArea>
    </format>
    <format dxfId="2209">
      <pivotArea dataOnly="0" labelOnly="1" fieldPosition="0">
        <references count="3">
          <reference field="4" count="1" selected="0">
            <x v="5"/>
          </reference>
          <reference field="6" count="1" selected="0">
            <x v="4"/>
          </reference>
          <reference field="7" count="1">
            <x v="8"/>
          </reference>
        </references>
      </pivotArea>
    </format>
    <format dxfId="2208">
      <pivotArea dataOnly="0" labelOnly="1" fieldPosition="0">
        <references count="3">
          <reference field="4" count="1" selected="0">
            <x v="6"/>
          </reference>
          <reference field="6" count="1" selected="0">
            <x v="1"/>
          </reference>
          <reference field="7" count="1">
            <x v="24"/>
          </reference>
        </references>
      </pivotArea>
    </format>
    <format dxfId="2207">
      <pivotArea dataOnly="0" labelOnly="1" fieldPosition="0">
        <references count="3">
          <reference field="4" count="1" selected="0">
            <x v="7"/>
          </reference>
          <reference field="6" count="1" selected="0">
            <x v="0"/>
          </reference>
          <reference field="7" count="1">
            <x v="16"/>
          </reference>
        </references>
      </pivotArea>
    </format>
    <format dxfId="2206">
      <pivotArea dataOnly="0" labelOnly="1" fieldPosition="0">
        <references count="3">
          <reference field="4" count="1" selected="0">
            <x v="7"/>
          </reference>
          <reference field="6" count="1" selected="0">
            <x v="2"/>
          </reference>
          <reference field="7" count="2">
            <x v="29"/>
            <x v="30"/>
          </reference>
        </references>
      </pivotArea>
    </format>
    <format dxfId="2205">
      <pivotArea dataOnly="0" labelOnly="1" fieldPosition="0">
        <references count="3">
          <reference field="4" count="1" selected="0">
            <x v="7"/>
          </reference>
          <reference field="6" count="1" selected="0">
            <x v="3"/>
          </reference>
          <reference field="7" count="1">
            <x v="6"/>
          </reference>
        </references>
      </pivotArea>
    </format>
    <format dxfId="2204">
      <pivotArea dataOnly="0" labelOnly="1" fieldPosition="0">
        <references count="3">
          <reference field="4" count="1" selected="0">
            <x v="7"/>
          </reference>
          <reference field="6" count="1" selected="0">
            <x v="4"/>
          </reference>
          <reference field="7" count="8">
            <x v="8"/>
            <x v="9"/>
            <x v="10"/>
            <x v="11"/>
            <x v="12"/>
            <x v="13"/>
            <x v="14"/>
            <x v="15"/>
          </reference>
        </references>
      </pivotArea>
    </format>
    <format dxfId="2203">
      <pivotArea dataOnly="0" labelOnly="1" fieldPosition="0">
        <references count="3">
          <reference field="4" count="1" selected="0">
            <x v="8"/>
          </reference>
          <reference field="6" count="1" selected="0">
            <x v="0"/>
          </reference>
          <reference field="7" count="2">
            <x v="18"/>
            <x v="22"/>
          </reference>
        </references>
      </pivotArea>
    </format>
    <format dxfId="2202">
      <pivotArea dataOnly="0" labelOnly="1" fieldPosition="0">
        <references count="3">
          <reference field="4" count="1" selected="0">
            <x v="8"/>
          </reference>
          <reference field="6" count="1" selected="0">
            <x v="1"/>
          </reference>
          <reference field="7" count="1">
            <x v="28"/>
          </reference>
        </references>
      </pivotArea>
    </format>
    <format dxfId="2201">
      <pivotArea dataOnly="0" labelOnly="1" fieldPosition="0">
        <references count="3">
          <reference field="4" count="1" selected="0">
            <x v="8"/>
          </reference>
          <reference field="6" count="1" selected="0">
            <x v="2"/>
          </reference>
          <reference field="7" count="1">
            <x v="32"/>
          </reference>
        </references>
      </pivotArea>
    </format>
    <format dxfId="2200">
      <pivotArea dataOnly="0" labelOnly="1" fieldPosition="0">
        <references count="3">
          <reference field="4" count="1" selected="0">
            <x v="8"/>
          </reference>
          <reference field="6" count="1" selected="0">
            <x v="3"/>
          </reference>
          <reference field="7" count="1">
            <x v="6"/>
          </reference>
        </references>
      </pivotArea>
    </format>
    <format dxfId="2199">
      <pivotArea dataOnly="0" labelOnly="1" fieldPosition="0">
        <references count="3">
          <reference field="4" count="1" selected="0">
            <x v="9"/>
          </reference>
          <reference field="6" count="1" selected="0">
            <x v="1"/>
          </reference>
          <reference field="7" count="1">
            <x v="25"/>
          </reference>
        </references>
      </pivotArea>
    </format>
    <format dxfId="2198">
      <pivotArea dataOnly="0" labelOnly="1" fieldPosition="0">
        <references count="3">
          <reference field="4" count="1" selected="0">
            <x v="10"/>
          </reference>
          <reference field="6" count="1" selected="0">
            <x v="3"/>
          </reference>
          <reference field="7" count="1">
            <x v="6"/>
          </reference>
        </references>
      </pivotArea>
    </format>
    <format dxfId="2197">
      <pivotArea dataOnly="0" labelOnly="1" fieldPosition="0">
        <references count="3">
          <reference field="4" count="1" selected="0">
            <x v="11"/>
          </reference>
          <reference field="6" count="1" selected="0">
            <x v="0"/>
          </reference>
          <reference field="7" count="1">
            <x v="17"/>
          </reference>
        </references>
      </pivotArea>
    </format>
    <format dxfId="2196">
      <pivotArea dataOnly="0" labelOnly="1" fieldPosition="0">
        <references count="3">
          <reference field="4" count="1" selected="0">
            <x v="12"/>
          </reference>
          <reference field="6" count="1" selected="0">
            <x v="0"/>
          </reference>
          <reference field="7" count="1">
            <x v="18"/>
          </reference>
        </references>
      </pivotArea>
    </format>
    <format dxfId="2195">
      <pivotArea dataOnly="0" labelOnly="1" fieldPosition="0">
        <references count="3">
          <reference field="4" count="1" selected="0">
            <x v="13"/>
          </reference>
          <reference field="6" count="1" selected="0">
            <x v="3"/>
          </reference>
          <reference field="7" count="2">
            <x v="1"/>
            <x v="5"/>
          </reference>
        </references>
      </pivotArea>
    </format>
    <format dxfId="2194">
      <pivotArea dataOnly="0" labelOnly="1" fieldPosition="0">
        <references count="3">
          <reference field="4" count="1" selected="0">
            <x v="14"/>
          </reference>
          <reference field="6" count="1" selected="0">
            <x v="1"/>
          </reference>
          <reference field="7" count="1">
            <x v="26"/>
          </reference>
        </references>
      </pivotArea>
    </format>
    <format dxfId="2193">
      <pivotArea dataOnly="0" labelOnly="1" fieldPosition="0">
        <references count="3">
          <reference field="4" count="1" selected="0">
            <x v="15"/>
          </reference>
          <reference field="6" count="1" selected="0">
            <x v="0"/>
          </reference>
          <reference field="7" count="1">
            <x v="20"/>
          </reference>
        </references>
      </pivotArea>
    </format>
    <format dxfId="2192">
      <pivotArea dataOnly="0" labelOnly="1" fieldPosition="0">
        <references count="3">
          <reference field="4" count="1" selected="0">
            <x v="16"/>
          </reference>
          <reference field="6" count="1" selected="0">
            <x v="1"/>
          </reference>
          <reference field="7" count="1">
            <x v="27"/>
          </reference>
        </references>
      </pivotArea>
    </format>
    <format dxfId="2191">
      <pivotArea dataOnly="0" labelOnly="1" fieldPosition="0">
        <references count="3">
          <reference field="4" count="1" selected="0">
            <x v="16"/>
          </reference>
          <reference field="6" count="1" selected="0">
            <x v="3"/>
          </reference>
          <reference field="7" count="1">
            <x v="1"/>
          </reference>
        </references>
      </pivotArea>
    </format>
    <format dxfId="2190">
      <pivotArea dataOnly="0" labelOnly="1" fieldPosition="0">
        <references count="3">
          <reference field="4" count="1" selected="0">
            <x v="16"/>
          </reference>
          <reference field="6" count="1" selected="0">
            <x v="4"/>
          </reference>
          <reference field="7" count="2">
            <x v="8"/>
            <x v="11"/>
          </reference>
        </references>
      </pivotArea>
    </format>
    <format dxfId="2189">
      <pivotArea dataOnly="0" labelOnly="1" fieldPosition="0">
        <references count="3">
          <reference field="4" count="1" selected="0">
            <x v="17"/>
          </reference>
          <reference field="6" count="1" selected="0">
            <x v="0"/>
          </reference>
          <reference field="7" count="2">
            <x v="16"/>
            <x v="22"/>
          </reference>
        </references>
      </pivotArea>
    </format>
    <format dxfId="2188">
      <pivotArea dataOnly="0" labelOnly="1" fieldPosition="0">
        <references count="3">
          <reference field="4" count="1" selected="0">
            <x v="18"/>
          </reference>
          <reference field="6" count="1" selected="0">
            <x v="3"/>
          </reference>
          <reference field="7" count="1">
            <x v="2"/>
          </reference>
        </references>
      </pivotArea>
    </format>
    <format dxfId="2187">
      <pivotArea dataOnly="0" labelOnly="1" fieldPosition="0">
        <references count="3">
          <reference field="4" count="1" selected="0">
            <x v="19"/>
          </reference>
          <reference field="6" count="1" selected="0">
            <x v="3"/>
          </reference>
          <reference field="7" count="1">
            <x v="6"/>
          </reference>
        </references>
      </pivotArea>
    </format>
    <format dxfId="2186">
      <pivotArea dataOnly="0" labelOnly="1" fieldPosition="0">
        <references count="3">
          <reference field="4" count="1" selected="0">
            <x v="20"/>
          </reference>
          <reference field="6" count="1" selected="0">
            <x v="1"/>
          </reference>
          <reference field="7" count="1">
            <x v="24"/>
          </reference>
        </references>
      </pivotArea>
    </format>
    <format dxfId="2185">
      <pivotArea dataOnly="0" labelOnly="1" fieldPosition="0">
        <references count="4">
          <reference field="4" count="1" selected="0">
            <x v="0"/>
          </reference>
          <reference field="6" count="1" selected="0">
            <x v="0"/>
          </reference>
          <reference field="7" count="1" selected="0">
            <x v="17"/>
          </reference>
          <reference field="8" count="5">
            <x v="65"/>
            <x v="66"/>
            <x v="67"/>
            <x v="68"/>
            <x v="69"/>
          </reference>
        </references>
      </pivotArea>
    </format>
    <format dxfId="2184">
      <pivotArea dataOnly="0" labelOnly="1" fieldPosition="0">
        <references count="4">
          <reference field="4" count="1" selected="0">
            <x v="0"/>
          </reference>
          <reference field="6" count="1" selected="0">
            <x v="0"/>
          </reference>
          <reference field="7" count="1" selected="0">
            <x v="19"/>
          </reference>
          <reference field="8" count="3">
            <x v="78"/>
            <x v="79"/>
            <x v="80"/>
          </reference>
        </references>
      </pivotArea>
    </format>
    <format dxfId="2183">
      <pivotArea dataOnly="0" labelOnly="1" fieldPosition="0">
        <references count="4">
          <reference field="4" count="1" selected="0">
            <x v="0"/>
          </reference>
          <reference field="6" count="1" selected="0">
            <x v="1"/>
          </reference>
          <reference field="7" count="1" selected="0">
            <x v="23"/>
          </reference>
          <reference field="8" count="10">
            <x v="95"/>
            <x v="96"/>
            <x v="97"/>
            <x v="98"/>
            <x v="99"/>
            <x v="100"/>
            <x v="101"/>
            <x v="102"/>
            <x v="103"/>
            <x v="104"/>
          </reference>
        </references>
      </pivotArea>
    </format>
    <format dxfId="2182">
      <pivotArea dataOnly="0" labelOnly="1" fieldPosition="0">
        <references count="4">
          <reference field="4" count="1" selected="0">
            <x v="0"/>
          </reference>
          <reference field="6" count="1" selected="0">
            <x v="1"/>
          </reference>
          <reference field="7" count="1" selected="0">
            <x v="26"/>
          </reference>
          <reference field="8" count="1">
            <x v="131"/>
          </reference>
        </references>
      </pivotArea>
    </format>
    <format dxfId="2181">
      <pivotArea dataOnly="0" labelOnly="1" fieldPosition="0">
        <references count="4">
          <reference field="4" count="1" selected="0">
            <x v="1"/>
          </reference>
          <reference field="6" count="1" selected="0">
            <x v="0"/>
          </reference>
          <reference field="7" count="1" selected="0">
            <x v="19"/>
          </reference>
          <reference field="8" count="1">
            <x v="81"/>
          </reference>
        </references>
      </pivotArea>
    </format>
    <format dxfId="2180">
      <pivotArea dataOnly="0" labelOnly="1" fieldPosition="0">
        <references count="4">
          <reference field="4" count="1" selected="0">
            <x v="1"/>
          </reference>
          <reference field="6" count="1" selected="0">
            <x v="3"/>
          </reference>
          <reference field="7" count="1" selected="0">
            <x v="2"/>
          </reference>
          <reference field="8" count="7">
            <x v="7"/>
            <x v="10"/>
            <x v="11"/>
            <x v="12"/>
            <x v="13"/>
            <x v="14"/>
            <x v="15"/>
          </reference>
        </references>
      </pivotArea>
    </format>
    <format dxfId="2179">
      <pivotArea dataOnly="0" labelOnly="1" fieldPosition="0">
        <references count="4">
          <reference field="4" count="1" selected="0">
            <x v="1"/>
          </reference>
          <reference field="6" count="1" selected="0">
            <x v="3"/>
          </reference>
          <reference field="7" count="1" selected="0">
            <x v="3"/>
          </reference>
          <reference field="8" count="2">
            <x v="18"/>
            <x v="19"/>
          </reference>
        </references>
      </pivotArea>
    </format>
    <format dxfId="2178">
      <pivotArea dataOnly="0" labelOnly="1" fieldPosition="0">
        <references count="4">
          <reference field="4" count="1" selected="0">
            <x v="1"/>
          </reference>
          <reference field="6" count="1" selected="0">
            <x v="3"/>
          </reference>
          <reference field="7" count="1" selected="0">
            <x v="4"/>
          </reference>
          <reference field="8" count="2">
            <x v="20"/>
            <x v="21"/>
          </reference>
        </references>
      </pivotArea>
    </format>
    <format dxfId="2177">
      <pivotArea dataOnly="0" labelOnly="1" fieldPosition="0">
        <references count="4">
          <reference field="4" count="1" selected="0">
            <x v="1"/>
          </reference>
          <reference field="6" count="1" selected="0">
            <x v="4"/>
          </reference>
          <reference field="7" count="1" selected="0">
            <x v="8"/>
          </reference>
          <reference field="8" count="3">
            <x v="33"/>
            <x v="34"/>
            <x v="39"/>
          </reference>
        </references>
      </pivotArea>
    </format>
    <format dxfId="2176">
      <pivotArea dataOnly="0" labelOnly="1" fieldPosition="0">
        <references count="4">
          <reference field="4" count="1" selected="0">
            <x v="2"/>
          </reference>
          <reference field="6" count="1" selected="0">
            <x v="2"/>
          </reference>
          <reference field="7" count="1" selected="0">
            <x v="29"/>
          </reference>
          <reference field="8" count="6">
            <x v="145"/>
            <x v="146"/>
            <x v="147"/>
            <x v="148"/>
            <x v="149"/>
            <x v="150"/>
          </reference>
        </references>
      </pivotArea>
    </format>
    <format dxfId="2175">
      <pivotArea dataOnly="0" labelOnly="1" fieldPosition="0">
        <references count="4">
          <reference field="4" count="1" selected="0">
            <x v="2"/>
          </reference>
          <reference field="6" count="1" selected="0">
            <x v="2"/>
          </reference>
          <reference field="7" count="1" selected="0">
            <x v="30"/>
          </reference>
          <reference field="8" count="2">
            <x v="152"/>
            <x v="153"/>
          </reference>
        </references>
      </pivotArea>
    </format>
    <format dxfId="2174">
      <pivotArea dataOnly="0" labelOnly="1" fieldPosition="0">
        <references count="4">
          <reference field="4" count="1" selected="0">
            <x v="2"/>
          </reference>
          <reference field="6" count="1" selected="0">
            <x v="3"/>
          </reference>
          <reference field="7" count="1" selected="0">
            <x v="5"/>
          </reference>
          <reference field="8" count="1">
            <x v="24"/>
          </reference>
        </references>
      </pivotArea>
    </format>
    <format dxfId="2173">
      <pivotArea dataOnly="0" labelOnly="1" fieldPosition="0">
        <references count="4">
          <reference field="4" count="1" selected="0">
            <x v="2"/>
          </reference>
          <reference field="6" count="1" selected="0">
            <x v="3"/>
          </reference>
          <reference field="7" count="1" selected="0">
            <x v="7"/>
          </reference>
          <reference field="8" count="2">
            <x v="31"/>
            <x v="32"/>
          </reference>
        </references>
      </pivotArea>
    </format>
    <format dxfId="2172">
      <pivotArea dataOnly="0" labelOnly="1" fieldPosition="0">
        <references count="4">
          <reference field="4" count="1" selected="0">
            <x v="2"/>
          </reference>
          <reference field="6" count="1" selected="0">
            <x v="4"/>
          </reference>
          <reference field="7" count="1" selected="0">
            <x v="8"/>
          </reference>
          <reference field="8" count="2">
            <x v="36"/>
            <x v="39"/>
          </reference>
        </references>
      </pivotArea>
    </format>
    <format dxfId="2171">
      <pivotArea dataOnly="0" labelOnly="1" fieldPosition="0">
        <references count="4">
          <reference field="4" count="1" selected="0">
            <x v="3"/>
          </reference>
          <reference field="6" count="1" selected="0">
            <x v="3"/>
          </reference>
          <reference field="7" count="1" selected="0">
            <x v="6"/>
          </reference>
          <reference field="8" count="1">
            <x v="29"/>
          </reference>
        </references>
      </pivotArea>
    </format>
    <format dxfId="2170">
      <pivotArea dataOnly="0" labelOnly="1" fieldPosition="0">
        <references count="4">
          <reference field="4" count="1" selected="0">
            <x v="4"/>
          </reference>
          <reference field="6" count="1" selected="0">
            <x v="0"/>
          </reference>
          <reference field="7" count="1" selected="0">
            <x v="21"/>
          </reference>
          <reference field="8" count="5">
            <x v="87"/>
            <x v="88"/>
            <x v="89"/>
            <x v="90"/>
            <x v="91"/>
          </reference>
        </references>
      </pivotArea>
    </format>
    <format dxfId="2169">
      <pivotArea dataOnly="0" labelOnly="1" fieldPosition="0">
        <references count="4">
          <reference field="4" count="1" selected="0">
            <x v="4"/>
          </reference>
          <reference field="6" count="1" selected="0">
            <x v="1"/>
          </reference>
          <reference field="7" count="1" selected="0">
            <x v="24"/>
          </reference>
          <reference field="8" count="1">
            <x v="114"/>
          </reference>
        </references>
      </pivotArea>
    </format>
    <format dxfId="2168">
      <pivotArea dataOnly="0" labelOnly="1" fieldPosition="0">
        <references count="4">
          <reference field="4" count="1" selected="0">
            <x v="4"/>
          </reference>
          <reference field="6" count="1" selected="0">
            <x v="2"/>
          </reference>
          <reference field="7" count="1" selected="0">
            <x v="29"/>
          </reference>
          <reference field="8" count="3">
            <x v="142"/>
            <x v="143"/>
            <x v="151"/>
          </reference>
        </references>
      </pivotArea>
    </format>
    <format dxfId="2167">
      <pivotArea dataOnly="0" labelOnly="1" fieldPosition="0">
        <references count="4">
          <reference field="4" count="1" selected="0">
            <x v="4"/>
          </reference>
          <reference field="6" count="1" selected="0">
            <x v="2"/>
          </reference>
          <reference field="7" count="1" selected="0">
            <x v="31"/>
          </reference>
          <reference field="8" count="3">
            <x v="155"/>
            <x v="156"/>
            <x v="157"/>
          </reference>
        </references>
      </pivotArea>
    </format>
    <format dxfId="2166">
      <pivotArea dataOnly="0" labelOnly="1" fieldPosition="0">
        <references count="4">
          <reference field="4" count="1" selected="0">
            <x v="4"/>
          </reference>
          <reference field="6" count="1" selected="0">
            <x v="3"/>
          </reference>
          <reference field="7" count="1" selected="0">
            <x v="0"/>
          </reference>
          <reference field="8" count="2">
            <x v="0"/>
            <x v="1"/>
          </reference>
        </references>
      </pivotArea>
    </format>
    <format dxfId="2165">
      <pivotArea dataOnly="0" labelOnly="1" fieldPosition="0">
        <references count="4">
          <reference field="4" count="1" selected="0">
            <x v="4"/>
          </reference>
          <reference field="6" count="1" selected="0">
            <x v="3"/>
          </reference>
          <reference field="7" count="1" selected="0">
            <x v="1"/>
          </reference>
          <reference field="8" count="4">
            <x v="2"/>
            <x v="3"/>
            <x v="4"/>
            <x v="5"/>
          </reference>
        </references>
      </pivotArea>
    </format>
    <format dxfId="2164">
      <pivotArea dataOnly="0" labelOnly="1" fieldPosition="0">
        <references count="4">
          <reference field="4" count="1" selected="0">
            <x v="5"/>
          </reference>
          <reference field="6" count="1" selected="0">
            <x v="0"/>
          </reference>
          <reference field="7" count="1" selected="0">
            <x v="18"/>
          </reference>
          <reference field="8" count="3">
            <x v="73"/>
            <x v="74"/>
            <x v="77"/>
          </reference>
        </references>
      </pivotArea>
    </format>
    <format dxfId="2163">
      <pivotArea dataOnly="0" labelOnly="1" fieldPosition="0">
        <references count="4">
          <reference field="4" count="1" selected="0">
            <x v="5"/>
          </reference>
          <reference field="6" count="1" selected="0">
            <x v="0"/>
          </reference>
          <reference field="7" count="1" selected="0">
            <x v="22"/>
          </reference>
          <reference field="8" count="1">
            <x v="94"/>
          </reference>
        </references>
      </pivotArea>
    </format>
    <format dxfId="2162">
      <pivotArea dataOnly="0" labelOnly="1" fieldPosition="0">
        <references count="4">
          <reference field="4" count="1" selected="0">
            <x v="5"/>
          </reference>
          <reference field="6" count="1" selected="0">
            <x v="4"/>
          </reference>
          <reference field="7" count="1" selected="0">
            <x v="8"/>
          </reference>
          <reference field="8" count="1">
            <x v="37"/>
          </reference>
        </references>
      </pivotArea>
    </format>
    <format dxfId="2161">
      <pivotArea dataOnly="0" labelOnly="1" fieldPosition="0">
        <references count="4">
          <reference field="4" count="1" selected="0">
            <x v="6"/>
          </reference>
          <reference field="6" count="1" selected="0">
            <x v="1"/>
          </reference>
          <reference field="7" count="1" selected="0">
            <x v="24"/>
          </reference>
          <reference field="8" count="8">
            <x v="105"/>
            <x v="107"/>
            <x v="108"/>
            <x v="109"/>
            <x v="110"/>
            <x v="111"/>
            <x v="112"/>
            <x v="113"/>
          </reference>
        </references>
      </pivotArea>
    </format>
    <format dxfId="2160">
      <pivotArea dataOnly="0" labelOnly="1" fieldPosition="0">
        <references count="4">
          <reference field="4" count="1" selected="0">
            <x v="7"/>
          </reference>
          <reference field="6" count="1" selected="0">
            <x v="0"/>
          </reference>
          <reference field="7" count="1" selected="0">
            <x v="16"/>
          </reference>
          <reference field="8" count="1">
            <x v="64"/>
          </reference>
        </references>
      </pivotArea>
    </format>
    <format dxfId="2159">
      <pivotArea dataOnly="0" labelOnly="1" fieldPosition="0">
        <references count="4">
          <reference field="4" count="1" selected="0">
            <x v="7"/>
          </reference>
          <reference field="6" count="1" selected="0">
            <x v="2"/>
          </reference>
          <reference field="7" count="1" selected="0">
            <x v="29"/>
          </reference>
          <reference field="8" count="4">
            <x v="140"/>
            <x v="141"/>
            <x v="144"/>
            <x v="145"/>
          </reference>
        </references>
      </pivotArea>
    </format>
    <format dxfId="2158">
      <pivotArea dataOnly="0" labelOnly="1" fieldPosition="0">
        <references count="4">
          <reference field="4" count="1" selected="0">
            <x v="7"/>
          </reference>
          <reference field="6" count="1" selected="0">
            <x v="2"/>
          </reference>
          <reference field="7" count="1" selected="0">
            <x v="30"/>
          </reference>
          <reference field="8" count="1">
            <x v="154"/>
          </reference>
        </references>
      </pivotArea>
    </format>
    <format dxfId="2157">
      <pivotArea dataOnly="0" labelOnly="1" fieldPosition="0">
        <references count="4">
          <reference field="4" count="1" selected="0">
            <x v="7"/>
          </reference>
          <reference field="6" count="1" selected="0">
            <x v="3"/>
          </reference>
          <reference field="7" count="1" selected="0">
            <x v="6"/>
          </reference>
          <reference field="8" count="1">
            <x v="28"/>
          </reference>
        </references>
      </pivotArea>
    </format>
    <format dxfId="2156">
      <pivotArea dataOnly="0" labelOnly="1" fieldPosition="0">
        <references count="4">
          <reference field="4" count="1" selected="0">
            <x v="7"/>
          </reference>
          <reference field="6" count="1" selected="0">
            <x v="4"/>
          </reference>
          <reference field="7" count="1" selected="0">
            <x v="8"/>
          </reference>
          <reference field="8" count="2">
            <x v="35"/>
            <x v="36"/>
          </reference>
        </references>
      </pivotArea>
    </format>
    <format dxfId="2155">
      <pivotArea dataOnly="0" labelOnly="1" fieldPosition="0">
        <references count="4">
          <reference field="4" count="1" selected="0">
            <x v="7"/>
          </reference>
          <reference field="6" count="1" selected="0">
            <x v="4"/>
          </reference>
          <reference field="7" count="1" selected="0">
            <x v="9"/>
          </reference>
          <reference field="8" count="4">
            <x v="40"/>
            <x v="41"/>
            <x v="42"/>
            <x v="43"/>
          </reference>
        </references>
      </pivotArea>
    </format>
    <format dxfId="2154">
      <pivotArea dataOnly="0" labelOnly="1" fieldPosition="0">
        <references count="4">
          <reference field="4" count="1" selected="0">
            <x v="7"/>
          </reference>
          <reference field="6" count="1" selected="0">
            <x v="4"/>
          </reference>
          <reference field="7" count="1" selected="0">
            <x v="10"/>
          </reference>
          <reference field="8" count="4">
            <x v="44"/>
            <x v="45"/>
            <x v="46"/>
            <x v="47"/>
          </reference>
        </references>
      </pivotArea>
    </format>
    <format dxfId="2153">
      <pivotArea dataOnly="0" labelOnly="1" fieldPosition="0">
        <references count="4">
          <reference field="4" count="1" selected="0">
            <x v="7"/>
          </reference>
          <reference field="6" count="1" selected="0">
            <x v="4"/>
          </reference>
          <reference field="7" count="1" selected="0">
            <x v="11"/>
          </reference>
          <reference field="8" count="2">
            <x v="48"/>
            <x v="49"/>
          </reference>
        </references>
      </pivotArea>
    </format>
    <format dxfId="2152">
      <pivotArea dataOnly="0" labelOnly="1" fieldPosition="0">
        <references count="4">
          <reference field="4" count="1" selected="0">
            <x v="7"/>
          </reference>
          <reference field="6" count="1" selected="0">
            <x v="4"/>
          </reference>
          <reference field="7" count="1" selected="0">
            <x v="12"/>
          </reference>
          <reference field="8" count="1">
            <x v="50"/>
          </reference>
        </references>
      </pivotArea>
    </format>
    <format dxfId="2151">
      <pivotArea dataOnly="0" labelOnly="1" fieldPosition="0">
        <references count="4">
          <reference field="4" count="1" selected="0">
            <x v="7"/>
          </reference>
          <reference field="6" count="1" selected="0">
            <x v="4"/>
          </reference>
          <reference field="7" count="1" selected="0">
            <x v="13"/>
          </reference>
          <reference field="8" count="3">
            <x v="51"/>
            <x v="52"/>
            <x v="53"/>
          </reference>
        </references>
      </pivotArea>
    </format>
    <format dxfId="2150">
      <pivotArea dataOnly="0" labelOnly="1" fieldPosition="0">
        <references count="4">
          <reference field="4" count="1" selected="0">
            <x v="7"/>
          </reference>
          <reference field="6" count="1" selected="0">
            <x v="4"/>
          </reference>
          <reference field="7" count="1" selected="0">
            <x v="14"/>
          </reference>
          <reference field="8" count="2">
            <x v="54"/>
            <x v="55"/>
          </reference>
        </references>
      </pivotArea>
    </format>
    <format dxfId="2149">
      <pivotArea dataOnly="0" labelOnly="1" fieldPosition="0">
        <references count="4">
          <reference field="4" count="1" selected="0">
            <x v="7"/>
          </reference>
          <reference field="6" count="1" selected="0">
            <x v="4"/>
          </reference>
          <reference field="7" count="1" selected="0">
            <x v="15"/>
          </reference>
          <reference field="8" count="1">
            <x v="56"/>
          </reference>
        </references>
      </pivotArea>
    </format>
    <format dxfId="2148">
      <pivotArea dataOnly="0" labelOnly="1" fieldPosition="0">
        <references count="4">
          <reference field="4" count="1" selected="0">
            <x v="8"/>
          </reference>
          <reference field="6" count="1" selected="0">
            <x v="0"/>
          </reference>
          <reference field="7" count="1" selected="0">
            <x v="18"/>
          </reference>
          <reference field="8" count="1">
            <x v="77"/>
          </reference>
        </references>
      </pivotArea>
    </format>
    <format dxfId="2147">
      <pivotArea dataOnly="0" labelOnly="1" fieldPosition="0">
        <references count="4">
          <reference field="4" count="1" selected="0">
            <x v="8"/>
          </reference>
          <reference field="6" count="1" selected="0">
            <x v="0"/>
          </reference>
          <reference field="7" count="1" selected="0">
            <x v="22"/>
          </reference>
          <reference field="8" count="3">
            <x v="92"/>
            <x v="93"/>
            <x v="94"/>
          </reference>
        </references>
      </pivotArea>
    </format>
    <format dxfId="2146">
      <pivotArea dataOnly="0" labelOnly="1" fieldPosition="0">
        <references count="4">
          <reference field="4" count="1" selected="0">
            <x v="8"/>
          </reference>
          <reference field="6" count="1" selected="0">
            <x v="1"/>
          </reference>
          <reference field="7" count="1" selected="0">
            <x v="28"/>
          </reference>
          <reference field="8" count="2">
            <x v="138"/>
            <x v="139"/>
          </reference>
        </references>
      </pivotArea>
    </format>
    <format dxfId="2145">
      <pivotArea dataOnly="0" labelOnly="1" fieldPosition="0">
        <references count="4">
          <reference field="4" count="1" selected="0">
            <x v="8"/>
          </reference>
          <reference field="6" count="1" selected="0">
            <x v="2"/>
          </reference>
          <reference field="7" count="1" selected="0">
            <x v="32"/>
          </reference>
          <reference field="8" count="2">
            <x v="158"/>
            <x v="159"/>
          </reference>
        </references>
      </pivotArea>
    </format>
    <format dxfId="2144">
      <pivotArea dataOnly="0" labelOnly="1" fieldPosition="0">
        <references count="4">
          <reference field="4" count="1" selected="0">
            <x v="8"/>
          </reference>
          <reference field="6" count="1" selected="0">
            <x v="3"/>
          </reference>
          <reference field="7" count="1" selected="0">
            <x v="6"/>
          </reference>
          <reference field="8" count="2">
            <x v="29"/>
            <x v="30"/>
          </reference>
        </references>
      </pivotArea>
    </format>
    <format dxfId="2143">
      <pivotArea dataOnly="0" labelOnly="1" fieldPosition="0">
        <references count="4">
          <reference field="4" count="1" selected="0">
            <x v="9"/>
          </reference>
          <reference field="6" count="1" selected="0">
            <x v="1"/>
          </reference>
          <reference field="7" count="1" selected="0">
            <x v="25"/>
          </reference>
          <reference field="8" count="10">
            <x v="115"/>
            <x v="116"/>
            <x v="117"/>
            <x v="118"/>
            <x v="119"/>
            <x v="120"/>
            <x v="121"/>
            <x v="122"/>
            <x v="123"/>
            <x v="124"/>
          </reference>
        </references>
      </pivotArea>
    </format>
    <format dxfId="2142">
      <pivotArea dataOnly="0" labelOnly="1" fieldPosition="0">
        <references count="4">
          <reference field="4" count="1" selected="0">
            <x v="10"/>
          </reference>
          <reference field="6" count="1" selected="0">
            <x v="3"/>
          </reference>
          <reference field="7" count="1" selected="0">
            <x v="6"/>
          </reference>
          <reference field="8" count="1">
            <x v="29"/>
          </reference>
        </references>
      </pivotArea>
    </format>
    <format dxfId="2141">
      <pivotArea dataOnly="0" labelOnly="1" fieldPosition="0">
        <references count="4">
          <reference field="4" count="1" selected="0">
            <x v="11"/>
          </reference>
          <reference field="6" count="1" selected="0">
            <x v="0"/>
          </reference>
          <reference field="7" count="1" selected="0">
            <x v="17"/>
          </reference>
          <reference field="8" count="3">
            <x v="70"/>
            <x v="71"/>
            <x v="72"/>
          </reference>
        </references>
      </pivotArea>
    </format>
    <format dxfId="2140">
      <pivotArea dataOnly="0" labelOnly="1" fieldPosition="0">
        <references count="4">
          <reference field="4" count="1" selected="0">
            <x v="12"/>
          </reference>
          <reference field="6" count="1" selected="0">
            <x v="0"/>
          </reference>
          <reference field="7" count="1" selected="0">
            <x v="18"/>
          </reference>
          <reference field="8" count="3">
            <x v="74"/>
            <x v="75"/>
            <x v="76"/>
          </reference>
        </references>
      </pivotArea>
    </format>
    <format dxfId="2139">
      <pivotArea dataOnly="0" labelOnly="1" fieldPosition="0">
        <references count="4">
          <reference field="4" count="1" selected="0">
            <x v="13"/>
          </reference>
          <reference field="6" count="1" selected="0">
            <x v="3"/>
          </reference>
          <reference field="7" count="1" selected="0">
            <x v="1"/>
          </reference>
          <reference field="8" count="1">
            <x v="6"/>
          </reference>
        </references>
      </pivotArea>
    </format>
    <format dxfId="2138">
      <pivotArea dataOnly="0" labelOnly="1" fieldPosition="0">
        <references count="4">
          <reference field="4" count="1" selected="0">
            <x v="13"/>
          </reference>
          <reference field="6" count="1" selected="0">
            <x v="3"/>
          </reference>
          <reference field="7" count="1" selected="0">
            <x v="5"/>
          </reference>
          <reference field="8" count="6">
            <x v="22"/>
            <x v="23"/>
            <x v="24"/>
            <x v="25"/>
            <x v="26"/>
            <x v="27"/>
          </reference>
        </references>
      </pivotArea>
    </format>
    <format dxfId="2137">
      <pivotArea dataOnly="0" labelOnly="1" fieldPosition="0">
        <references count="4">
          <reference field="4" count="1" selected="0">
            <x v="14"/>
          </reference>
          <reference field="6" count="1" selected="0">
            <x v="1"/>
          </reference>
          <reference field="7" count="1" selected="0">
            <x v="26"/>
          </reference>
          <reference field="8" count="7">
            <x v="125"/>
            <x v="126"/>
            <x v="127"/>
            <x v="128"/>
            <x v="129"/>
            <x v="130"/>
            <x v="131"/>
          </reference>
        </references>
      </pivotArea>
    </format>
    <format dxfId="2136">
      <pivotArea dataOnly="0" labelOnly="1" fieldPosition="0">
        <references count="4">
          <reference field="4" count="1" selected="0">
            <x v="15"/>
          </reference>
          <reference field="6" count="1" selected="0">
            <x v="0"/>
          </reference>
          <reference field="7" count="1" selected="0">
            <x v="20"/>
          </reference>
          <reference field="8" count="5">
            <x v="82"/>
            <x v="83"/>
            <x v="84"/>
            <x v="85"/>
            <x v="86"/>
          </reference>
        </references>
      </pivotArea>
    </format>
    <format dxfId="2135">
      <pivotArea dataOnly="0" labelOnly="1" fieldPosition="0">
        <references count="4">
          <reference field="4" count="1" selected="0">
            <x v="16"/>
          </reference>
          <reference field="6" count="1" selected="0">
            <x v="1"/>
          </reference>
          <reference field="7" count="1" selected="0">
            <x v="27"/>
          </reference>
          <reference field="8" count="6">
            <x v="132"/>
            <x v="133"/>
            <x v="134"/>
            <x v="135"/>
            <x v="136"/>
            <x v="137"/>
          </reference>
        </references>
      </pivotArea>
    </format>
    <format dxfId="2134">
      <pivotArea dataOnly="0" labelOnly="1" fieldPosition="0">
        <references count="4">
          <reference field="4" count="1" selected="0">
            <x v="16"/>
          </reference>
          <reference field="6" count="1" selected="0">
            <x v="3"/>
          </reference>
          <reference field="7" count="1" selected="0">
            <x v="1"/>
          </reference>
          <reference field="8" count="1">
            <x v="6"/>
          </reference>
        </references>
      </pivotArea>
    </format>
    <format dxfId="2133">
      <pivotArea dataOnly="0" labelOnly="1" fieldPosition="0">
        <references count="4">
          <reference field="4" count="1" selected="0">
            <x v="16"/>
          </reference>
          <reference field="6" count="1" selected="0">
            <x v="4"/>
          </reference>
          <reference field="7" count="1" selected="0">
            <x v="8"/>
          </reference>
          <reference field="8" count="1">
            <x v="38"/>
          </reference>
        </references>
      </pivotArea>
    </format>
    <format dxfId="2132">
      <pivotArea dataOnly="0" labelOnly="1" fieldPosition="0">
        <references count="4">
          <reference field="4" count="1" selected="0">
            <x v="16"/>
          </reference>
          <reference field="6" count="1" selected="0">
            <x v="4"/>
          </reference>
          <reference field="7" count="1" selected="0">
            <x v="11"/>
          </reference>
          <reference field="8" count="1">
            <x v="48"/>
          </reference>
        </references>
      </pivotArea>
    </format>
    <format dxfId="2131">
      <pivotArea dataOnly="0" labelOnly="1" fieldPosition="0">
        <references count="4">
          <reference field="4" count="1" selected="0">
            <x v="17"/>
          </reference>
          <reference field="6" count="1" selected="0">
            <x v="0"/>
          </reference>
          <reference field="7" count="1" selected="0">
            <x v="16"/>
          </reference>
          <reference field="8" count="7">
            <x v="57"/>
            <x v="58"/>
            <x v="59"/>
            <x v="60"/>
            <x v="61"/>
            <x v="62"/>
            <x v="63"/>
          </reference>
        </references>
      </pivotArea>
    </format>
    <format dxfId="2130">
      <pivotArea dataOnly="0" labelOnly="1" fieldPosition="0">
        <references count="4">
          <reference field="4" count="1" selected="0">
            <x v="17"/>
          </reference>
          <reference field="6" count="1" selected="0">
            <x v="0"/>
          </reference>
          <reference field="7" count="1" selected="0">
            <x v="22"/>
          </reference>
          <reference field="8" count="1">
            <x v="94"/>
          </reference>
        </references>
      </pivotArea>
    </format>
    <format dxfId="2129">
      <pivotArea dataOnly="0" labelOnly="1" fieldPosition="0">
        <references count="4">
          <reference field="4" count="1" selected="0">
            <x v="18"/>
          </reference>
          <reference field="6" count="1" selected="0">
            <x v="3"/>
          </reference>
          <reference field="7" count="1" selected="0">
            <x v="2"/>
          </reference>
          <reference field="8" count="4">
            <x v="8"/>
            <x v="9"/>
            <x v="16"/>
            <x v="17"/>
          </reference>
        </references>
      </pivotArea>
    </format>
    <format dxfId="2128">
      <pivotArea dataOnly="0" labelOnly="1" fieldPosition="0">
        <references count="4">
          <reference field="4" count="1" selected="0">
            <x v="19"/>
          </reference>
          <reference field="6" count="1" selected="0">
            <x v="3"/>
          </reference>
          <reference field="7" count="1" selected="0">
            <x v="6"/>
          </reference>
          <reference field="8" count="1">
            <x v="29"/>
          </reference>
        </references>
      </pivotArea>
    </format>
    <format dxfId="2127">
      <pivotArea dataOnly="0" labelOnly="1" fieldPosition="0">
        <references count="4">
          <reference field="4" count="1" selected="0">
            <x v="20"/>
          </reference>
          <reference field="6" count="1" selected="0">
            <x v="1"/>
          </reference>
          <reference field="7" count="1" selected="0">
            <x v="24"/>
          </reference>
          <reference field="8" count="1">
            <x v="106"/>
          </reference>
        </references>
      </pivotArea>
    </format>
    <format dxfId="2126">
      <pivotArea dataOnly="0" labelOnly="1" fieldPosition="0">
        <references count="5">
          <reference field="4" count="1" selected="0">
            <x v="0"/>
          </reference>
          <reference field="6" count="1" selected="0">
            <x v="0"/>
          </reference>
          <reference field="7" count="1" selected="0">
            <x v="17"/>
          </reference>
          <reference field="8" count="1" selected="0">
            <x v="65"/>
          </reference>
          <reference field="15" count="1">
            <x v="108"/>
          </reference>
        </references>
      </pivotArea>
    </format>
    <format dxfId="2125">
      <pivotArea dataOnly="0" labelOnly="1" fieldPosition="0">
        <references count="5">
          <reference field="4" count="1" selected="0">
            <x v="0"/>
          </reference>
          <reference field="6" count="1" selected="0">
            <x v="0"/>
          </reference>
          <reference field="7" count="1" selected="0">
            <x v="17"/>
          </reference>
          <reference field="8" count="1" selected="0">
            <x v="66"/>
          </reference>
          <reference field="15" count="2">
            <x v="365"/>
            <x v="366"/>
          </reference>
        </references>
      </pivotArea>
    </format>
    <format dxfId="2124">
      <pivotArea dataOnly="0" labelOnly="1" fieldPosition="0">
        <references count="5">
          <reference field="4" count="1" selected="0">
            <x v="0"/>
          </reference>
          <reference field="6" count="1" selected="0">
            <x v="0"/>
          </reference>
          <reference field="7" count="1" selected="0">
            <x v="17"/>
          </reference>
          <reference field="8" count="1" selected="0">
            <x v="67"/>
          </reference>
          <reference field="15" count="2">
            <x v="364"/>
            <x v="370"/>
          </reference>
        </references>
      </pivotArea>
    </format>
    <format dxfId="2123">
      <pivotArea dataOnly="0" labelOnly="1" fieldPosition="0">
        <references count="5">
          <reference field="4" count="1" selected="0">
            <x v="0"/>
          </reference>
          <reference field="6" count="1" selected="0">
            <x v="0"/>
          </reference>
          <reference field="7" count="1" selected="0">
            <x v="17"/>
          </reference>
          <reference field="8" count="1" selected="0">
            <x v="68"/>
          </reference>
          <reference field="15" count="1">
            <x v="79"/>
          </reference>
        </references>
      </pivotArea>
    </format>
    <format dxfId="2122">
      <pivotArea dataOnly="0" labelOnly="1" fieldPosition="0">
        <references count="5">
          <reference field="4" count="1" selected="0">
            <x v="0"/>
          </reference>
          <reference field="6" count="1" selected="0">
            <x v="0"/>
          </reference>
          <reference field="7" count="1" selected="0">
            <x v="17"/>
          </reference>
          <reference field="8" count="1" selected="0">
            <x v="69"/>
          </reference>
          <reference field="15" count="1">
            <x v="42"/>
          </reference>
        </references>
      </pivotArea>
    </format>
    <format dxfId="2121">
      <pivotArea dataOnly="0" labelOnly="1" fieldPosition="0">
        <references count="5">
          <reference field="4" count="1" selected="0">
            <x v="0"/>
          </reference>
          <reference field="6" count="1" selected="0">
            <x v="0"/>
          </reference>
          <reference field="7" count="1" selected="0">
            <x v="19"/>
          </reference>
          <reference field="8" count="1" selected="0">
            <x v="78"/>
          </reference>
          <reference field="15" count="1">
            <x v="236"/>
          </reference>
        </references>
      </pivotArea>
    </format>
    <format dxfId="2120">
      <pivotArea dataOnly="0" labelOnly="1" fieldPosition="0">
        <references count="5">
          <reference field="4" count="1" selected="0">
            <x v="0"/>
          </reference>
          <reference field="6" count="1" selected="0">
            <x v="0"/>
          </reference>
          <reference field="7" count="1" selected="0">
            <x v="19"/>
          </reference>
          <reference field="8" count="1" selected="0">
            <x v="79"/>
          </reference>
          <reference field="15" count="1">
            <x v="12"/>
          </reference>
        </references>
      </pivotArea>
    </format>
    <format dxfId="2119">
      <pivotArea dataOnly="0" labelOnly="1" fieldPosition="0">
        <references count="5">
          <reference field="4" count="1" selected="0">
            <x v="0"/>
          </reference>
          <reference field="6" count="1" selected="0">
            <x v="0"/>
          </reference>
          <reference field="7" count="1" selected="0">
            <x v="19"/>
          </reference>
          <reference field="8" count="1" selected="0">
            <x v="80"/>
          </reference>
          <reference field="15" count="2">
            <x v="10"/>
            <x v="11"/>
          </reference>
        </references>
      </pivotArea>
    </format>
    <format dxfId="2118">
      <pivotArea dataOnly="0" labelOnly="1" fieldPosition="0">
        <references count="5">
          <reference field="4" count="1" selected="0">
            <x v="0"/>
          </reference>
          <reference field="6" count="1" selected="0">
            <x v="1"/>
          </reference>
          <reference field="7" count="1" selected="0">
            <x v="23"/>
          </reference>
          <reference field="8" count="1" selected="0">
            <x v="95"/>
          </reference>
          <reference field="15" count="1">
            <x v="250"/>
          </reference>
        </references>
      </pivotArea>
    </format>
    <format dxfId="2117">
      <pivotArea dataOnly="0" labelOnly="1" fieldPosition="0">
        <references count="5">
          <reference field="4" count="1" selected="0">
            <x v="0"/>
          </reference>
          <reference field="6" count="1" selected="0">
            <x v="1"/>
          </reference>
          <reference field="7" count="1" selected="0">
            <x v="23"/>
          </reference>
          <reference field="8" count="1" selected="0">
            <x v="96"/>
          </reference>
          <reference field="15" count="2">
            <x v="251"/>
            <x v="358"/>
          </reference>
        </references>
      </pivotArea>
    </format>
    <format dxfId="2116">
      <pivotArea dataOnly="0" labelOnly="1" fieldPosition="0">
        <references count="5">
          <reference field="4" count="1" selected="0">
            <x v="0"/>
          </reference>
          <reference field="6" count="1" selected="0">
            <x v="1"/>
          </reference>
          <reference field="7" count="1" selected="0">
            <x v="23"/>
          </reference>
          <reference field="8" count="1" selected="0">
            <x v="97"/>
          </reference>
          <reference field="15" count="1">
            <x v="257"/>
          </reference>
        </references>
      </pivotArea>
    </format>
    <format dxfId="2115">
      <pivotArea dataOnly="0" labelOnly="1" fieldPosition="0">
        <references count="5">
          <reference field="4" count="1" selected="0">
            <x v="0"/>
          </reference>
          <reference field="6" count="1" selected="0">
            <x v="1"/>
          </reference>
          <reference field="7" count="1" selected="0">
            <x v="23"/>
          </reference>
          <reference field="8" count="1" selected="0">
            <x v="98"/>
          </reference>
          <reference field="15" count="1">
            <x v="43"/>
          </reference>
        </references>
      </pivotArea>
    </format>
    <format dxfId="2114">
      <pivotArea dataOnly="0" labelOnly="1" fieldPosition="0">
        <references count="5">
          <reference field="4" count="1" selected="0">
            <x v="0"/>
          </reference>
          <reference field="6" count="1" selected="0">
            <x v="1"/>
          </reference>
          <reference field="7" count="1" selected="0">
            <x v="23"/>
          </reference>
          <reference field="8" count="1" selected="0">
            <x v="99"/>
          </reference>
          <reference field="15" count="1">
            <x v="254"/>
          </reference>
        </references>
      </pivotArea>
    </format>
    <format dxfId="2113">
      <pivotArea dataOnly="0" labelOnly="1" fieldPosition="0">
        <references count="5">
          <reference field="4" count="1" selected="0">
            <x v="0"/>
          </reference>
          <reference field="6" count="1" selected="0">
            <x v="1"/>
          </reference>
          <reference field="7" count="1" selected="0">
            <x v="23"/>
          </reference>
          <reference field="8" count="1" selected="0">
            <x v="100"/>
          </reference>
          <reference field="15" count="1">
            <x v="253"/>
          </reference>
        </references>
      </pivotArea>
    </format>
    <format dxfId="2112">
      <pivotArea dataOnly="0" labelOnly="1" fieldPosition="0">
        <references count="5">
          <reference field="4" count="1" selected="0">
            <x v="0"/>
          </reference>
          <reference field="6" count="1" selected="0">
            <x v="1"/>
          </reference>
          <reference field="7" count="1" selected="0">
            <x v="23"/>
          </reference>
          <reference field="8" count="1" selected="0">
            <x v="101"/>
          </reference>
          <reference field="15" count="1">
            <x v="255"/>
          </reference>
        </references>
      </pivotArea>
    </format>
    <format dxfId="2111">
      <pivotArea dataOnly="0" labelOnly="1" fieldPosition="0">
        <references count="5">
          <reference field="4" count="1" selected="0">
            <x v="0"/>
          </reference>
          <reference field="6" count="1" selected="0">
            <x v="1"/>
          </reference>
          <reference field="7" count="1" selected="0">
            <x v="23"/>
          </reference>
          <reference field="8" count="1" selected="0">
            <x v="102"/>
          </reference>
          <reference field="15" count="1">
            <x v="40"/>
          </reference>
        </references>
      </pivotArea>
    </format>
    <format dxfId="2110">
      <pivotArea dataOnly="0" labelOnly="1" fieldPosition="0">
        <references count="5">
          <reference field="4" count="1" selected="0">
            <x v="0"/>
          </reference>
          <reference field="6" count="1" selected="0">
            <x v="1"/>
          </reference>
          <reference field="7" count="1" selected="0">
            <x v="23"/>
          </reference>
          <reference field="8" count="1" selected="0">
            <x v="103"/>
          </reference>
          <reference field="15" count="1">
            <x v="252"/>
          </reference>
        </references>
      </pivotArea>
    </format>
    <format dxfId="2109">
      <pivotArea dataOnly="0" labelOnly="1" fieldPosition="0">
        <references count="5">
          <reference field="4" count="1" selected="0">
            <x v="0"/>
          </reference>
          <reference field="6" count="1" selected="0">
            <x v="1"/>
          </reference>
          <reference field="7" count="1" selected="0">
            <x v="23"/>
          </reference>
          <reference field="8" count="1" selected="0">
            <x v="104"/>
          </reference>
          <reference field="15" count="1">
            <x v="256"/>
          </reference>
        </references>
      </pivotArea>
    </format>
    <format dxfId="2108">
      <pivotArea dataOnly="0" labelOnly="1" fieldPosition="0">
        <references count="5">
          <reference field="4" count="1" selected="0">
            <x v="0"/>
          </reference>
          <reference field="6" count="1" selected="0">
            <x v="1"/>
          </reference>
          <reference field="7" count="1" selected="0">
            <x v="26"/>
          </reference>
          <reference field="8" count="1" selected="0">
            <x v="131"/>
          </reference>
          <reference field="15" count="1">
            <x v="13"/>
          </reference>
        </references>
      </pivotArea>
    </format>
    <format dxfId="2107">
      <pivotArea dataOnly="0" labelOnly="1" fieldPosition="0">
        <references count="5">
          <reference field="4" count="1" selected="0">
            <x v="1"/>
          </reference>
          <reference field="6" count="1" selected="0">
            <x v="0"/>
          </reference>
          <reference field="7" count="1" selected="0">
            <x v="19"/>
          </reference>
          <reference field="8" count="1" selected="0">
            <x v="81"/>
          </reference>
          <reference field="15" count="1">
            <x v="231"/>
          </reference>
        </references>
      </pivotArea>
    </format>
    <format dxfId="2106">
      <pivotArea dataOnly="0" labelOnly="1" fieldPosition="0">
        <references count="5">
          <reference field="4" count="1" selected="0">
            <x v="1"/>
          </reference>
          <reference field="6" count="1" selected="0">
            <x v="3"/>
          </reference>
          <reference field="7" count="1" selected="0">
            <x v="2"/>
          </reference>
          <reference field="8" count="1" selected="0">
            <x v="7"/>
          </reference>
          <reference field="15" count="5">
            <x v="117"/>
            <x v="124"/>
            <x v="131"/>
            <x v="380"/>
            <x v="400"/>
          </reference>
        </references>
      </pivotArea>
    </format>
    <format dxfId="2105">
      <pivotArea dataOnly="0" labelOnly="1" fieldPosition="0">
        <references count="5">
          <reference field="4" count="1" selected="0">
            <x v="1"/>
          </reference>
          <reference field="6" count="1" selected="0">
            <x v="3"/>
          </reference>
          <reference field="7" count="1" selected="0">
            <x v="2"/>
          </reference>
          <reference field="8" count="1" selected="0">
            <x v="10"/>
          </reference>
          <reference field="15" count="2">
            <x v="17"/>
            <x v="18"/>
          </reference>
        </references>
      </pivotArea>
    </format>
    <format dxfId="2104">
      <pivotArea dataOnly="0" labelOnly="1" fieldPosition="0">
        <references count="5">
          <reference field="4" count="1" selected="0">
            <x v="1"/>
          </reference>
          <reference field="6" count="1" selected="0">
            <x v="3"/>
          </reference>
          <reference field="7" count="1" selected="0">
            <x v="2"/>
          </reference>
          <reference field="8" count="1" selected="0">
            <x v="11"/>
          </reference>
          <reference field="15" count="2">
            <x v="7"/>
            <x v="8"/>
          </reference>
        </references>
      </pivotArea>
    </format>
    <format dxfId="2103">
      <pivotArea dataOnly="0" labelOnly="1" fieldPosition="0">
        <references count="5">
          <reference field="4" count="1" selected="0">
            <x v="1"/>
          </reference>
          <reference field="6" count="1" selected="0">
            <x v="3"/>
          </reference>
          <reference field="7" count="1" selected="0">
            <x v="2"/>
          </reference>
          <reference field="8" count="1" selected="0">
            <x v="12"/>
          </reference>
          <reference field="15" count="1">
            <x v="107"/>
          </reference>
        </references>
      </pivotArea>
    </format>
    <format dxfId="2102">
      <pivotArea dataOnly="0" labelOnly="1" fieldPosition="0">
        <references count="5">
          <reference field="4" count="1" selected="0">
            <x v="1"/>
          </reference>
          <reference field="6" count="1" selected="0">
            <x v="3"/>
          </reference>
          <reference field="7" count="1" selected="0">
            <x v="2"/>
          </reference>
          <reference field="8" count="1" selected="0">
            <x v="13"/>
          </reference>
          <reference field="15" count="1">
            <x v="6"/>
          </reference>
        </references>
      </pivotArea>
    </format>
    <format dxfId="2101">
      <pivotArea dataOnly="0" labelOnly="1" fieldPosition="0">
        <references count="5">
          <reference field="4" count="1" selected="0">
            <x v="1"/>
          </reference>
          <reference field="6" count="1" selected="0">
            <x v="3"/>
          </reference>
          <reference field="7" count="1" selected="0">
            <x v="2"/>
          </reference>
          <reference field="8" count="1" selected="0">
            <x v="14"/>
          </reference>
          <reference field="15" count="2">
            <x v="46"/>
            <x v="47"/>
          </reference>
        </references>
      </pivotArea>
    </format>
    <format dxfId="2100">
      <pivotArea dataOnly="0" labelOnly="1" fieldPosition="0">
        <references count="5">
          <reference field="4" count="1" selected="0">
            <x v="1"/>
          </reference>
          <reference field="6" count="1" selected="0">
            <x v="3"/>
          </reference>
          <reference field="7" count="1" selected="0">
            <x v="2"/>
          </reference>
          <reference field="8" count="1" selected="0">
            <x v="15"/>
          </reference>
          <reference field="15" count="1">
            <x v="372"/>
          </reference>
        </references>
      </pivotArea>
    </format>
    <format dxfId="2099">
      <pivotArea dataOnly="0" labelOnly="1" fieldPosition="0">
        <references count="5">
          <reference field="4" count="1" selected="0">
            <x v="1"/>
          </reference>
          <reference field="6" count="1" selected="0">
            <x v="3"/>
          </reference>
          <reference field="7" count="1" selected="0">
            <x v="3"/>
          </reference>
          <reference field="8" count="1" selected="0">
            <x v="18"/>
          </reference>
          <reference field="15" count="1">
            <x v="232"/>
          </reference>
        </references>
      </pivotArea>
    </format>
    <format dxfId="2098">
      <pivotArea dataOnly="0" labelOnly="1" fieldPosition="0">
        <references count="5">
          <reference field="4" count="1" selected="0">
            <x v="1"/>
          </reference>
          <reference field="6" count="1" selected="0">
            <x v="3"/>
          </reference>
          <reference field="7" count="1" selected="0">
            <x v="3"/>
          </reference>
          <reference field="8" count="1" selected="0">
            <x v="19"/>
          </reference>
          <reference field="15" count="1">
            <x v="9"/>
          </reference>
        </references>
      </pivotArea>
    </format>
    <format dxfId="2097">
      <pivotArea dataOnly="0" labelOnly="1" fieldPosition="0">
        <references count="5">
          <reference field="4" count="1" selected="0">
            <x v="1"/>
          </reference>
          <reference field="6" count="1" selected="0">
            <x v="3"/>
          </reference>
          <reference field="7" count="1" selected="0">
            <x v="4"/>
          </reference>
          <reference field="8" count="1" selected="0">
            <x v="20"/>
          </reference>
          <reference field="15" count="1">
            <x v="34"/>
          </reference>
        </references>
      </pivotArea>
    </format>
    <format dxfId="2096">
      <pivotArea dataOnly="0" labelOnly="1" fieldPosition="0">
        <references count="5">
          <reference field="4" count="1" selected="0">
            <x v="1"/>
          </reference>
          <reference field="6" count="1" selected="0">
            <x v="3"/>
          </reference>
          <reference field="7" count="1" selected="0">
            <x v="4"/>
          </reference>
          <reference field="8" count="1" selected="0">
            <x v="21"/>
          </reference>
          <reference field="15" count="1">
            <x v="98"/>
          </reference>
        </references>
      </pivotArea>
    </format>
    <format dxfId="2095">
      <pivotArea dataOnly="0" labelOnly="1" fieldPosition="0">
        <references count="5">
          <reference field="4" count="1" selected="0">
            <x v="1"/>
          </reference>
          <reference field="6" count="1" selected="0">
            <x v="4"/>
          </reference>
          <reference field="7" count="1" selected="0">
            <x v="8"/>
          </reference>
          <reference field="8" count="1" selected="0">
            <x v="33"/>
          </reference>
          <reference field="15" count="1">
            <x v="237"/>
          </reference>
        </references>
      </pivotArea>
    </format>
    <format dxfId="2094">
      <pivotArea dataOnly="0" labelOnly="1" fieldPosition="0">
        <references count="5">
          <reference field="4" count="1" selected="0">
            <x v="1"/>
          </reference>
          <reference field="6" count="1" selected="0">
            <x v="4"/>
          </reference>
          <reference field="7" count="1" selected="0">
            <x v="8"/>
          </reference>
          <reference field="8" count="1" selected="0">
            <x v="34"/>
          </reference>
          <reference field="15" count="1">
            <x v="373"/>
          </reference>
        </references>
      </pivotArea>
    </format>
    <format dxfId="2093">
      <pivotArea dataOnly="0" labelOnly="1" fieldPosition="0">
        <references count="5">
          <reference field="4" count="1" selected="0">
            <x v="1"/>
          </reference>
          <reference field="6" count="1" selected="0">
            <x v="4"/>
          </reference>
          <reference field="7" count="1" selected="0">
            <x v="8"/>
          </reference>
          <reference field="8" count="1" selected="0">
            <x v="39"/>
          </reference>
          <reference field="15" count="2">
            <x v="233"/>
            <x v="234"/>
          </reference>
        </references>
      </pivotArea>
    </format>
    <format dxfId="2092">
      <pivotArea dataOnly="0" labelOnly="1" fieldPosition="0">
        <references count="5">
          <reference field="4" count="1" selected="0">
            <x v="2"/>
          </reference>
          <reference field="6" count="1" selected="0">
            <x v="2"/>
          </reference>
          <reference field="7" count="1" selected="0">
            <x v="29"/>
          </reference>
          <reference field="8" count="1" selected="0">
            <x v="145"/>
          </reference>
          <reference field="15" count="1">
            <x v="377"/>
          </reference>
        </references>
      </pivotArea>
    </format>
    <format dxfId="2091">
      <pivotArea dataOnly="0" labelOnly="1" fieldPosition="0">
        <references count="5">
          <reference field="4" count="1" selected="0">
            <x v="2"/>
          </reference>
          <reference field="6" count="1" selected="0">
            <x v="2"/>
          </reference>
          <reference field="7" count="1" selected="0">
            <x v="29"/>
          </reference>
          <reference field="8" count="1" selected="0">
            <x v="146"/>
          </reference>
          <reference field="15" count="1">
            <x v="139"/>
          </reference>
        </references>
      </pivotArea>
    </format>
    <format dxfId="2090">
      <pivotArea dataOnly="0" labelOnly="1" fieldPosition="0">
        <references count="5">
          <reference field="4" count="1" selected="0">
            <x v="2"/>
          </reference>
          <reference field="6" count="1" selected="0">
            <x v="2"/>
          </reference>
          <reference field="7" count="1" selected="0">
            <x v="29"/>
          </reference>
          <reference field="8" count="1" selected="0">
            <x v="147"/>
          </reference>
          <reference field="15" count="1">
            <x v="127"/>
          </reference>
        </references>
      </pivotArea>
    </format>
    <format dxfId="2089">
      <pivotArea dataOnly="0" labelOnly="1" fieldPosition="0">
        <references count="5">
          <reference field="4" count="1" selected="0">
            <x v="2"/>
          </reference>
          <reference field="6" count="1" selected="0">
            <x v="2"/>
          </reference>
          <reference field="7" count="1" selected="0">
            <x v="29"/>
          </reference>
          <reference field="8" count="1" selected="0">
            <x v="148"/>
          </reference>
          <reference field="15" count="1">
            <x v="142"/>
          </reference>
        </references>
      </pivotArea>
    </format>
    <format dxfId="2088">
      <pivotArea dataOnly="0" labelOnly="1" fieldPosition="0">
        <references count="5">
          <reference field="4" count="1" selected="0">
            <x v="2"/>
          </reference>
          <reference field="6" count="1" selected="0">
            <x v="2"/>
          </reference>
          <reference field="7" count="1" selected="0">
            <x v="29"/>
          </reference>
          <reference field="8" count="1" selected="0">
            <x v="149"/>
          </reference>
          <reference field="15" count="1">
            <x v="140"/>
          </reference>
        </references>
      </pivotArea>
    </format>
    <format dxfId="2087">
      <pivotArea dataOnly="0" labelOnly="1" fieldPosition="0">
        <references count="5">
          <reference field="4" count="1" selected="0">
            <x v="2"/>
          </reference>
          <reference field="6" count="1" selected="0">
            <x v="2"/>
          </reference>
          <reference field="7" count="1" selected="0">
            <x v="29"/>
          </reference>
          <reference field="8" count="1" selected="0">
            <x v="150"/>
          </reference>
          <reference field="15" count="1">
            <x v="144"/>
          </reference>
        </references>
      </pivotArea>
    </format>
    <format dxfId="2086">
      <pivotArea dataOnly="0" labelOnly="1" fieldPosition="0">
        <references count="5">
          <reference field="4" count="1" selected="0">
            <x v="2"/>
          </reference>
          <reference field="6" count="1" selected="0">
            <x v="2"/>
          </reference>
          <reference field="7" count="1" selected="0">
            <x v="30"/>
          </reference>
          <reference field="8" count="1" selected="0">
            <x v="152"/>
          </reference>
          <reference field="15" count="2">
            <x v="128"/>
            <x v="129"/>
          </reference>
        </references>
      </pivotArea>
    </format>
    <format dxfId="2085">
      <pivotArea dataOnly="0" labelOnly="1" fieldPosition="0">
        <references count="5">
          <reference field="4" count="1" selected="0">
            <x v="2"/>
          </reference>
          <reference field="6" count="1" selected="0">
            <x v="2"/>
          </reference>
          <reference field="7" count="1" selected="0">
            <x v="30"/>
          </reference>
          <reference field="8" count="1" selected="0">
            <x v="153"/>
          </reference>
          <reference field="15" count="1">
            <x v="141"/>
          </reference>
        </references>
      </pivotArea>
    </format>
    <format dxfId="2084">
      <pivotArea dataOnly="0" labelOnly="1" fieldPosition="0">
        <references count="5">
          <reference field="4" count="1" selected="0">
            <x v="2"/>
          </reference>
          <reference field="6" count="1" selected="0">
            <x v="3"/>
          </reference>
          <reference field="7" count="1" selected="0">
            <x v="5"/>
          </reference>
          <reference field="8" count="1" selected="0">
            <x v="24"/>
          </reference>
          <reference field="15" count="1">
            <x v="339"/>
          </reference>
        </references>
      </pivotArea>
    </format>
    <format dxfId="2083">
      <pivotArea dataOnly="0" labelOnly="1" fieldPosition="0">
        <references count="5">
          <reference field="4" count="1" selected="0">
            <x v="2"/>
          </reference>
          <reference field="6" count="1" selected="0">
            <x v="3"/>
          </reference>
          <reference field="7" count="1" selected="0">
            <x v="7"/>
          </reference>
          <reference field="8" count="1" selected="0">
            <x v="31"/>
          </reference>
          <reference field="15" count="2">
            <x v="391"/>
            <x v="392"/>
          </reference>
        </references>
      </pivotArea>
    </format>
    <format dxfId="2082">
      <pivotArea dataOnly="0" labelOnly="1" fieldPosition="0">
        <references count="5">
          <reference field="4" count="1" selected="0">
            <x v="2"/>
          </reference>
          <reference field="6" count="1" selected="0">
            <x v="3"/>
          </reference>
          <reference field="7" count="1" selected="0">
            <x v="7"/>
          </reference>
          <reference field="8" count="1" selected="0">
            <x v="32"/>
          </reference>
          <reference field="15" count="1">
            <x v="371"/>
          </reference>
        </references>
      </pivotArea>
    </format>
    <format dxfId="2081">
      <pivotArea dataOnly="0" labelOnly="1" fieldPosition="0">
        <references count="5">
          <reference field="4" count="1" selected="0">
            <x v="2"/>
          </reference>
          <reference field="6" count="1" selected="0">
            <x v="4"/>
          </reference>
          <reference field="7" count="1" selected="0">
            <x v="8"/>
          </reference>
          <reference field="8" count="1" selected="0">
            <x v="36"/>
          </reference>
          <reference field="15" count="1">
            <x v="379"/>
          </reference>
        </references>
      </pivotArea>
    </format>
    <format dxfId="2080">
      <pivotArea dataOnly="0" labelOnly="1" fieldPosition="0">
        <references count="5">
          <reference field="4" count="1" selected="0">
            <x v="2"/>
          </reference>
          <reference field="6" count="1" selected="0">
            <x v="4"/>
          </reference>
          <reference field="7" count="1" selected="0">
            <x v="8"/>
          </reference>
          <reference field="8" count="1" selected="0">
            <x v="39"/>
          </reference>
          <reference field="15" count="1">
            <x v="378"/>
          </reference>
        </references>
      </pivotArea>
    </format>
    <format dxfId="2079">
      <pivotArea dataOnly="0" labelOnly="1" fieldPosition="0">
        <references count="5">
          <reference field="4" count="1" selected="0">
            <x v="3"/>
          </reference>
          <reference field="6" count="1" selected="0">
            <x v="3"/>
          </reference>
          <reference field="7" count="1" selected="0">
            <x v="6"/>
          </reference>
          <reference field="8" count="1" selected="0">
            <x v="29"/>
          </reference>
          <reference field="15" count="41">
            <x v="0"/>
            <x v="1"/>
            <x v="167"/>
            <x v="175"/>
            <x v="176"/>
            <x v="177"/>
            <x v="178"/>
            <x v="179"/>
            <x v="180"/>
            <x v="181"/>
            <x v="182"/>
            <x v="201"/>
            <x v="202"/>
            <x v="205"/>
            <x v="206"/>
            <x v="207"/>
            <x v="208"/>
            <x v="209"/>
            <x v="210"/>
            <x v="211"/>
            <x v="212"/>
            <x v="213"/>
            <x v="214"/>
            <x v="215"/>
            <x v="216"/>
            <x v="217"/>
            <x v="218"/>
            <x v="219"/>
            <x v="220"/>
            <x v="221"/>
            <x v="224"/>
            <x v="225"/>
            <x v="226"/>
            <x v="227"/>
            <x v="228"/>
            <x v="393"/>
            <x v="394"/>
            <x v="396"/>
            <x v="397"/>
            <x v="398"/>
            <x v="399"/>
          </reference>
        </references>
      </pivotArea>
    </format>
    <format dxfId="2078">
      <pivotArea dataOnly="0" labelOnly="1" fieldPosition="0">
        <references count="5">
          <reference field="4" count="1" selected="0">
            <x v="4"/>
          </reference>
          <reference field="6" count="1" selected="0">
            <x v="0"/>
          </reference>
          <reference field="7" count="1" selected="0">
            <x v="21"/>
          </reference>
          <reference field="8" count="1" selected="0">
            <x v="87"/>
          </reference>
          <reference field="15" count="8">
            <x v="126"/>
            <x v="293"/>
            <x v="305"/>
            <x v="306"/>
            <x v="317"/>
            <x v="388"/>
            <x v="389"/>
            <x v="390"/>
          </reference>
        </references>
      </pivotArea>
    </format>
    <format dxfId="2077">
      <pivotArea dataOnly="0" labelOnly="1" fieldPosition="0">
        <references count="5">
          <reference field="4" count="1" selected="0">
            <x v="4"/>
          </reference>
          <reference field="6" count="1" selected="0">
            <x v="0"/>
          </reference>
          <reference field="7" count="1" selected="0">
            <x v="21"/>
          </reference>
          <reference field="8" count="1" selected="0">
            <x v="88"/>
          </reference>
          <reference field="15" count="3">
            <x v="291"/>
            <x v="292"/>
            <x v="301"/>
          </reference>
        </references>
      </pivotArea>
    </format>
    <format dxfId="2076">
      <pivotArea dataOnly="0" labelOnly="1" fieldPosition="0">
        <references count="5">
          <reference field="4" count="1" selected="0">
            <x v="4"/>
          </reference>
          <reference field="6" count="1" selected="0">
            <x v="0"/>
          </reference>
          <reference field="7" count="1" selected="0">
            <x v="21"/>
          </reference>
          <reference field="8" count="1" selected="0">
            <x v="89"/>
          </reference>
          <reference field="15" count="1">
            <x v="310"/>
          </reference>
        </references>
      </pivotArea>
    </format>
    <format dxfId="2075">
      <pivotArea dataOnly="0" labelOnly="1" fieldPosition="0">
        <references count="5">
          <reference field="4" count="1" selected="0">
            <x v="4"/>
          </reference>
          <reference field="6" count="1" selected="0">
            <x v="0"/>
          </reference>
          <reference field="7" count="1" selected="0">
            <x v="21"/>
          </reference>
          <reference field="8" count="1" selected="0">
            <x v="90"/>
          </reference>
          <reference field="15" count="1">
            <x v="385"/>
          </reference>
        </references>
      </pivotArea>
    </format>
    <format dxfId="2074">
      <pivotArea dataOnly="0" labelOnly="1" fieldPosition="0">
        <references count="5">
          <reference field="4" count="1" selected="0">
            <x v="4"/>
          </reference>
          <reference field="6" count="1" selected="0">
            <x v="0"/>
          </reference>
          <reference field="7" count="1" selected="0">
            <x v="21"/>
          </reference>
          <reference field="8" count="1" selected="0">
            <x v="91"/>
          </reference>
          <reference field="15" count="2">
            <x v="264"/>
            <x v="265"/>
          </reference>
        </references>
      </pivotArea>
    </format>
    <format dxfId="2073">
      <pivotArea dataOnly="0" labelOnly="1" fieldPosition="0">
        <references count="5">
          <reference field="4" count="1" selected="0">
            <x v="4"/>
          </reference>
          <reference field="6" count="1" selected="0">
            <x v="1"/>
          </reference>
          <reference field="7" count="1" selected="0">
            <x v="24"/>
          </reference>
          <reference field="8" count="1" selected="0">
            <x v="114"/>
          </reference>
          <reference field="15" count="1">
            <x v="263"/>
          </reference>
        </references>
      </pivotArea>
    </format>
    <format dxfId="2072">
      <pivotArea dataOnly="0" labelOnly="1" fieldPosition="0">
        <references count="5">
          <reference field="4" count="1" selected="0">
            <x v="4"/>
          </reference>
          <reference field="6" count="1" selected="0">
            <x v="2"/>
          </reference>
          <reference field="7" count="1" selected="0">
            <x v="29"/>
          </reference>
          <reference field="8" count="1" selected="0">
            <x v="142"/>
          </reference>
          <reference field="15" count="1">
            <x v="283"/>
          </reference>
        </references>
      </pivotArea>
    </format>
    <format dxfId="2071">
      <pivotArea dataOnly="0" labelOnly="1" fieldPosition="0">
        <references count="5">
          <reference field="4" count="1" selected="0">
            <x v="4"/>
          </reference>
          <reference field="6" count="1" selected="0">
            <x v="2"/>
          </reference>
          <reference field="7" count="1" selected="0">
            <x v="29"/>
          </reference>
          <reference field="8" count="1" selected="0">
            <x v="143"/>
          </reference>
          <reference field="15" count="2">
            <x v="289"/>
            <x v="314"/>
          </reference>
        </references>
      </pivotArea>
    </format>
    <format dxfId="2070">
      <pivotArea dataOnly="0" labelOnly="1" fieldPosition="0">
        <references count="5">
          <reference field="4" count="1" selected="0">
            <x v="4"/>
          </reference>
          <reference field="6" count="1" selected="0">
            <x v="2"/>
          </reference>
          <reference field="7" count="1" selected="0">
            <x v="29"/>
          </reference>
          <reference field="8" count="1" selected="0">
            <x v="151"/>
          </reference>
          <reference field="15" count="1">
            <x v="387"/>
          </reference>
        </references>
      </pivotArea>
    </format>
    <format dxfId="2069">
      <pivotArea dataOnly="0" labelOnly="1" fieldPosition="0">
        <references count="5">
          <reference field="4" count="1" selected="0">
            <x v="4"/>
          </reference>
          <reference field="6" count="1" selected="0">
            <x v="2"/>
          </reference>
          <reference field="7" count="1" selected="0">
            <x v="31"/>
          </reference>
          <reference field="8" count="1" selected="0">
            <x v="155"/>
          </reference>
          <reference field="15" count="4">
            <x v="235"/>
            <x v="303"/>
            <x v="374"/>
            <x v="386"/>
          </reference>
        </references>
      </pivotArea>
    </format>
    <format dxfId="2068">
      <pivotArea dataOnly="0" labelOnly="1" fieldPosition="0">
        <references count="5">
          <reference field="4" count="1" selected="0">
            <x v="4"/>
          </reference>
          <reference field="6" count="1" selected="0">
            <x v="2"/>
          </reference>
          <reference field="7" count="1" selected="0">
            <x v="31"/>
          </reference>
          <reference field="8" count="1" selected="0">
            <x v="156"/>
          </reference>
          <reference field="15" count="1">
            <x v="304"/>
          </reference>
        </references>
      </pivotArea>
    </format>
    <format dxfId="2067">
      <pivotArea dataOnly="0" labelOnly="1" fieldPosition="0">
        <references count="5">
          <reference field="4" count="1" selected="0">
            <x v="4"/>
          </reference>
          <reference field="6" count="1" selected="0">
            <x v="2"/>
          </reference>
          <reference field="7" count="1" selected="0">
            <x v="31"/>
          </reference>
          <reference field="8" count="1" selected="0">
            <x v="157"/>
          </reference>
          <reference field="15" count="1">
            <x v="302"/>
          </reference>
        </references>
      </pivotArea>
    </format>
    <format dxfId="2066">
      <pivotArea dataOnly="0" labelOnly="1" fieldPosition="0">
        <references count="5">
          <reference field="4" count="1" selected="0">
            <x v="4"/>
          </reference>
          <reference field="6" count="1" selected="0">
            <x v="3"/>
          </reference>
          <reference field="7" count="1" selected="0">
            <x v="0"/>
          </reference>
          <reference field="8" count="1" selected="0">
            <x v="0"/>
          </reference>
          <reference field="15" count="2">
            <x v="125"/>
            <x v="269"/>
          </reference>
        </references>
      </pivotArea>
    </format>
    <format dxfId="2065">
      <pivotArea dataOnly="0" labelOnly="1" fieldPosition="0">
        <references count="5">
          <reference field="4" count="1" selected="0">
            <x v="4"/>
          </reference>
          <reference field="6" count="1" selected="0">
            <x v="3"/>
          </reference>
          <reference field="7" count="1" selected="0">
            <x v="0"/>
          </reference>
          <reference field="8" count="1" selected="0">
            <x v="1"/>
          </reference>
          <reference field="15" count="1">
            <x v="382"/>
          </reference>
        </references>
      </pivotArea>
    </format>
    <format dxfId="2064">
      <pivotArea dataOnly="0" labelOnly="1" fieldPosition="0">
        <references count="5">
          <reference field="4" count="1" selected="0">
            <x v="4"/>
          </reference>
          <reference field="6" count="1" selected="0">
            <x v="3"/>
          </reference>
          <reference field="7" count="1" selected="0">
            <x v="1"/>
          </reference>
          <reference field="8" count="1" selected="0">
            <x v="2"/>
          </reference>
          <reference field="15" count="1">
            <x v="282"/>
          </reference>
        </references>
      </pivotArea>
    </format>
    <format dxfId="2063">
      <pivotArea dataOnly="0" labelOnly="1" fieldPosition="0">
        <references count="5">
          <reference field="4" count="1" selected="0">
            <x v="4"/>
          </reference>
          <reference field="6" count="1" selected="0">
            <x v="3"/>
          </reference>
          <reference field="7" count="1" selected="0">
            <x v="1"/>
          </reference>
          <reference field="8" count="1" selected="0">
            <x v="3"/>
          </reference>
          <reference field="15" count="1">
            <x v="384"/>
          </reference>
        </references>
      </pivotArea>
    </format>
    <format dxfId="2062">
      <pivotArea dataOnly="0" labelOnly="1" fieldPosition="0">
        <references count="5">
          <reference field="4" count="1" selected="0">
            <x v="4"/>
          </reference>
          <reference field="6" count="1" selected="0">
            <x v="3"/>
          </reference>
          <reference field="7" count="1" selected="0">
            <x v="1"/>
          </reference>
          <reference field="8" count="1" selected="0">
            <x v="4"/>
          </reference>
          <reference field="15" count="1">
            <x v="298"/>
          </reference>
        </references>
      </pivotArea>
    </format>
    <format dxfId="2061">
      <pivotArea dataOnly="0" labelOnly="1" fieldPosition="0">
        <references count="5">
          <reference field="4" count="1" selected="0">
            <x v="4"/>
          </reference>
          <reference field="6" count="1" selected="0">
            <x v="3"/>
          </reference>
          <reference field="7" count="1" selected="0">
            <x v="1"/>
          </reference>
          <reference field="8" count="1" selected="0">
            <x v="5"/>
          </reference>
          <reference field="15" count="2">
            <x v="381"/>
            <x v="383"/>
          </reference>
        </references>
      </pivotArea>
    </format>
    <format dxfId="2060">
      <pivotArea dataOnly="0" labelOnly="1" fieldPosition="0">
        <references count="5">
          <reference field="4" count="1" selected="0">
            <x v="5"/>
          </reference>
          <reference field="6" count="1" selected="0">
            <x v="0"/>
          </reference>
          <reference field="7" count="1" selected="0">
            <x v="18"/>
          </reference>
          <reference field="8" count="1" selected="0">
            <x v="73"/>
          </reference>
          <reference field="15" count="3">
            <x v="245"/>
            <x v="246"/>
            <x v="313"/>
          </reference>
        </references>
      </pivotArea>
    </format>
    <format dxfId="2059">
      <pivotArea dataOnly="0" labelOnly="1" fieldPosition="0">
        <references count="5">
          <reference field="4" count="1" selected="0">
            <x v="5"/>
          </reference>
          <reference field="6" count="1" selected="0">
            <x v="0"/>
          </reference>
          <reference field="7" count="1" selected="0">
            <x v="18"/>
          </reference>
          <reference field="8" count="1" selected="0">
            <x v="74"/>
          </reference>
          <reference field="15" count="1">
            <x v="230"/>
          </reference>
        </references>
      </pivotArea>
    </format>
    <format dxfId="2058">
      <pivotArea dataOnly="0" labelOnly="1" fieldPosition="0">
        <references count="5">
          <reference field="4" count="1" selected="0">
            <x v="5"/>
          </reference>
          <reference field="6" count="1" selected="0">
            <x v="0"/>
          </reference>
          <reference field="7" count="1" selected="0">
            <x v="18"/>
          </reference>
          <reference field="8" count="1" selected="0">
            <x v="77"/>
          </reference>
          <reference field="15" count="2">
            <x v="276"/>
            <x v="277"/>
          </reference>
        </references>
      </pivotArea>
    </format>
    <format dxfId="2057">
      <pivotArea dataOnly="0" labelOnly="1" fieldPosition="0">
        <references count="5">
          <reference field="4" count="1" selected="0">
            <x v="5"/>
          </reference>
          <reference field="6" count="1" selected="0">
            <x v="0"/>
          </reference>
          <reference field="7" count="1" selected="0">
            <x v="22"/>
          </reference>
          <reference field="8" count="1" selected="0">
            <x v="94"/>
          </reference>
          <reference field="15" count="1">
            <x v="164"/>
          </reference>
        </references>
      </pivotArea>
    </format>
    <format dxfId="2056">
      <pivotArea dataOnly="0" labelOnly="1" fieldPosition="0">
        <references count="5">
          <reference field="4" count="1" selected="0">
            <x v="5"/>
          </reference>
          <reference field="6" count="1" selected="0">
            <x v="4"/>
          </reference>
          <reference field="7" count="1" selected="0">
            <x v="8"/>
          </reference>
          <reference field="8" count="1" selected="0">
            <x v="37"/>
          </reference>
          <reference field="15" count="1">
            <x v="222"/>
          </reference>
        </references>
      </pivotArea>
    </format>
    <format dxfId="2055">
      <pivotArea dataOnly="0" labelOnly="1" fieldPosition="0">
        <references count="5">
          <reference field="4" count="1" selected="0">
            <x v="6"/>
          </reference>
          <reference field="6" count="1" selected="0">
            <x v="1"/>
          </reference>
          <reference field="7" count="1" selected="0">
            <x v="24"/>
          </reference>
          <reference field="8" count="1" selected="0">
            <x v="105"/>
          </reference>
          <reference field="15" count="13">
            <x v="24"/>
            <x v="25"/>
            <x v="31"/>
            <x v="37"/>
            <x v="44"/>
            <x v="45"/>
            <x v="48"/>
            <x v="49"/>
            <x v="50"/>
            <x v="56"/>
            <x v="66"/>
            <x v="100"/>
            <x v="101"/>
          </reference>
        </references>
      </pivotArea>
    </format>
    <format dxfId="2054">
      <pivotArea dataOnly="0" labelOnly="1" fieldPosition="0">
        <references count="5">
          <reference field="4" count="1" selected="0">
            <x v="6"/>
          </reference>
          <reference field="6" count="1" selected="0">
            <x v="1"/>
          </reference>
          <reference field="7" count="1" selected="0">
            <x v="24"/>
          </reference>
          <reference field="8" count="1" selected="0">
            <x v="107"/>
          </reference>
          <reference field="15" count="3">
            <x v="118"/>
            <x v="123"/>
            <x v="165"/>
          </reference>
        </references>
      </pivotArea>
    </format>
    <format dxfId="2053">
      <pivotArea dataOnly="0" labelOnly="1" fieldPosition="0">
        <references count="5">
          <reference field="4" count="1" selected="0">
            <x v="6"/>
          </reference>
          <reference field="6" count="1" selected="0">
            <x v="1"/>
          </reference>
          <reference field="7" count="1" selected="0">
            <x v="24"/>
          </reference>
          <reference field="8" count="1" selected="0">
            <x v="108"/>
          </reference>
          <reference field="15" count="2">
            <x v="97"/>
            <x v="119"/>
          </reference>
        </references>
      </pivotArea>
    </format>
    <format dxfId="2052">
      <pivotArea dataOnly="0" labelOnly="1" fieldPosition="0">
        <references count="5">
          <reference field="4" count="1" selected="0">
            <x v="6"/>
          </reference>
          <reference field="6" count="1" selected="0">
            <x v="1"/>
          </reference>
          <reference field="7" count="1" selected="0">
            <x v="24"/>
          </reference>
          <reference field="8" count="1" selected="0">
            <x v="109"/>
          </reference>
          <reference field="15" count="2">
            <x v="96"/>
            <x v="327"/>
          </reference>
        </references>
      </pivotArea>
    </format>
    <format dxfId="2051">
      <pivotArea dataOnly="0" labelOnly="1" fieldPosition="0">
        <references count="5">
          <reference field="4" count="1" selected="0">
            <x v="6"/>
          </reference>
          <reference field="6" count="1" selected="0">
            <x v="1"/>
          </reference>
          <reference field="7" count="1" selected="0">
            <x v="24"/>
          </reference>
          <reference field="8" count="1" selected="0">
            <x v="110"/>
          </reference>
          <reference field="15" count="2">
            <x v="115"/>
            <x v="324"/>
          </reference>
        </references>
      </pivotArea>
    </format>
    <format dxfId="2050">
      <pivotArea dataOnly="0" labelOnly="1" fieldPosition="0">
        <references count="5">
          <reference field="4" count="1" selected="0">
            <x v="6"/>
          </reference>
          <reference field="6" count="1" selected="0">
            <x v="1"/>
          </reference>
          <reference field="7" count="1" selected="0">
            <x v="24"/>
          </reference>
          <reference field="8" count="1" selected="0">
            <x v="111"/>
          </reference>
          <reference field="15" count="1">
            <x v="326"/>
          </reference>
        </references>
      </pivotArea>
    </format>
    <format dxfId="2049">
      <pivotArea dataOnly="0" labelOnly="1" fieldPosition="0">
        <references count="5">
          <reference field="4" count="1" selected="0">
            <x v="6"/>
          </reference>
          <reference field="6" count="1" selected="0">
            <x v="1"/>
          </reference>
          <reference field="7" count="1" selected="0">
            <x v="24"/>
          </reference>
          <reference field="8" count="1" selected="0">
            <x v="112"/>
          </reference>
          <reference field="15" count="5">
            <x v="80"/>
            <x v="120"/>
            <x v="121"/>
            <x v="122"/>
            <x v="135"/>
          </reference>
        </references>
      </pivotArea>
    </format>
    <format dxfId="2048">
      <pivotArea dataOnly="0" labelOnly="1" fieldPosition="0">
        <references count="5">
          <reference field="4" count="1" selected="0">
            <x v="6"/>
          </reference>
          <reference field="6" count="1" selected="0">
            <x v="1"/>
          </reference>
          <reference field="7" count="1" selected="0">
            <x v="24"/>
          </reference>
          <reference field="8" count="1" selected="0">
            <x v="113"/>
          </reference>
          <reference field="15" count="3">
            <x v="67"/>
            <x v="84"/>
            <x v="166"/>
          </reference>
        </references>
      </pivotArea>
    </format>
    <format dxfId="2047">
      <pivotArea dataOnly="0" labelOnly="1" fieldPosition="0">
        <references count="5">
          <reference field="4" count="1" selected="0">
            <x v="7"/>
          </reference>
          <reference field="6" count="1" selected="0">
            <x v="0"/>
          </reference>
          <reference field="7" count="1" selected="0">
            <x v="16"/>
          </reference>
          <reference field="8" count="1" selected="0">
            <x v="64"/>
          </reference>
          <reference field="15" count="3">
            <x v="274"/>
            <x v="278"/>
            <x v="325"/>
          </reference>
        </references>
      </pivotArea>
    </format>
    <format dxfId="2046">
      <pivotArea dataOnly="0" labelOnly="1" fieldPosition="0">
        <references count="5">
          <reference field="4" count="1" selected="0">
            <x v="7"/>
          </reference>
          <reference field="6" count="1" selected="0">
            <x v="2"/>
          </reference>
          <reference field="7" count="1" selected="0">
            <x v="29"/>
          </reference>
          <reference field="8" count="1" selected="0">
            <x v="140"/>
          </reference>
          <reference field="15" count="1">
            <x v="53"/>
          </reference>
        </references>
      </pivotArea>
    </format>
    <format dxfId="2045">
      <pivotArea dataOnly="0" labelOnly="1" fieldPosition="0">
        <references count="5">
          <reference field="4" count="1" selected="0">
            <x v="7"/>
          </reference>
          <reference field="6" count="1" selected="0">
            <x v="2"/>
          </reference>
          <reference field="7" count="1" selected="0">
            <x v="29"/>
          </reference>
          <reference field="8" count="1" selected="0">
            <x v="141"/>
          </reference>
          <reference field="15" count="1">
            <x v="279"/>
          </reference>
        </references>
      </pivotArea>
    </format>
    <format dxfId="2044">
      <pivotArea dataOnly="0" labelOnly="1" fieldPosition="0">
        <references count="5">
          <reference field="4" count="1" selected="0">
            <x v="7"/>
          </reference>
          <reference field="6" count="1" selected="0">
            <x v="2"/>
          </reference>
          <reference field="7" count="1" selected="0">
            <x v="29"/>
          </reference>
          <reference field="8" count="1" selected="0">
            <x v="144"/>
          </reference>
          <reference field="15" count="1">
            <x v="52"/>
          </reference>
        </references>
      </pivotArea>
    </format>
    <format dxfId="2043">
      <pivotArea dataOnly="0" labelOnly="1" fieldPosition="0">
        <references count="5">
          <reference field="4" count="1" selected="0">
            <x v="7"/>
          </reference>
          <reference field="6" count="1" selected="0">
            <x v="2"/>
          </reference>
          <reference field="7" count="1" selected="0">
            <x v="29"/>
          </reference>
          <reference field="8" count="1" selected="0">
            <x v="145"/>
          </reference>
          <reference field="15" count="1">
            <x v="51"/>
          </reference>
        </references>
      </pivotArea>
    </format>
    <format dxfId="2042">
      <pivotArea dataOnly="0" labelOnly="1" fieldPosition="0">
        <references count="5">
          <reference field="4" count="1" selected="0">
            <x v="7"/>
          </reference>
          <reference field="6" count="1" selected="0">
            <x v="2"/>
          </reference>
          <reference field="7" count="1" selected="0">
            <x v="30"/>
          </reference>
          <reference field="8" count="1" selected="0">
            <x v="154"/>
          </reference>
          <reference field="15" count="1">
            <x v="275"/>
          </reference>
        </references>
      </pivotArea>
    </format>
    <format dxfId="2041">
      <pivotArea dataOnly="0" labelOnly="1" fieldPosition="0">
        <references count="5">
          <reference field="4" count="1" selected="0">
            <x v="7"/>
          </reference>
          <reference field="6" count="1" selected="0">
            <x v="3"/>
          </reference>
          <reference field="7" count="1" selected="0">
            <x v="6"/>
          </reference>
          <reference field="8" count="1" selected="0">
            <x v="28"/>
          </reference>
          <reference field="15" count="3">
            <x v="318"/>
            <x v="319"/>
            <x v="320"/>
          </reference>
        </references>
      </pivotArea>
    </format>
    <format dxfId="2040">
      <pivotArea dataOnly="0" labelOnly="1" fieldPosition="0">
        <references count="5">
          <reference field="4" count="1" selected="0">
            <x v="7"/>
          </reference>
          <reference field="6" count="1" selected="0">
            <x v="4"/>
          </reference>
          <reference field="7" count="1" selected="0">
            <x v="8"/>
          </reference>
          <reference field="8" count="1" selected="0">
            <x v="35"/>
          </reference>
          <reference field="15" count="1">
            <x v="337"/>
          </reference>
        </references>
      </pivotArea>
    </format>
    <format dxfId="2039">
      <pivotArea dataOnly="0" labelOnly="1" fieldPosition="0">
        <references count="5">
          <reference field="4" count="1" selected="0">
            <x v="7"/>
          </reference>
          <reference field="6" count="1" selected="0">
            <x v="4"/>
          </reference>
          <reference field="7" count="1" selected="0">
            <x v="8"/>
          </reference>
          <reference field="8" count="1" selected="0">
            <x v="36"/>
          </reference>
          <reference field="15" count="1">
            <x v="280"/>
          </reference>
        </references>
      </pivotArea>
    </format>
    <format dxfId="2038">
      <pivotArea dataOnly="0" labelOnly="1" fieldPosition="0">
        <references count="5">
          <reference field="4" count="1" selected="0">
            <x v="7"/>
          </reference>
          <reference field="6" count="1" selected="0">
            <x v="4"/>
          </reference>
          <reference field="7" count="1" selected="0">
            <x v="9"/>
          </reference>
          <reference field="8" count="1" selected="0">
            <x v="40"/>
          </reference>
          <reference field="15" count="3">
            <x v="311"/>
            <x v="312"/>
            <x v="334"/>
          </reference>
        </references>
      </pivotArea>
    </format>
    <format dxfId="2037">
      <pivotArea dataOnly="0" labelOnly="1" fieldPosition="0">
        <references count="5">
          <reference field="4" count="1" selected="0">
            <x v="7"/>
          </reference>
          <reference field="6" count="1" selected="0">
            <x v="4"/>
          </reference>
          <reference field="7" count="1" selected="0">
            <x v="9"/>
          </reference>
          <reference field="8" count="1" selected="0">
            <x v="41"/>
          </reference>
          <reference field="15" count="1">
            <x v="328"/>
          </reference>
        </references>
      </pivotArea>
    </format>
    <format dxfId="2036">
      <pivotArea dataOnly="0" labelOnly="1" fieldPosition="0">
        <references count="5">
          <reference field="4" count="1" selected="0">
            <x v="7"/>
          </reference>
          <reference field="6" count="1" selected="0">
            <x v="4"/>
          </reference>
          <reference field="7" count="1" selected="0">
            <x v="9"/>
          </reference>
          <reference field="8" count="1" selected="0">
            <x v="42"/>
          </reference>
          <reference field="15" count="1">
            <x v="329"/>
          </reference>
        </references>
      </pivotArea>
    </format>
    <format dxfId="2035">
      <pivotArea dataOnly="0" labelOnly="1" fieldPosition="0">
        <references count="5">
          <reference field="4" count="1" selected="0">
            <x v="7"/>
          </reference>
          <reference field="6" count="1" selected="0">
            <x v="4"/>
          </reference>
          <reference field="7" count="1" selected="0">
            <x v="9"/>
          </reference>
          <reference field="8" count="1" selected="0">
            <x v="43"/>
          </reference>
          <reference field="15" count="1">
            <x v="321"/>
          </reference>
        </references>
      </pivotArea>
    </format>
    <format dxfId="2034">
      <pivotArea dataOnly="0" labelOnly="1" fieldPosition="0">
        <references count="5">
          <reference field="4" count="1" selected="0">
            <x v="7"/>
          </reference>
          <reference field="6" count="1" selected="0">
            <x v="4"/>
          </reference>
          <reference field="7" count="1" selected="0">
            <x v="10"/>
          </reference>
          <reference field="8" count="1" selected="0">
            <x v="44"/>
          </reference>
          <reference field="15" count="2">
            <x v="57"/>
            <x v="58"/>
          </reference>
        </references>
      </pivotArea>
    </format>
    <format dxfId="2033">
      <pivotArea dataOnly="0" labelOnly="1" fieldPosition="0">
        <references count="5">
          <reference field="4" count="1" selected="0">
            <x v="7"/>
          </reference>
          <reference field="6" count="1" selected="0">
            <x v="4"/>
          </reference>
          <reference field="7" count="1" selected="0">
            <x v="10"/>
          </reference>
          <reference field="8" count="1" selected="0">
            <x v="45"/>
          </reference>
          <reference field="15" count="1">
            <x v="55"/>
          </reference>
        </references>
      </pivotArea>
    </format>
    <format dxfId="2032">
      <pivotArea dataOnly="0" labelOnly="1" fieldPosition="0">
        <references count="5">
          <reference field="4" count="1" selected="0">
            <x v="7"/>
          </reference>
          <reference field="6" count="1" selected="0">
            <x v="4"/>
          </reference>
          <reference field="7" count="1" selected="0">
            <x v="10"/>
          </reference>
          <reference field="8" count="1" selected="0">
            <x v="46"/>
          </reference>
          <reference field="15" count="1">
            <x v="59"/>
          </reference>
        </references>
      </pivotArea>
    </format>
    <format dxfId="2031">
      <pivotArea dataOnly="0" labelOnly="1" fieldPosition="0">
        <references count="5">
          <reference field="4" count="1" selected="0">
            <x v="7"/>
          </reference>
          <reference field="6" count="1" selected="0">
            <x v="4"/>
          </reference>
          <reference field="7" count="1" selected="0">
            <x v="10"/>
          </reference>
          <reference field="8" count="1" selected="0">
            <x v="47"/>
          </reference>
          <reference field="15" count="1">
            <x v="54"/>
          </reference>
        </references>
      </pivotArea>
    </format>
    <format dxfId="2030">
      <pivotArea dataOnly="0" labelOnly="1" fieldPosition="0">
        <references count="5">
          <reference field="4" count="1" selected="0">
            <x v="7"/>
          </reference>
          <reference field="6" count="1" selected="0">
            <x v="4"/>
          </reference>
          <reference field="7" count="1" selected="0">
            <x v="11"/>
          </reference>
          <reference field="8" count="1" selected="0">
            <x v="48"/>
          </reference>
          <reference field="15" count="1">
            <x v="88"/>
          </reference>
        </references>
      </pivotArea>
    </format>
    <format dxfId="2029">
      <pivotArea dataOnly="0" labelOnly="1" fieldPosition="0">
        <references count="5">
          <reference field="4" count="1" selected="0">
            <x v="7"/>
          </reference>
          <reference field="6" count="1" selected="0">
            <x v="4"/>
          </reference>
          <reference field="7" count="1" selected="0">
            <x v="11"/>
          </reference>
          <reference field="8" count="1" selected="0">
            <x v="49"/>
          </reference>
          <reference field="15" count="1">
            <x v="86"/>
          </reference>
        </references>
      </pivotArea>
    </format>
    <format dxfId="2028">
      <pivotArea dataOnly="0" labelOnly="1" fieldPosition="0">
        <references count="5">
          <reference field="4" count="1" selected="0">
            <x v="7"/>
          </reference>
          <reference field="6" count="1" selected="0">
            <x v="4"/>
          </reference>
          <reference field="7" count="1" selected="0">
            <x v="12"/>
          </reference>
          <reference field="8" count="1" selected="0">
            <x v="50"/>
          </reference>
          <reference field="15" count="3">
            <x v="64"/>
            <x v="65"/>
            <x v="136"/>
          </reference>
        </references>
      </pivotArea>
    </format>
    <format dxfId="2027">
      <pivotArea dataOnly="0" labelOnly="1" fieldPosition="0">
        <references count="5">
          <reference field="4" count="1" selected="0">
            <x v="7"/>
          </reference>
          <reference field="6" count="1" selected="0">
            <x v="4"/>
          </reference>
          <reference field="7" count="1" selected="0">
            <x v="13"/>
          </reference>
          <reference field="8" count="1" selected="0">
            <x v="51"/>
          </reference>
          <reference field="15" count="1">
            <x v="307"/>
          </reference>
        </references>
      </pivotArea>
    </format>
    <format dxfId="2026">
      <pivotArea dataOnly="0" labelOnly="1" fieldPosition="0">
        <references count="5">
          <reference field="4" count="1" selected="0">
            <x v="7"/>
          </reference>
          <reference field="6" count="1" selected="0">
            <x v="4"/>
          </reference>
          <reference field="7" count="1" selected="0">
            <x v="13"/>
          </reference>
          <reference field="8" count="1" selected="0">
            <x v="52"/>
          </reference>
          <reference field="15" count="1">
            <x v="309"/>
          </reference>
        </references>
      </pivotArea>
    </format>
    <format dxfId="2025">
      <pivotArea dataOnly="0" labelOnly="1" fieldPosition="0">
        <references count="5">
          <reference field="4" count="1" selected="0">
            <x v="7"/>
          </reference>
          <reference field="6" count="1" selected="0">
            <x v="4"/>
          </reference>
          <reference field="7" count="1" selected="0">
            <x v="13"/>
          </reference>
          <reference field="8" count="1" selected="0">
            <x v="53"/>
          </reference>
          <reference field="15" count="1">
            <x v="308"/>
          </reference>
        </references>
      </pivotArea>
    </format>
    <format dxfId="2024">
      <pivotArea dataOnly="0" labelOnly="1" fieldPosition="0">
        <references count="5">
          <reference field="4" count="1" selected="0">
            <x v="7"/>
          </reference>
          <reference field="6" count="1" selected="0">
            <x v="4"/>
          </reference>
          <reference field="7" count="1" selected="0">
            <x v="14"/>
          </reference>
          <reference field="8" count="1" selected="0">
            <x v="54"/>
          </reference>
          <reference field="15" count="1">
            <x v="281"/>
          </reference>
        </references>
      </pivotArea>
    </format>
    <format dxfId="2023">
      <pivotArea dataOnly="0" labelOnly="1" fieldPosition="0">
        <references count="5">
          <reference field="4" count="1" selected="0">
            <x v="7"/>
          </reference>
          <reference field="6" count="1" selected="0">
            <x v="4"/>
          </reference>
          <reference field="7" count="1" selected="0">
            <x v="14"/>
          </reference>
          <reference field="8" count="1" selected="0">
            <x v="55"/>
          </reference>
          <reference field="15" count="1">
            <x v="138"/>
          </reference>
        </references>
      </pivotArea>
    </format>
    <format dxfId="2022">
      <pivotArea dataOnly="0" labelOnly="1" fieldPosition="0">
        <references count="5">
          <reference field="4" count="1" selected="0">
            <x v="7"/>
          </reference>
          <reference field="6" count="1" selected="0">
            <x v="4"/>
          </reference>
          <reference field="7" count="1" selected="0">
            <x v="15"/>
          </reference>
          <reference field="8" count="1" selected="0">
            <x v="56"/>
          </reference>
          <reference field="15" count="2">
            <x v="335"/>
            <x v="336"/>
          </reference>
        </references>
      </pivotArea>
    </format>
    <format dxfId="2021">
      <pivotArea dataOnly="0" labelOnly="1" fieldPosition="0">
        <references count="5">
          <reference field="4" count="1" selected="0">
            <x v="8"/>
          </reference>
          <reference field="6" count="1" selected="0">
            <x v="0"/>
          </reference>
          <reference field="7" count="1" selected="0">
            <x v="18"/>
          </reference>
          <reference field="8" count="1" selected="0">
            <x v="77"/>
          </reference>
          <reference field="15" count="1">
            <x v="290"/>
          </reference>
        </references>
      </pivotArea>
    </format>
    <format dxfId="2020">
      <pivotArea dataOnly="0" labelOnly="1" fieldPosition="0">
        <references count="5">
          <reference field="4" count="1" selected="0">
            <x v="8"/>
          </reference>
          <reference field="6" count="1" selected="0">
            <x v="0"/>
          </reference>
          <reference field="7" count="1" selected="0">
            <x v="22"/>
          </reference>
          <reference field="8" count="1" selected="0">
            <x v="92"/>
          </reference>
          <reference field="15" count="4">
            <x v="130"/>
            <x v="359"/>
            <x v="360"/>
            <x v="361"/>
          </reference>
        </references>
      </pivotArea>
    </format>
    <format dxfId="2019">
      <pivotArea dataOnly="0" labelOnly="1" fieldPosition="0">
        <references count="5">
          <reference field="4" count="1" selected="0">
            <x v="8"/>
          </reference>
          <reference field="6" count="1" selected="0">
            <x v="0"/>
          </reference>
          <reference field="7" count="1" selected="0">
            <x v="22"/>
          </reference>
          <reference field="8" count="1" selected="0">
            <x v="93"/>
          </reference>
          <reference field="15" count="1">
            <x v="369"/>
          </reference>
        </references>
      </pivotArea>
    </format>
    <format dxfId="2018">
      <pivotArea dataOnly="0" labelOnly="1" fieldPosition="0">
        <references count="5">
          <reference field="4" count="1" selected="0">
            <x v="8"/>
          </reference>
          <reference field="6" count="1" selected="0">
            <x v="0"/>
          </reference>
          <reference field="7" count="1" selected="0">
            <x v="22"/>
          </reference>
          <reference field="8" count="1" selected="0">
            <x v="94"/>
          </reference>
          <reference field="15" count="1">
            <x v="273"/>
          </reference>
        </references>
      </pivotArea>
    </format>
    <format dxfId="2017">
      <pivotArea dataOnly="0" labelOnly="1" fieldPosition="0">
        <references count="5">
          <reference field="4" count="1" selected="0">
            <x v="8"/>
          </reference>
          <reference field="6" count="1" selected="0">
            <x v="1"/>
          </reference>
          <reference field="7" count="1" selected="0">
            <x v="28"/>
          </reference>
          <reference field="8" count="1" selected="0">
            <x v="138"/>
          </reference>
          <reference field="15" count="3">
            <x v="270"/>
            <x v="343"/>
            <x v="355"/>
          </reference>
        </references>
      </pivotArea>
    </format>
    <format dxfId="2016">
      <pivotArea dataOnly="0" labelOnly="1" fieldPosition="0">
        <references count="5">
          <reference field="4" count="1" selected="0">
            <x v="8"/>
          </reference>
          <reference field="6" count="1" selected="0">
            <x v="1"/>
          </reference>
          <reference field="7" count="1" selected="0">
            <x v="28"/>
          </reference>
          <reference field="8" count="1" selected="0">
            <x v="139"/>
          </reference>
          <reference field="15" count="1">
            <x v="147"/>
          </reference>
        </references>
      </pivotArea>
    </format>
    <format dxfId="2015">
      <pivotArea dataOnly="0" labelOnly="1" fieldPosition="0">
        <references count="5">
          <reference field="4" count="1" selected="0">
            <x v="8"/>
          </reference>
          <reference field="6" count="1" selected="0">
            <x v="2"/>
          </reference>
          <reference field="7" count="1" selected="0">
            <x v="32"/>
          </reference>
          <reference field="8" count="1" selected="0">
            <x v="158"/>
          </reference>
          <reference field="15" count="1">
            <x v="344"/>
          </reference>
        </references>
      </pivotArea>
    </format>
    <format dxfId="2014">
      <pivotArea dataOnly="0" labelOnly="1" fieldPosition="0">
        <references count="5">
          <reference field="4" count="1" selected="0">
            <x v="8"/>
          </reference>
          <reference field="6" count="1" selected="0">
            <x v="2"/>
          </reference>
          <reference field="7" count="1" selected="0">
            <x v="32"/>
          </reference>
          <reference field="8" count="1" selected="0">
            <x v="159"/>
          </reference>
          <reference field="15" count="1">
            <x v="137"/>
          </reference>
        </references>
      </pivotArea>
    </format>
    <format dxfId="2013">
      <pivotArea dataOnly="0" labelOnly="1" fieldPosition="0">
        <references count="5">
          <reference field="4" count="1" selected="0">
            <x v="8"/>
          </reference>
          <reference field="6" count="1" selected="0">
            <x v="3"/>
          </reference>
          <reference field="7" count="1" selected="0">
            <x v="6"/>
          </reference>
          <reference field="8" count="1" selected="0">
            <x v="29"/>
          </reference>
          <reference field="15" count="4">
            <x v="145"/>
            <x v="146"/>
            <x v="356"/>
            <x v="357"/>
          </reference>
        </references>
      </pivotArea>
    </format>
    <format dxfId="2012">
      <pivotArea dataOnly="0" labelOnly="1" fieldPosition="0">
        <references count="5">
          <reference field="4" count="1" selected="0">
            <x v="8"/>
          </reference>
          <reference field="6" count="1" selected="0">
            <x v="3"/>
          </reference>
          <reference field="7" count="1" selected="0">
            <x v="6"/>
          </reference>
          <reference field="8" count="1" selected="0">
            <x v="30"/>
          </reference>
          <reference field="15" count="2">
            <x v="267"/>
            <x v="268"/>
          </reference>
        </references>
      </pivotArea>
    </format>
    <format dxfId="2011">
      <pivotArea dataOnly="0" labelOnly="1" fieldPosition="0">
        <references count="5">
          <reference field="4" count="1" selected="0">
            <x v="9"/>
          </reference>
          <reference field="6" count="1" selected="0">
            <x v="1"/>
          </reference>
          <reference field="7" count="1" selected="0">
            <x v="25"/>
          </reference>
          <reference field="8" count="1" selected="0">
            <x v="115"/>
          </reference>
          <reference field="15" count="13">
            <x v="35"/>
            <x v="36"/>
            <x v="63"/>
            <x v="72"/>
            <x v="77"/>
            <x v="238"/>
            <x v="241"/>
            <x v="242"/>
            <x v="243"/>
            <x v="247"/>
            <x v="248"/>
            <x v="260"/>
            <x v="262"/>
          </reference>
        </references>
      </pivotArea>
    </format>
    <format dxfId="2010">
      <pivotArea dataOnly="0" labelOnly="1" fieldPosition="0">
        <references count="5">
          <reference field="4" count="1" selected="0">
            <x v="9"/>
          </reference>
          <reference field="6" count="1" selected="0">
            <x v="1"/>
          </reference>
          <reference field="7" count="1" selected="0">
            <x v="25"/>
          </reference>
          <reference field="8" count="1" selected="0">
            <x v="116"/>
          </reference>
          <reference field="15" count="1">
            <x v="61"/>
          </reference>
        </references>
      </pivotArea>
    </format>
    <format dxfId="2009">
      <pivotArea dataOnly="0" labelOnly="1" fieldPosition="0">
        <references count="5">
          <reference field="4" count="1" selected="0">
            <x v="9"/>
          </reference>
          <reference field="6" count="1" selected="0">
            <x v="1"/>
          </reference>
          <reference field="7" count="1" selected="0">
            <x v="25"/>
          </reference>
          <reference field="8" count="1" selected="0">
            <x v="117"/>
          </reference>
          <reference field="15" count="2">
            <x v="92"/>
            <x v="249"/>
          </reference>
        </references>
      </pivotArea>
    </format>
    <format dxfId="2008">
      <pivotArea dataOnly="0" labelOnly="1" fieldPosition="0">
        <references count="5">
          <reference field="4" count="1" selected="0">
            <x v="9"/>
          </reference>
          <reference field="6" count="1" selected="0">
            <x v="1"/>
          </reference>
          <reference field="7" count="1" selected="0">
            <x v="25"/>
          </reference>
          <reference field="8" count="1" selected="0">
            <x v="118"/>
          </reference>
          <reference field="15" count="3">
            <x v="71"/>
            <x v="87"/>
            <x v="91"/>
          </reference>
        </references>
      </pivotArea>
    </format>
    <format dxfId="2007">
      <pivotArea dataOnly="0" labelOnly="1" fieldPosition="0">
        <references count="5">
          <reference field="4" count="1" selected="0">
            <x v="9"/>
          </reference>
          <reference field="6" count="1" selected="0">
            <x v="1"/>
          </reference>
          <reference field="7" count="1" selected="0">
            <x v="25"/>
          </reference>
          <reference field="8" count="1" selected="0">
            <x v="119"/>
          </reference>
          <reference field="15" count="4">
            <x v="62"/>
            <x v="68"/>
            <x v="69"/>
            <x v="70"/>
          </reference>
        </references>
      </pivotArea>
    </format>
    <format dxfId="2006">
      <pivotArea dataOnly="0" labelOnly="1" fieldPosition="0">
        <references count="5">
          <reference field="4" count="1" selected="0">
            <x v="9"/>
          </reference>
          <reference field="6" count="1" selected="0">
            <x v="1"/>
          </reference>
          <reference field="7" count="1" selected="0">
            <x v="25"/>
          </reference>
          <reference field="8" count="1" selected="0">
            <x v="120"/>
          </reference>
          <reference field="15" count="1">
            <x v="85"/>
          </reference>
        </references>
      </pivotArea>
    </format>
    <format dxfId="2005">
      <pivotArea dataOnly="0" labelOnly="1" fieldPosition="0">
        <references count="5">
          <reference field="4" count="1" selected="0">
            <x v="9"/>
          </reference>
          <reference field="6" count="1" selected="0">
            <x v="1"/>
          </reference>
          <reference field="7" count="1" selected="0">
            <x v="25"/>
          </reference>
          <reference field="8" count="1" selected="0">
            <x v="121"/>
          </reference>
          <reference field="15" count="2">
            <x v="41"/>
            <x v="78"/>
          </reference>
        </references>
      </pivotArea>
    </format>
    <format dxfId="2004">
      <pivotArea dataOnly="0" labelOnly="1" fieldPosition="0">
        <references count="5">
          <reference field="4" count="1" selected="0">
            <x v="9"/>
          </reference>
          <reference field="6" count="1" selected="0">
            <x v="1"/>
          </reference>
          <reference field="7" count="1" selected="0">
            <x v="25"/>
          </reference>
          <reference field="8" count="1" selected="0">
            <x v="122"/>
          </reference>
          <reference field="15" count="2">
            <x v="38"/>
            <x v="39"/>
          </reference>
        </references>
      </pivotArea>
    </format>
    <format dxfId="2003">
      <pivotArea dataOnly="0" labelOnly="1" fieldPosition="0">
        <references count="5">
          <reference field="4" count="1" selected="0">
            <x v="9"/>
          </reference>
          <reference field="6" count="1" selected="0">
            <x v="1"/>
          </reference>
          <reference field="7" count="1" selected="0">
            <x v="25"/>
          </reference>
          <reference field="8" count="1" selected="0">
            <x v="123"/>
          </reference>
          <reference field="15" count="7">
            <x v="32"/>
            <x v="33"/>
            <x v="60"/>
            <x v="82"/>
            <x v="83"/>
            <x v="89"/>
            <x v="90"/>
          </reference>
        </references>
      </pivotArea>
    </format>
    <format dxfId="2002">
      <pivotArea dataOnly="0" labelOnly="1" fieldPosition="0">
        <references count="5">
          <reference field="4" count="1" selected="0">
            <x v="9"/>
          </reference>
          <reference field="6" count="1" selected="0">
            <x v="1"/>
          </reference>
          <reference field="7" count="1" selected="0">
            <x v="25"/>
          </reference>
          <reference field="8" count="1" selected="0">
            <x v="124"/>
          </reference>
          <reference field="15" count="1">
            <x v="261"/>
          </reference>
        </references>
      </pivotArea>
    </format>
    <format dxfId="2001">
      <pivotArea dataOnly="0" labelOnly="1" fieldPosition="0">
        <references count="5">
          <reference field="4" count="1" selected="0">
            <x v="10"/>
          </reference>
          <reference field="6" count="1" selected="0">
            <x v="3"/>
          </reference>
          <reference field="7" count="1" selected="0">
            <x v="6"/>
          </reference>
          <reference field="8" count="1" selected="0">
            <x v="29"/>
          </reference>
          <reference field="15" count="21">
            <x v="2"/>
            <x v="3"/>
            <x v="5"/>
            <x v="152"/>
            <x v="153"/>
            <x v="154"/>
            <x v="155"/>
            <x v="156"/>
            <x v="157"/>
            <x v="158"/>
            <x v="159"/>
            <x v="160"/>
            <x v="161"/>
            <x v="162"/>
            <x v="163"/>
            <x v="189"/>
            <x v="190"/>
            <x v="191"/>
            <x v="192"/>
            <x v="193"/>
            <x v="395"/>
          </reference>
        </references>
      </pivotArea>
    </format>
    <format dxfId="2000">
      <pivotArea dataOnly="0" labelOnly="1" fieldPosition="0">
        <references count="5">
          <reference field="4" count="1" selected="0">
            <x v="11"/>
          </reference>
          <reference field="6" count="1" selected="0">
            <x v="0"/>
          </reference>
          <reference field="7" count="1" selected="0">
            <x v="17"/>
          </reference>
          <reference field="8" count="1" selected="0">
            <x v="70"/>
          </reference>
          <reference field="15" count="4">
            <x v="345"/>
            <x v="346"/>
            <x v="347"/>
            <x v="351"/>
          </reference>
        </references>
      </pivotArea>
    </format>
    <format dxfId="1999">
      <pivotArea dataOnly="0" labelOnly="1" fieldPosition="0">
        <references count="5">
          <reference field="4" count="1" selected="0">
            <x v="11"/>
          </reference>
          <reference field="6" count="1" selected="0">
            <x v="0"/>
          </reference>
          <reference field="7" count="1" selected="0">
            <x v="17"/>
          </reference>
          <reference field="8" count="1" selected="0">
            <x v="71"/>
          </reference>
          <reference field="15" count="3">
            <x v="348"/>
            <x v="352"/>
            <x v="353"/>
          </reference>
        </references>
      </pivotArea>
    </format>
    <format dxfId="1998">
      <pivotArea dataOnly="0" labelOnly="1" fieldPosition="0">
        <references count="5">
          <reference field="4" count="1" selected="0">
            <x v="11"/>
          </reference>
          <reference field="6" count="1" selected="0">
            <x v="0"/>
          </reference>
          <reference field="7" count="1" selected="0">
            <x v="17"/>
          </reference>
          <reference field="8" count="1" selected="0">
            <x v="72"/>
          </reference>
          <reference field="15" count="3">
            <x v="143"/>
            <x v="349"/>
            <x v="350"/>
          </reference>
        </references>
      </pivotArea>
    </format>
    <format dxfId="1997">
      <pivotArea dataOnly="0" labelOnly="1" fieldPosition="0">
        <references count="5">
          <reference field="4" count="1" selected="0">
            <x v="12"/>
          </reference>
          <reference field="6" count="1" selected="0">
            <x v="0"/>
          </reference>
          <reference field="7" count="1" selected="0">
            <x v="18"/>
          </reference>
          <reference field="8" count="1" selected="0">
            <x v="74"/>
          </reference>
          <reference field="15" count="2">
            <x v="113"/>
            <x v="114"/>
          </reference>
        </references>
      </pivotArea>
    </format>
    <format dxfId="1996">
      <pivotArea dataOnly="0" labelOnly="1" fieldPosition="0">
        <references count="5">
          <reference field="4" count="1" selected="0">
            <x v="12"/>
          </reference>
          <reference field="6" count="1" selected="0">
            <x v="0"/>
          </reference>
          <reference field="7" count="1" selected="0">
            <x v="18"/>
          </reference>
          <reference field="8" count="1" selected="0">
            <x v="75"/>
          </reference>
          <reference field="15" count="1">
            <x v="116"/>
          </reference>
        </references>
      </pivotArea>
    </format>
    <format dxfId="1995">
      <pivotArea dataOnly="0" labelOnly="1" fieldPosition="0">
        <references count="5">
          <reference field="4" count="1" selected="0">
            <x v="12"/>
          </reference>
          <reference field="6" count="1" selected="0">
            <x v="0"/>
          </reference>
          <reference field="7" count="1" selected="0">
            <x v="18"/>
          </reference>
          <reference field="8" count="1" selected="0">
            <x v="76"/>
          </reference>
          <reference field="15" count="1">
            <x v="244"/>
          </reference>
        </references>
      </pivotArea>
    </format>
    <format dxfId="1994">
      <pivotArea dataOnly="0" labelOnly="1" fieldPosition="0">
        <references count="5">
          <reference field="4" count="1" selected="0">
            <x v="13"/>
          </reference>
          <reference field="6" count="1" selected="0">
            <x v="3"/>
          </reference>
          <reference field="7" count="1" selected="0">
            <x v="1"/>
          </reference>
          <reference field="8" count="1" selected="0">
            <x v="6"/>
          </reference>
          <reference field="15" count="1">
            <x v="340"/>
          </reference>
        </references>
      </pivotArea>
    </format>
    <format dxfId="1993">
      <pivotArea dataOnly="0" labelOnly="1" fieldPosition="0">
        <references count="5">
          <reference field="4" count="1" selected="0">
            <x v="13"/>
          </reference>
          <reference field="6" count="1" selected="0">
            <x v="3"/>
          </reference>
          <reference field="7" count="1" selected="0">
            <x v="5"/>
          </reference>
          <reference field="8" count="1" selected="0">
            <x v="22"/>
          </reference>
          <reference field="15" count="1">
            <x v="333"/>
          </reference>
        </references>
      </pivotArea>
    </format>
    <format dxfId="1992">
      <pivotArea dataOnly="0" labelOnly="1" fieldPosition="0">
        <references count="5">
          <reference field="4" count="1" selected="0">
            <x v="13"/>
          </reference>
          <reference field="6" count="1" selected="0">
            <x v="3"/>
          </reference>
          <reference field="7" count="1" selected="0">
            <x v="5"/>
          </reference>
          <reference field="8" count="1" selected="0">
            <x v="23"/>
          </reference>
          <reference field="15" count="1">
            <x v="332"/>
          </reference>
        </references>
      </pivotArea>
    </format>
    <format dxfId="1991">
      <pivotArea dataOnly="0" labelOnly="1" fieldPosition="0">
        <references count="5">
          <reference field="4" count="1" selected="0">
            <x v="13"/>
          </reference>
          <reference field="6" count="1" selected="0">
            <x v="3"/>
          </reference>
          <reference field="7" count="1" selected="0">
            <x v="5"/>
          </reference>
          <reference field="8" count="1" selected="0">
            <x v="24"/>
          </reference>
          <reference field="15" count="1">
            <x v="339"/>
          </reference>
        </references>
      </pivotArea>
    </format>
    <format dxfId="1990">
      <pivotArea dataOnly="0" labelOnly="1" fieldPosition="0">
        <references count="5">
          <reference field="4" count="1" selected="0">
            <x v="13"/>
          </reference>
          <reference field="6" count="1" selected="0">
            <x v="3"/>
          </reference>
          <reference field="7" count="1" selected="0">
            <x v="5"/>
          </reference>
          <reference field="8" count="1" selected="0">
            <x v="25"/>
          </reference>
          <reference field="15" count="1">
            <x v="342"/>
          </reference>
        </references>
      </pivotArea>
    </format>
    <format dxfId="1989">
      <pivotArea dataOnly="0" labelOnly="1" fieldPosition="0">
        <references count="5">
          <reference field="4" count="1" selected="0">
            <x v="13"/>
          </reference>
          <reference field="6" count="1" selected="0">
            <x v="3"/>
          </reference>
          <reference field="7" count="1" selected="0">
            <x v="5"/>
          </reference>
          <reference field="8" count="1" selected="0">
            <x v="26"/>
          </reference>
          <reference field="15" count="1">
            <x v="338"/>
          </reference>
        </references>
      </pivotArea>
    </format>
    <format dxfId="1988">
      <pivotArea dataOnly="0" labelOnly="1" fieldPosition="0">
        <references count="5">
          <reference field="4" count="1" selected="0">
            <x v="13"/>
          </reference>
          <reference field="6" count="1" selected="0">
            <x v="3"/>
          </reference>
          <reference field="7" count="1" selected="0">
            <x v="5"/>
          </reference>
          <reference field="8" count="1" selected="0">
            <x v="27"/>
          </reference>
          <reference field="15" count="1">
            <x v="341"/>
          </reference>
        </references>
      </pivotArea>
    </format>
    <format dxfId="1987">
      <pivotArea dataOnly="0" labelOnly="1" fieldPosition="0">
        <references count="5">
          <reference field="4" count="1" selected="0">
            <x v="14"/>
          </reference>
          <reference field="6" count="1" selected="0">
            <x v="1"/>
          </reference>
          <reference field="7" count="1" selected="0">
            <x v="26"/>
          </reference>
          <reference field="8" count="1" selected="0">
            <x v="125"/>
          </reference>
          <reference field="15" count="4">
            <x v="26"/>
            <x v="27"/>
            <x v="28"/>
            <x v="99"/>
          </reference>
        </references>
      </pivotArea>
    </format>
    <format dxfId="1986">
      <pivotArea dataOnly="0" labelOnly="1" fieldPosition="0">
        <references count="5">
          <reference field="4" count="1" selected="0">
            <x v="14"/>
          </reference>
          <reference field="6" count="1" selected="0">
            <x v="1"/>
          </reference>
          <reference field="7" count="1" selected="0">
            <x v="26"/>
          </reference>
          <reference field="8" count="1" selected="0">
            <x v="126"/>
          </reference>
          <reference field="15" count="1">
            <x v="19"/>
          </reference>
        </references>
      </pivotArea>
    </format>
    <format dxfId="1985">
      <pivotArea dataOnly="0" labelOnly="1" fieldPosition="0">
        <references count="5">
          <reference field="4" count="1" selected="0">
            <x v="14"/>
          </reference>
          <reference field="6" count="1" selected="0">
            <x v="1"/>
          </reference>
          <reference field="7" count="1" selected="0">
            <x v="26"/>
          </reference>
          <reference field="8" count="1" selected="0">
            <x v="127"/>
          </reference>
          <reference field="15" count="2">
            <x v="150"/>
            <x v="151"/>
          </reference>
        </references>
      </pivotArea>
    </format>
    <format dxfId="1984">
      <pivotArea dataOnly="0" labelOnly="1" fieldPosition="0">
        <references count="5">
          <reference field="4" count="1" selected="0">
            <x v="14"/>
          </reference>
          <reference field="6" count="1" selected="0">
            <x v="1"/>
          </reference>
          <reference field="7" count="1" selected="0">
            <x v="26"/>
          </reference>
          <reference field="8" count="1" selected="0">
            <x v="128"/>
          </reference>
          <reference field="15" count="2">
            <x v="29"/>
            <x v="30"/>
          </reference>
        </references>
      </pivotArea>
    </format>
    <format dxfId="1983">
      <pivotArea dataOnly="0" labelOnly="1" fieldPosition="0">
        <references count="5">
          <reference field="4" count="1" selected="0">
            <x v="14"/>
          </reference>
          <reference field="6" count="1" selected="0">
            <x v="1"/>
          </reference>
          <reference field="7" count="1" selected="0">
            <x v="26"/>
          </reference>
          <reference field="8" count="1" selected="0">
            <x v="129"/>
          </reference>
          <reference field="15" count="2">
            <x v="330"/>
            <x v="331"/>
          </reference>
        </references>
      </pivotArea>
    </format>
    <format dxfId="1982">
      <pivotArea dataOnly="0" labelOnly="1" fieldPosition="0">
        <references count="5">
          <reference field="4" count="1" selected="0">
            <x v="14"/>
          </reference>
          <reference field="6" count="1" selected="0">
            <x v="1"/>
          </reference>
          <reference field="7" count="1" selected="0">
            <x v="26"/>
          </reference>
          <reference field="8" count="1" selected="0">
            <x v="130"/>
          </reference>
          <reference field="15" count="2">
            <x v="367"/>
            <x v="368"/>
          </reference>
        </references>
      </pivotArea>
    </format>
    <format dxfId="1981">
      <pivotArea dataOnly="0" labelOnly="1" fieldPosition="0">
        <references count="5">
          <reference field="4" count="1" selected="0">
            <x v="14"/>
          </reference>
          <reference field="6" count="1" selected="0">
            <x v="1"/>
          </reference>
          <reference field="7" count="1" selected="0">
            <x v="26"/>
          </reference>
          <reference field="8" count="1" selected="0">
            <x v="131"/>
          </reference>
          <reference field="15" count="3">
            <x v="14"/>
            <x v="15"/>
            <x v="16"/>
          </reference>
        </references>
      </pivotArea>
    </format>
    <format dxfId="1980">
      <pivotArea dataOnly="0" labelOnly="1" fieldPosition="0">
        <references count="5">
          <reference field="4" count="1" selected="0">
            <x v="15"/>
          </reference>
          <reference field="6" count="1" selected="0">
            <x v="0"/>
          </reference>
          <reference field="7" count="1" selected="0">
            <x v="20"/>
          </reference>
          <reference field="8" count="1" selected="0">
            <x v="82"/>
          </reference>
          <reference field="15" count="2">
            <x v="73"/>
            <x v="74"/>
          </reference>
        </references>
      </pivotArea>
    </format>
    <format dxfId="1979">
      <pivotArea dataOnly="0" labelOnly="1" fieldPosition="0">
        <references count="5">
          <reference field="4" count="1" selected="0">
            <x v="15"/>
          </reference>
          <reference field="6" count="1" selected="0">
            <x v="0"/>
          </reference>
          <reference field="7" count="1" selected="0">
            <x v="20"/>
          </reference>
          <reference field="8" count="1" selected="0">
            <x v="83"/>
          </reference>
          <reference field="15" count="1">
            <x v="75"/>
          </reference>
        </references>
      </pivotArea>
    </format>
    <format dxfId="1978">
      <pivotArea dataOnly="0" labelOnly="1" fieldPosition="0">
        <references count="5">
          <reference field="4" count="1" selected="0">
            <x v="15"/>
          </reference>
          <reference field="6" count="1" selected="0">
            <x v="0"/>
          </reference>
          <reference field="7" count="1" selected="0">
            <x v="20"/>
          </reference>
          <reference field="8" count="1" selected="0">
            <x v="84"/>
          </reference>
          <reference field="15" count="1">
            <x v="76"/>
          </reference>
        </references>
      </pivotArea>
    </format>
    <format dxfId="1977">
      <pivotArea dataOnly="0" labelOnly="1" fieldPosition="0">
        <references count="5">
          <reference field="4" count="1" selected="0">
            <x v="15"/>
          </reference>
          <reference field="6" count="1" selected="0">
            <x v="0"/>
          </reference>
          <reference field="7" count="1" selected="0">
            <x v="20"/>
          </reference>
          <reference field="8" count="1" selected="0">
            <x v="85"/>
          </reference>
          <reference field="15" count="1">
            <x v="259"/>
          </reference>
        </references>
      </pivotArea>
    </format>
    <format dxfId="1976">
      <pivotArea dataOnly="0" labelOnly="1" fieldPosition="0">
        <references count="5">
          <reference field="4" count="1" selected="0">
            <x v="15"/>
          </reference>
          <reference field="6" count="1" selected="0">
            <x v="0"/>
          </reference>
          <reference field="7" count="1" selected="0">
            <x v="20"/>
          </reference>
          <reference field="8" count="1" selected="0">
            <x v="86"/>
          </reference>
          <reference field="15" count="3">
            <x v="132"/>
            <x v="133"/>
            <x v="134"/>
          </reference>
        </references>
      </pivotArea>
    </format>
    <format dxfId="1975">
      <pivotArea dataOnly="0" labelOnly="1" fieldPosition="0">
        <references count="5">
          <reference field="4" count="1" selected="0">
            <x v="16"/>
          </reference>
          <reference field="6" count="1" selected="0">
            <x v="1"/>
          </reference>
          <reference field="7" count="1" selected="0">
            <x v="27"/>
          </reference>
          <reference field="8" count="1" selected="0">
            <x v="132"/>
          </reference>
          <reference field="15" count="1">
            <x v="20"/>
          </reference>
        </references>
      </pivotArea>
    </format>
    <format dxfId="1974">
      <pivotArea dataOnly="0" labelOnly="1" fieldPosition="0">
        <references count="5">
          <reference field="4" count="1" selected="0">
            <x v="16"/>
          </reference>
          <reference field="6" count="1" selected="0">
            <x v="1"/>
          </reference>
          <reference field="7" count="1" selected="0">
            <x v="27"/>
          </reference>
          <reference field="8" count="1" selected="0">
            <x v="133"/>
          </reference>
          <reference field="15" count="3">
            <x v="21"/>
            <x v="22"/>
            <x v="23"/>
          </reference>
        </references>
      </pivotArea>
    </format>
    <format dxfId="1973">
      <pivotArea dataOnly="0" labelOnly="1" fieldPosition="0">
        <references count="5">
          <reference field="4" count="1" selected="0">
            <x v="16"/>
          </reference>
          <reference field="6" count="1" selected="0">
            <x v="1"/>
          </reference>
          <reference field="7" count="1" selected="0">
            <x v="27"/>
          </reference>
          <reference field="8" count="1" selected="0">
            <x v="134"/>
          </reference>
          <reference field="15" count="2">
            <x v="149"/>
            <x v="354"/>
          </reference>
        </references>
      </pivotArea>
    </format>
    <format dxfId="1972">
      <pivotArea dataOnly="0" labelOnly="1" fieldPosition="0">
        <references count="5">
          <reference field="4" count="1" selected="0">
            <x v="16"/>
          </reference>
          <reference field="6" count="1" selected="0">
            <x v="1"/>
          </reference>
          <reference field="7" count="1" selected="0">
            <x v="27"/>
          </reference>
          <reference field="8" count="1" selected="0">
            <x v="135"/>
          </reference>
          <reference field="15" count="2">
            <x v="109"/>
            <x v="363"/>
          </reference>
        </references>
      </pivotArea>
    </format>
    <format dxfId="1971">
      <pivotArea dataOnly="0" labelOnly="1" fieldPosition="0">
        <references count="5">
          <reference field="4" count="1" selected="0">
            <x v="16"/>
          </reference>
          <reference field="6" count="1" selected="0">
            <x v="1"/>
          </reference>
          <reference field="7" count="1" selected="0">
            <x v="27"/>
          </reference>
          <reference field="8" count="1" selected="0">
            <x v="136"/>
          </reference>
          <reference field="15" count="2">
            <x v="81"/>
            <x v="148"/>
          </reference>
        </references>
      </pivotArea>
    </format>
    <format dxfId="1970">
      <pivotArea dataOnly="0" labelOnly="1" fieldPosition="0">
        <references count="5">
          <reference field="4" count="1" selected="0">
            <x v="16"/>
          </reference>
          <reference field="6" count="1" selected="0">
            <x v="1"/>
          </reference>
          <reference field="7" count="1" selected="0">
            <x v="27"/>
          </reference>
          <reference field="8" count="1" selected="0">
            <x v="137"/>
          </reference>
          <reference field="15" count="2">
            <x v="111"/>
            <x v="112"/>
          </reference>
        </references>
      </pivotArea>
    </format>
    <format dxfId="1969">
      <pivotArea dataOnly="0" labelOnly="1" fieldPosition="0">
        <references count="5">
          <reference field="4" count="1" selected="0">
            <x v="16"/>
          </reference>
          <reference field="6" count="1" selected="0">
            <x v="3"/>
          </reference>
          <reference field="7" count="1" selected="0">
            <x v="1"/>
          </reference>
          <reference field="8" count="1" selected="0">
            <x v="6"/>
          </reference>
          <reference field="15" count="1">
            <x v="362"/>
          </reference>
        </references>
      </pivotArea>
    </format>
    <format dxfId="1968">
      <pivotArea dataOnly="0" labelOnly="1" fieldPosition="0">
        <references count="5">
          <reference field="4" count="1" selected="0">
            <x v="16"/>
          </reference>
          <reference field="6" count="1" selected="0">
            <x v="4"/>
          </reference>
          <reference field="7" count="1" selected="0">
            <x v="8"/>
          </reference>
          <reference field="8" count="1" selected="0">
            <x v="38"/>
          </reference>
          <reference field="15" count="1">
            <x v="229"/>
          </reference>
        </references>
      </pivotArea>
    </format>
    <format dxfId="1967">
      <pivotArea dataOnly="0" labelOnly="1" fieldPosition="0">
        <references count="5">
          <reference field="4" count="1" selected="0">
            <x v="16"/>
          </reference>
          <reference field="6" count="1" selected="0">
            <x v="4"/>
          </reference>
          <reference field="7" count="1" selected="0">
            <x v="11"/>
          </reference>
          <reference field="8" count="1" selected="0">
            <x v="48"/>
          </reference>
          <reference field="15" count="1">
            <x v="200"/>
          </reference>
        </references>
      </pivotArea>
    </format>
    <format dxfId="1966">
      <pivotArea dataOnly="0" labelOnly="1" fieldPosition="0">
        <references count="5">
          <reference field="4" count="1" selected="0">
            <x v="17"/>
          </reference>
          <reference field="6" count="1" selected="0">
            <x v="0"/>
          </reference>
          <reference field="7" count="1" selected="0">
            <x v="16"/>
          </reference>
          <reference field="8" count="1" selected="0">
            <x v="57"/>
          </reference>
          <reference field="15" count="5">
            <x v="110"/>
            <x v="284"/>
            <x v="285"/>
            <x v="294"/>
            <x v="295"/>
          </reference>
        </references>
      </pivotArea>
    </format>
    <format dxfId="1965">
      <pivotArea dataOnly="0" labelOnly="1" fieldPosition="0">
        <references count="5">
          <reference field="4" count="1" selected="0">
            <x v="17"/>
          </reference>
          <reference field="6" count="1" selected="0">
            <x v="0"/>
          </reference>
          <reference field="7" count="1" selected="0">
            <x v="16"/>
          </reference>
          <reference field="8" count="1" selected="0">
            <x v="58"/>
          </reference>
          <reference field="15" count="2">
            <x v="299"/>
            <x v="300"/>
          </reference>
        </references>
      </pivotArea>
    </format>
    <format dxfId="1964">
      <pivotArea dataOnly="0" labelOnly="1" fieldPosition="0">
        <references count="5">
          <reference field="4" count="1" selected="0">
            <x v="17"/>
          </reference>
          <reference field="6" count="1" selected="0">
            <x v="0"/>
          </reference>
          <reference field="7" count="1" selected="0">
            <x v="16"/>
          </reference>
          <reference field="8" count="1" selected="0">
            <x v="59"/>
          </reference>
          <reference field="15" count="2">
            <x v="94"/>
            <x v="95"/>
          </reference>
        </references>
      </pivotArea>
    </format>
    <format dxfId="1963">
      <pivotArea dataOnly="0" labelOnly="1" fieldPosition="0">
        <references count="5">
          <reference field="4" count="1" selected="0">
            <x v="17"/>
          </reference>
          <reference field="6" count="1" selected="0">
            <x v="0"/>
          </reference>
          <reference field="7" count="1" selected="0">
            <x v="16"/>
          </reference>
          <reference field="8" count="1" selected="0">
            <x v="60"/>
          </reference>
          <reference field="15" count="5">
            <x v="102"/>
            <x v="103"/>
            <x v="104"/>
            <x v="322"/>
            <x v="323"/>
          </reference>
        </references>
      </pivotArea>
    </format>
    <format dxfId="1962">
      <pivotArea dataOnly="0" labelOnly="1" fieldPosition="0">
        <references count="5">
          <reference field="4" count="1" selected="0">
            <x v="17"/>
          </reference>
          <reference field="6" count="1" selected="0">
            <x v="0"/>
          </reference>
          <reference field="7" count="1" selected="0">
            <x v="16"/>
          </reference>
          <reference field="8" count="1" selected="0">
            <x v="61"/>
          </reference>
          <reference field="15" count="2">
            <x v="296"/>
            <x v="297"/>
          </reference>
        </references>
      </pivotArea>
    </format>
    <format dxfId="1961">
      <pivotArea dataOnly="0" labelOnly="1" fieldPosition="0">
        <references count="5">
          <reference field="4" count="1" selected="0">
            <x v="17"/>
          </reference>
          <reference field="6" count="1" selected="0">
            <x v="0"/>
          </reference>
          <reference field="7" count="1" selected="0">
            <x v="16"/>
          </reference>
          <reference field="8" count="1" selected="0">
            <x v="62"/>
          </reference>
          <reference field="15" count="1">
            <x v="93"/>
          </reference>
        </references>
      </pivotArea>
    </format>
    <format dxfId="1960">
      <pivotArea dataOnly="0" labelOnly="1" fieldPosition="0">
        <references count="5">
          <reference field="4" count="1" selected="0">
            <x v="17"/>
          </reference>
          <reference field="6" count="1" selected="0">
            <x v="0"/>
          </reference>
          <reference field="7" count="1" selected="0">
            <x v="16"/>
          </reference>
          <reference field="8" count="1" selected="0">
            <x v="63"/>
          </reference>
          <reference field="15" count="2">
            <x v="315"/>
            <x v="316"/>
          </reference>
        </references>
      </pivotArea>
    </format>
    <format dxfId="1959">
      <pivotArea dataOnly="0" labelOnly="1" fieldPosition="0">
        <references count="5">
          <reference field="4" count="1" selected="0">
            <x v="17"/>
          </reference>
          <reference field="6" count="1" selected="0">
            <x v="0"/>
          </reference>
          <reference field="7" count="1" selected="0">
            <x v="22"/>
          </reference>
          <reference field="8" count="1" selected="0">
            <x v="94"/>
          </reference>
          <reference field="15" count="2">
            <x v="105"/>
            <x v="106"/>
          </reference>
        </references>
      </pivotArea>
    </format>
    <format dxfId="1958">
      <pivotArea dataOnly="0" labelOnly="1" fieldPosition="0">
        <references count="5">
          <reference field="4" count="1" selected="0">
            <x v="18"/>
          </reference>
          <reference field="6" count="1" selected="0">
            <x v="3"/>
          </reference>
          <reference field="7" count="1" selected="0">
            <x v="2"/>
          </reference>
          <reference field="8" count="1" selected="0">
            <x v="8"/>
          </reference>
          <reference field="15" count="2">
            <x v="375"/>
            <x v="376"/>
          </reference>
        </references>
      </pivotArea>
    </format>
    <format dxfId="1957">
      <pivotArea dataOnly="0" labelOnly="1" fieldPosition="0">
        <references count="5">
          <reference field="4" count="1" selected="0">
            <x v="18"/>
          </reference>
          <reference field="6" count="1" selected="0">
            <x v="3"/>
          </reference>
          <reference field="7" count="1" selected="0">
            <x v="2"/>
          </reference>
          <reference field="8" count="1" selected="0">
            <x v="9"/>
          </reference>
          <reference field="15" count="1">
            <x v="266"/>
          </reference>
        </references>
      </pivotArea>
    </format>
    <format dxfId="1956">
      <pivotArea dataOnly="0" labelOnly="1" fieldPosition="0">
        <references count="5">
          <reference field="4" count="1" selected="0">
            <x v="18"/>
          </reference>
          <reference field="6" count="1" selected="0">
            <x v="3"/>
          </reference>
          <reference field="7" count="1" selected="0">
            <x v="2"/>
          </reference>
          <reference field="8" count="1" selected="0">
            <x v="16"/>
          </reference>
          <reference field="15" count="2">
            <x v="271"/>
            <x v="272"/>
          </reference>
        </references>
      </pivotArea>
    </format>
    <format dxfId="1955">
      <pivotArea dataOnly="0" labelOnly="1" fieldPosition="0">
        <references count="5">
          <reference field="4" count="1" selected="0">
            <x v="18"/>
          </reference>
          <reference field="6" count="1" selected="0">
            <x v="3"/>
          </reference>
          <reference field="7" count="1" selected="0">
            <x v="2"/>
          </reference>
          <reference field="8" count="1" selected="0">
            <x v="17"/>
          </reference>
          <reference field="15" count="3">
            <x v="286"/>
            <x v="287"/>
            <x v="288"/>
          </reference>
        </references>
      </pivotArea>
    </format>
    <format dxfId="1954">
      <pivotArea dataOnly="0" labelOnly="1" fieldPosition="0">
        <references count="5">
          <reference field="4" count="1" selected="0">
            <x v="19"/>
          </reference>
          <reference field="6" count="1" selected="0">
            <x v="3"/>
          </reference>
          <reference field="7" count="1" selected="0">
            <x v="6"/>
          </reference>
          <reference field="8" count="1" selected="0">
            <x v="29"/>
          </reference>
          <reference field="15" count="24">
            <x v="4"/>
            <x v="168"/>
            <x v="169"/>
            <x v="170"/>
            <x v="171"/>
            <x v="172"/>
            <x v="173"/>
            <x v="174"/>
            <x v="183"/>
            <x v="184"/>
            <x v="185"/>
            <x v="186"/>
            <x v="187"/>
            <x v="188"/>
            <x v="194"/>
            <x v="195"/>
            <x v="196"/>
            <x v="197"/>
            <x v="198"/>
            <x v="199"/>
            <x v="203"/>
            <x v="204"/>
            <x v="223"/>
            <x v="258"/>
          </reference>
        </references>
      </pivotArea>
    </format>
    <format dxfId="1953">
      <pivotArea dataOnly="0" labelOnly="1" fieldPosition="0">
        <references count="5">
          <reference field="4" count="1" selected="0">
            <x v="20"/>
          </reference>
          <reference field="6" count="1" selected="0">
            <x v="1"/>
          </reference>
          <reference field="7" count="1" selected="0">
            <x v="24"/>
          </reference>
          <reference field="8" count="1" selected="0">
            <x v="106"/>
          </reference>
          <reference field="15" count="2">
            <x v="239"/>
            <x v="240"/>
          </reference>
        </references>
      </pivotArea>
    </format>
    <format dxfId="1952">
      <pivotArea dataOnly="0" labelOnly="1" outline="0" fieldPosition="0">
        <references count="1">
          <reference field="4294967294" count="2">
            <x v="7"/>
            <x v="8"/>
          </reference>
        </references>
      </pivotArea>
    </format>
    <format dxfId="1951">
      <pivotArea outline="0" collapsedLevelsAreSubtotals="1" fieldPosition="0"/>
    </format>
    <format dxfId="1950">
      <pivotArea dataOnly="0" labelOnly="1" outline="0" fieldPosition="0">
        <references count="1">
          <reference field="2" count="0"/>
        </references>
      </pivotArea>
    </format>
    <format dxfId="1949">
      <pivotArea dataOnly="0" labelOnly="1" outline="0" fieldPosition="0">
        <references count="1">
          <reference field="4294967294" count="9">
            <x v="0"/>
            <x v="1"/>
            <x v="2"/>
            <x v="3"/>
            <x v="4"/>
            <x v="5"/>
            <x v="6"/>
            <x v="7"/>
            <x v="8"/>
          </reference>
        </references>
      </pivotArea>
    </format>
    <format dxfId="1948">
      <pivotArea outline="0" collapsedLevelsAreSubtotals="1" fieldPosition="0">
        <references count="1">
          <reference field="4294967294" count="2" selected="0">
            <x v="7"/>
            <x v="8"/>
          </reference>
        </references>
      </pivotArea>
    </format>
    <format dxfId="1947">
      <pivotArea dataOnly="0" labelOnly="1" outline="0" fieldPosition="0">
        <references count="1">
          <reference field="4294967294" count="2">
            <x v="7"/>
            <x v="8"/>
          </reference>
        </references>
      </pivotArea>
    </format>
    <format dxfId="1946">
      <pivotArea field="2" type="button" dataOnly="0" labelOnly="1" outline="0" axis="axisPage" fieldPosition="0"/>
    </format>
    <format dxfId="1945">
      <pivotArea field="4" type="button" dataOnly="0" labelOnly="1" outline="0" axis="axisRow" fieldPosition="0"/>
    </format>
    <format dxfId="1944">
      <pivotArea dataOnly="0" labelOnly="1" fieldPosition="0">
        <references count="1">
          <reference field="4" count="1">
            <x v="15"/>
          </reference>
        </references>
      </pivotArea>
    </format>
    <format dxfId="1943">
      <pivotArea dataOnly="0" labelOnly="1" grandRow="1" outline="0" fieldPosition="0"/>
    </format>
    <format dxfId="1942">
      <pivotArea dataOnly="0" labelOnly="1" fieldPosition="0">
        <references count="2">
          <reference field="4" count="1" selected="0">
            <x v="15"/>
          </reference>
          <reference field="6" count="1">
            <x v="0"/>
          </reference>
        </references>
      </pivotArea>
    </format>
    <format dxfId="1941">
      <pivotArea dataOnly="0" labelOnly="1" fieldPosition="0">
        <references count="3">
          <reference field="4" count="1" selected="0">
            <x v="15"/>
          </reference>
          <reference field="6" count="1" selected="0">
            <x v="0"/>
          </reference>
          <reference field="7" count="1">
            <x v="20"/>
          </reference>
        </references>
      </pivotArea>
    </format>
    <format dxfId="1940">
      <pivotArea dataOnly="0" labelOnly="1" fieldPosition="0">
        <references count="4">
          <reference field="4" count="1" selected="0">
            <x v="15"/>
          </reference>
          <reference field="6" count="1" selected="0">
            <x v="0"/>
          </reference>
          <reference field="7" count="1" selected="0">
            <x v="20"/>
          </reference>
          <reference field="8" count="5">
            <x v="82"/>
            <x v="83"/>
            <x v="84"/>
            <x v="85"/>
            <x v="86"/>
          </reference>
        </references>
      </pivotArea>
    </format>
    <format dxfId="1939">
      <pivotArea dataOnly="0" labelOnly="1" fieldPosition="0">
        <references count="5">
          <reference field="4" count="1" selected="0">
            <x v="15"/>
          </reference>
          <reference field="6" count="1" selected="0">
            <x v="0"/>
          </reference>
          <reference field="7" count="1" selected="0">
            <x v="20"/>
          </reference>
          <reference field="8" count="1" selected="0">
            <x v="82"/>
          </reference>
          <reference field="15" count="2">
            <x v="73"/>
            <x v="74"/>
          </reference>
        </references>
      </pivotArea>
    </format>
    <format dxfId="1938">
      <pivotArea dataOnly="0" labelOnly="1" fieldPosition="0">
        <references count="5">
          <reference field="4" count="1" selected="0">
            <x v="15"/>
          </reference>
          <reference field="6" count="1" selected="0">
            <x v="0"/>
          </reference>
          <reference field="7" count="1" selected="0">
            <x v="20"/>
          </reference>
          <reference field="8" count="1" selected="0">
            <x v="83"/>
          </reference>
          <reference field="15" count="1">
            <x v="75"/>
          </reference>
        </references>
      </pivotArea>
    </format>
    <format dxfId="1937">
      <pivotArea dataOnly="0" labelOnly="1" fieldPosition="0">
        <references count="5">
          <reference field="4" count="1" selected="0">
            <x v="15"/>
          </reference>
          <reference field="6" count="1" selected="0">
            <x v="0"/>
          </reference>
          <reference field="7" count="1" selected="0">
            <x v="20"/>
          </reference>
          <reference field="8" count="1" selected="0">
            <x v="84"/>
          </reference>
          <reference field="15" count="1">
            <x v="76"/>
          </reference>
        </references>
      </pivotArea>
    </format>
    <format dxfId="1936">
      <pivotArea dataOnly="0" labelOnly="1" fieldPosition="0">
        <references count="5">
          <reference field="4" count="1" selected="0">
            <x v="15"/>
          </reference>
          <reference field="6" count="1" selected="0">
            <x v="0"/>
          </reference>
          <reference field="7" count="1" selected="0">
            <x v="20"/>
          </reference>
          <reference field="8" count="1" selected="0">
            <x v="85"/>
          </reference>
          <reference field="15" count="1">
            <x v="259"/>
          </reference>
        </references>
      </pivotArea>
    </format>
    <format dxfId="1935">
      <pivotArea dataOnly="0" labelOnly="1" fieldPosition="0">
        <references count="5">
          <reference field="4" count="1" selected="0">
            <x v="15"/>
          </reference>
          <reference field="6" count="1" selected="0">
            <x v="0"/>
          </reference>
          <reference field="7" count="1" selected="0">
            <x v="20"/>
          </reference>
          <reference field="8" count="1" selected="0">
            <x v="86"/>
          </reference>
          <reference field="15" count="3">
            <x v="132"/>
            <x v="133"/>
            <x v="13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5" cacheId="2" applyNumberFormats="0" applyBorderFormats="0" applyFontFormats="0" applyPatternFormats="0" applyAlignmentFormats="0" applyWidthHeightFormats="1" dataCaption="Valores" grandTotalCaption="TOTAL " updatedVersion="8" minRefreshableVersion="3" useAutoFormatting="1" itemPrintTitles="1" createdVersion="8" indent="0" outline="1" outlineData="1" multipleFieldFilters="0" rowHeaderCaption="UNIDAD EJECUTORA">
  <location ref="A3:J36" firstHeaderRow="0" firstDataRow="1" firstDataCol="1" rowPageCount="1" colPageCount="1"/>
  <pivotFields count="33">
    <pivotField showAll="0"/>
    <pivotField showAll="0"/>
    <pivotField axis="axisPage" showAll="0">
      <items count="22">
        <item x="4"/>
        <item x="3"/>
        <item x="14"/>
        <item x="0"/>
        <item x="13"/>
        <item x="17"/>
        <item x="7"/>
        <item x="9"/>
        <item x="15"/>
        <item x="8"/>
        <item x="1"/>
        <item x="16"/>
        <item x="12"/>
        <item x="20"/>
        <item x="5"/>
        <item x="10"/>
        <item x="6"/>
        <item x="11"/>
        <item x="19"/>
        <item x="2"/>
        <item x="18"/>
        <item t="default"/>
      </items>
    </pivotField>
    <pivotField showAll="0"/>
    <pivotField axis="axisRow" showAll="0">
      <items count="22">
        <item x="4"/>
        <item x="3"/>
        <item x="14"/>
        <item x="0"/>
        <item x="13"/>
        <item x="17"/>
        <item x="7"/>
        <item x="9"/>
        <item x="15"/>
        <item x="8"/>
        <item x="1"/>
        <item x="16"/>
        <item x="12"/>
        <item x="20"/>
        <item x="5"/>
        <item x="10"/>
        <item x="6"/>
        <item x="11"/>
        <item x="19"/>
        <item x="2"/>
        <item x="18"/>
        <item t="default"/>
      </items>
    </pivotField>
    <pivotField numFmtId="1" showAll="0"/>
    <pivotField axis="axisRow" showAll="0">
      <items count="6">
        <item x="1"/>
        <item x="2"/>
        <item x="3"/>
        <item x="0"/>
        <item x="4"/>
        <item t="default"/>
      </items>
    </pivotField>
    <pivotField axis="axisRow" showAll="0">
      <items count="34">
        <item x="19"/>
        <item x="27"/>
        <item x="1"/>
        <item x="2"/>
        <item x="8"/>
        <item x="30"/>
        <item x="0"/>
        <item x="32"/>
        <item x="25"/>
        <item x="29"/>
        <item x="12"/>
        <item x="15"/>
        <item x="13"/>
        <item x="28"/>
        <item x="23"/>
        <item x="31"/>
        <item x="16"/>
        <item x="10"/>
        <item x="18"/>
        <item x="3"/>
        <item x="14"/>
        <item x="20"/>
        <item x="17"/>
        <item x="9"/>
        <item x="6"/>
        <item x="7"/>
        <item x="4"/>
        <item x="5"/>
        <item x="24"/>
        <item x="11"/>
        <item x="21"/>
        <item x="26"/>
        <item x="22"/>
        <item t="default"/>
      </items>
    </pivotField>
    <pivotField axis="axisRow" showAll="0">
      <items count="161">
        <item x="62"/>
        <item x="155"/>
        <item x="112"/>
        <item x="156"/>
        <item x="118"/>
        <item x="154"/>
        <item x="140"/>
        <item x="60"/>
        <item x="153"/>
        <item x="102"/>
        <item x="7"/>
        <item x="2"/>
        <item x="52"/>
        <item x="1"/>
        <item x="22"/>
        <item x="151"/>
        <item x="105"/>
        <item x="114"/>
        <item x="82"/>
        <item x="3"/>
        <item x="15"/>
        <item x="49"/>
        <item x="135"/>
        <item x="134"/>
        <item x="139"/>
        <item x="142"/>
        <item x="138"/>
        <item x="141"/>
        <item x="128"/>
        <item x="0"/>
        <item x="103"/>
        <item x="159"/>
        <item x="150"/>
        <item x="86"/>
        <item x="152"/>
        <item x="137"/>
        <item x="110"/>
        <item x="79"/>
        <item x="80"/>
        <item x="83"/>
        <item x="126"/>
        <item x="131"/>
        <item x="132"/>
        <item x="129"/>
        <item x="28"/>
        <item x="27"/>
        <item x="29"/>
        <item x="26"/>
        <item x="43"/>
        <item x="42"/>
        <item x="32"/>
        <item x="122"/>
        <item x="124"/>
        <item x="123"/>
        <item x="111"/>
        <item x="69"/>
        <item x="136"/>
        <item x="55"/>
        <item x="119"/>
        <item x="46"/>
        <item x="50"/>
        <item x="117"/>
        <item x="45"/>
        <item x="127"/>
        <item x="106"/>
        <item x="53"/>
        <item x="147"/>
        <item x="146"/>
        <item x="38"/>
        <item x="20"/>
        <item x="144"/>
        <item x="145"/>
        <item x="74"/>
        <item x="89"/>
        <item x="57"/>
        <item x="59"/>
        <item x="88"/>
        <item x="108"/>
        <item x="85"/>
        <item x="5"/>
        <item x="4"/>
        <item x="81"/>
        <item x="35"/>
        <item x="36"/>
        <item x="37"/>
        <item x="98"/>
        <item x="67"/>
        <item x="63"/>
        <item x="116"/>
        <item x="125"/>
        <item x="157"/>
        <item x="101"/>
        <item x="66"/>
        <item x="149"/>
        <item x="51"/>
        <item x="90"/>
        <item x="91"/>
        <item x="97"/>
        <item x="21"/>
        <item x="94"/>
        <item x="93"/>
        <item x="95"/>
        <item x="18"/>
        <item x="92"/>
        <item x="96"/>
        <item x="11"/>
        <item x="87"/>
        <item x="61"/>
        <item x="48"/>
        <item x="47"/>
        <item x="58"/>
        <item x="130"/>
        <item x="39"/>
        <item x="33"/>
        <item x="100"/>
        <item x="16"/>
        <item x="30"/>
        <item x="44"/>
        <item x="34"/>
        <item x="31"/>
        <item x="41"/>
        <item x="19"/>
        <item x="17"/>
        <item x="14"/>
        <item x="99"/>
        <item x="12"/>
        <item x="8"/>
        <item x="78"/>
        <item x="13"/>
        <item x="133"/>
        <item x="148"/>
        <item x="6"/>
        <item x="9"/>
        <item x="10"/>
        <item x="77"/>
        <item x="54"/>
        <item x="40"/>
        <item x="56"/>
        <item x="104"/>
        <item x="76"/>
        <item x="25"/>
        <item x="109"/>
        <item x="113"/>
        <item x="115"/>
        <item x="24"/>
        <item x="23"/>
        <item x="70"/>
        <item x="64"/>
        <item x="73"/>
        <item x="71"/>
        <item x="75"/>
        <item x="158"/>
        <item x="65"/>
        <item x="72"/>
        <item x="107"/>
        <item x="84"/>
        <item x="121"/>
        <item x="120"/>
        <item x="143"/>
        <item x="68"/>
        <item t="default"/>
      </items>
    </pivotField>
    <pivotField showAll="0"/>
    <pivotField showAll="0"/>
    <pivotField showAll="0"/>
    <pivotField showAll="0"/>
    <pivotField showAll="0"/>
    <pivotField showAll="0"/>
    <pivotField axis="axisRow" showAll="0">
      <items count="402">
        <item x="1"/>
        <item x="0"/>
        <item x="3"/>
        <item x="2"/>
        <item x="4"/>
        <item x="5"/>
        <item x="6"/>
        <item x="8"/>
        <item x="7"/>
        <item x="9"/>
        <item x="11"/>
        <item x="10"/>
        <item x="12"/>
        <item x="13"/>
        <item x="16"/>
        <item x="15"/>
        <item x="14"/>
        <item x="18"/>
        <item x="17"/>
        <item x="19"/>
        <item x="20"/>
        <item x="21"/>
        <item x="22"/>
        <item x="23"/>
        <item x="25"/>
        <item x="24"/>
        <item x="27"/>
        <item x="26"/>
        <item x="28"/>
        <item x="29"/>
        <item x="30"/>
        <item x="31"/>
        <item x="32"/>
        <item x="33"/>
        <item x="34"/>
        <item x="35"/>
        <item x="36"/>
        <item x="37"/>
        <item x="38"/>
        <item x="39"/>
        <item x="40"/>
        <item x="41"/>
        <item x="42"/>
        <item x="43"/>
        <item x="44"/>
        <item x="45"/>
        <item x="46"/>
        <item x="47"/>
        <item x="48"/>
        <item x="49"/>
        <item x="50"/>
        <item x="51"/>
        <item x="52"/>
        <item x="53"/>
        <item x="54"/>
        <item x="55"/>
        <item x="56"/>
        <item x="58"/>
        <item x="57"/>
        <item x="59"/>
        <item x="60"/>
        <item x="61"/>
        <item x="62"/>
        <item x="63"/>
        <item x="65"/>
        <item x="64"/>
        <item x="66"/>
        <item x="67"/>
        <item x="68"/>
        <item x="69"/>
        <item x="70"/>
        <item x="71"/>
        <item x="72"/>
        <item x="74"/>
        <item x="73"/>
        <item x="75"/>
        <item x="76"/>
        <item x="77"/>
        <item x="78"/>
        <item x="79"/>
        <item x="80"/>
        <item x="81"/>
        <item x="82"/>
        <item x="83"/>
        <item x="84"/>
        <item x="85"/>
        <item x="86"/>
        <item x="87"/>
        <item x="88"/>
        <item x="89"/>
        <item x="90"/>
        <item x="91"/>
        <item x="92"/>
        <item x="93"/>
        <item x="95"/>
        <item x="94"/>
        <item x="96"/>
        <item x="97"/>
        <item x="98"/>
        <item x="99"/>
        <item x="101"/>
        <item x="100"/>
        <item x="103"/>
        <item x="102"/>
        <item x="104"/>
        <item x="105"/>
        <item x="106"/>
        <item x="107"/>
        <item x="108"/>
        <item x="109"/>
        <item x="110"/>
        <item x="111"/>
        <item x="112"/>
        <item x="114"/>
        <item x="113"/>
        <item x="115"/>
        <item x="116"/>
        <item x="117"/>
        <item x="118"/>
        <item x="119"/>
        <item x="122"/>
        <item x="120"/>
        <item x="121"/>
        <item x="123"/>
        <item x="124"/>
        <item x="125"/>
        <item x="126"/>
        <item x="127"/>
        <item x="129"/>
        <item x="128"/>
        <item x="130"/>
        <item x="131"/>
        <item x="132"/>
        <item x="133"/>
        <item x="134"/>
        <item x="135"/>
        <item x="136"/>
        <item x="137"/>
        <item x="138"/>
        <item x="139"/>
        <item x="140"/>
        <item x="141"/>
        <item x="142"/>
        <item x="143"/>
        <item x="144"/>
        <item x="145"/>
        <item x="146"/>
        <item x="147"/>
        <item x="148"/>
        <item x="149"/>
        <item x="151"/>
        <item x="150"/>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3"/>
        <item x="192"/>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4"/>
        <item x="233"/>
        <item x="235"/>
        <item x="236"/>
        <item x="237"/>
        <item x="238"/>
        <item x="239"/>
        <item x="240"/>
        <item x="241"/>
        <item x="242"/>
        <item x="243"/>
        <item x="244"/>
        <item x="246"/>
        <item x="245"/>
        <item x="247"/>
        <item x="248"/>
        <item x="249"/>
        <item x="250"/>
        <item x="251"/>
        <item x="252"/>
        <item x="253"/>
        <item x="254"/>
        <item x="255"/>
        <item x="256"/>
        <item x="257"/>
        <item x="258"/>
        <item x="259"/>
        <item x="260"/>
        <item x="261"/>
        <item x="262"/>
        <item x="263"/>
        <item x="264"/>
        <item x="265"/>
        <item x="266"/>
        <item x="268"/>
        <item x="267"/>
        <item x="269"/>
        <item x="270"/>
        <item x="271"/>
        <item x="272"/>
        <item x="273"/>
        <item x="274"/>
        <item x="275"/>
        <item x="277"/>
        <item x="276"/>
        <item x="278"/>
        <item x="279"/>
        <item x="280"/>
        <item x="281"/>
        <item x="282"/>
        <item x="283"/>
        <item x="285"/>
        <item x="284"/>
        <item x="288"/>
        <item x="286"/>
        <item x="287"/>
        <item x="289"/>
        <item x="290"/>
        <item x="291"/>
        <item x="292"/>
        <item x="293"/>
        <item x="294"/>
        <item x="295"/>
        <item x="297"/>
        <item x="296"/>
        <item x="298"/>
        <item x="299"/>
        <item x="300"/>
        <item x="301"/>
        <item x="302"/>
        <item x="303"/>
        <item x="304"/>
        <item x="305"/>
        <item x="306"/>
        <item x="307"/>
        <item x="308"/>
        <item x="309"/>
        <item x="310"/>
        <item x="311"/>
        <item x="312"/>
        <item x="313"/>
        <item x="314"/>
        <item x="316"/>
        <item x="315"/>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7"/>
        <item x="346"/>
        <item x="348"/>
        <item x="349"/>
        <item x="350"/>
        <item x="351"/>
        <item x="352"/>
        <item x="353"/>
        <item x="354"/>
        <item x="355"/>
        <item x="357"/>
        <item x="356"/>
        <item x="358"/>
        <item x="360"/>
        <item x="359"/>
        <item x="361"/>
        <item x="362"/>
        <item x="363"/>
        <item x="364"/>
        <item x="365"/>
        <item x="366"/>
        <item x="368"/>
        <item x="367"/>
        <item x="369"/>
        <item x="370"/>
        <item x="371"/>
        <item x="372"/>
        <item x="373"/>
        <item x="374"/>
        <item x="376"/>
        <item x="375"/>
        <item x="377"/>
        <item x="378"/>
        <item x="379"/>
        <item x="380"/>
        <item x="381"/>
        <item x="382"/>
        <item x="383"/>
        <item x="384"/>
        <item x="385"/>
        <item x="386"/>
        <item x="387"/>
        <item x="389"/>
        <item x="388"/>
        <item x="390"/>
        <item x="391"/>
        <item x="392"/>
        <item x="393"/>
        <item x="394"/>
        <item x="395"/>
        <item x="396"/>
        <item x="397"/>
        <item x="398"/>
        <item x="399"/>
        <item x="400"/>
        <item t="default"/>
      </items>
    </pivotField>
    <pivotField showAll="0"/>
    <pivotField showAll="0"/>
    <pivotField dataField="1" numFmtId="43" showAll="0"/>
    <pivotField numFmtId="43" showAll="0"/>
    <pivotField dataField="1" numFmtId="43" showAll="0"/>
    <pivotField numFmtId="43" showAll="0"/>
    <pivotField numFmtId="43" showAll="0"/>
    <pivotField dataField="1" numFmtId="43" showAll="0"/>
    <pivotField numFmtId="43" showAll="0"/>
    <pivotField dataField="1" numFmtId="43" showAll="0"/>
    <pivotField numFmtId="43" showAll="0"/>
    <pivotField numFmtId="43" showAll="0"/>
    <pivotField dataField="1" numFmtId="43" showAl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5">
    <field x="4"/>
    <field x="6"/>
    <field x="7"/>
    <field x="8"/>
    <field x="15"/>
  </rowFields>
  <rowItems count="33">
    <i>
      <x v="16"/>
    </i>
    <i r="1">
      <x v="1"/>
    </i>
    <i r="2">
      <x v="27"/>
    </i>
    <i r="3">
      <x v="132"/>
    </i>
    <i r="4">
      <x v="20"/>
    </i>
    <i r="3">
      <x v="133"/>
    </i>
    <i r="4">
      <x v="21"/>
    </i>
    <i r="4">
      <x v="22"/>
    </i>
    <i r="4">
      <x v="23"/>
    </i>
    <i r="3">
      <x v="134"/>
    </i>
    <i r="4">
      <x v="149"/>
    </i>
    <i r="4">
      <x v="354"/>
    </i>
    <i r="3">
      <x v="135"/>
    </i>
    <i r="4">
      <x v="109"/>
    </i>
    <i r="4">
      <x v="363"/>
    </i>
    <i r="3">
      <x v="136"/>
    </i>
    <i r="4">
      <x v="81"/>
    </i>
    <i r="4">
      <x v="148"/>
    </i>
    <i r="3">
      <x v="137"/>
    </i>
    <i r="4">
      <x v="111"/>
    </i>
    <i r="4">
      <x v="112"/>
    </i>
    <i r="1">
      <x v="3"/>
    </i>
    <i r="2">
      <x v="1"/>
    </i>
    <i r="3">
      <x v="6"/>
    </i>
    <i r="4">
      <x v="362"/>
    </i>
    <i r="1">
      <x v="4"/>
    </i>
    <i r="2">
      <x v="8"/>
    </i>
    <i r="3">
      <x v="38"/>
    </i>
    <i r="4">
      <x v="229"/>
    </i>
    <i r="2">
      <x v="11"/>
    </i>
    <i r="3">
      <x v="48"/>
    </i>
    <i r="4">
      <x v="200"/>
    </i>
    <i t="grand">
      <x/>
    </i>
  </rowItems>
  <colFields count="1">
    <field x="-2"/>
  </colFields>
  <colItems count="9">
    <i>
      <x/>
    </i>
    <i i="1">
      <x v="1"/>
    </i>
    <i i="2">
      <x v="2"/>
    </i>
    <i i="3">
      <x v="3"/>
    </i>
    <i i="4">
      <x v="4"/>
    </i>
    <i i="5">
      <x v="5"/>
    </i>
    <i i="6">
      <x v="6"/>
    </i>
    <i i="7">
      <x v="7"/>
    </i>
    <i i="8">
      <x v="8"/>
    </i>
  </colItems>
  <pageFields count="1">
    <pageField fld="2" item="16" hier="-1"/>
  </pageFields>
  <dataFields count="9">
    <dataField name="PPTO INICIAL" fld="18" baseField="4" baseItem="0"/>
    <dataField name="PPTO VIGENTE" fld="20" baseField="4" baseItem="0"/>
    <dataField name="COMPROMISOS." fld="23" baseField="4" baseItem="0"/>
    <dataField name="GIROS." fld="25" baseField="4" baseItem="0"/>
    <dataField name="PAGOS " fld="28" baseField="4" baseItem="0"/>
    <dataField name=" SALDO APROPIACIÓN CDP" fld="29" baseField="4" baseItem="0" numFmtId="43"/>
    <dataField name="SALDO APROPIACIÓN RP" fld="30" baseField="4" baseItem="0" numFmtId="43"/>
    <dataField name="Suma de % CDP" fld="31" baseField="0" baseItem="0" numFmtId="43"/>
    <dataField name="Suma de % RP" fld="32" baseField="0" baseItem="0" numFmtId="43"/>
  </dataFields>
  <formats count="332">
    <format dxfId="1934">
      <pivotArea dataOnly="0" labelOnly="1" fieldPosition="0">
        <references count="1">
          <reference field="4" count="0"/>
        </references>
      </pivotArea>
    </format>
    <format dxfId="1933">
      <pivotArea dataOnly="0" labelOnly="1" fieldPosition="0">
        <references count="1">
          <reference field="4" count="1">
            <x v="0"/>
          </reference>
        </references>
      </pivotArea>
    </format>
    <format dxfId="1932">
      <pivotArea dataOnly="0" labelOnly="1" fieldPosition="0">
        <references count="1">
          <reference field="6" count="0"/>
        </references>
      </pivotArea>
    </format>
    <format dxfId="1931">
      <pivotArea dataOnly="0" labelOnly="1" fieldPosition="0">
        <references count="1">
          <reference field="7" count="0"/>
        </references>
      </pivotArea>
    </format>
    <format dxfId="1930">
      <pivotArea dataOnly="0" labelOnly="1" fieldPosition="0">
        <references count="1">
          <reference field="7" count="0"/>
        </references>
      </pivotArea>
    </format>
    <format dxfId="1929">
      <pivotArea dataOnly="0" labelOnly="1" fieldPosition="0">
        <references count="1">
          <reference field="8" count="0"/>
        </references>
      </pivotArea>
    </format>
    <format dxfId="1928">
      <pivotArea outline="0" collapsedLevelsAreSubtotals="1" fieldPosition="0"/>
    </format>
    <format dxfId="1927">
      <pivotArea dataOnly="0" labelOnly="1" outline="0" fieldPosition="0">
        <references count="1">
          <reference field="2" count="0"/>
        </references>
      </pivotArea>
    </format>
    <format dxfId="1926">
      <pivotArea dataOnly="0" labelOnly="1" outline="0" fieldPosition="0">
        <references count="1">
          <reference field="4294967294" count="9">
            <x v="0"/>
            <x v="1"/>
            <x v="2"/>
            <x v="3"/>
            <x v="4"/>
            <x v="5"/>
            <x v="6"/>
            <x v="7"/>
            <x v="8"/>
          </reference>
        </references>
      </pivotArea>
    </format>
    <format dxfId="1925">
      <pivotArea field="2" type="button" dataOnly="0" labelOnly="1" outline="0" axis="axisPage" fieldPosition="0"/>
    </format>
    <format dxfId="1924">
      <pivotArea field="4" type="button" dataOnly="0" labelOnly="1" outline="0" axis="axisRow" fieldPosition="0"/>
    </format>
    <format dxfId="1923">
      <pivotArea dataOnly="0" labelOnly="1" fieldPosition="0">
        <references count="1">
          <reference field="4" count="0"/>
        </references>
      </pivotArea>
    </format>
    <format dxfId="1922">
      <pivotArea dataOnly="0" labelOnly="1" grandRow="1" outline="0" fieldPosition="0"/>
    </format>
    <format dxfId="1921">
      <pivotArea dataOnly="0" labelOnly="1" fieldPosition="0">
        <references count="2">
          <reference field="4" count="1" selected="0">
            <x v="0"/>
          </reference>
          <reference field="6" count="2">
            <x v="0"/>
            <x v="1"/>
          </reference>
        </references>
      </pivotArea>
    </format>
    <format dxfId="1920">
      <pivotArea dataOnly="0" labelOnly="1" fieldPosition="0">
        <references count="2">
          <reference field="4" count="1" selected="0">
            <x v="1"/>
          </reference>
          <reference field="6" count="3">
            <x v="0"/>
            <x v="3"/>
            <x v="4"/>
          </reference>
        </references>
      </pivotArea>
    </format>
    <format dxfId="1919">
      <pivotArea dataOnly="0" labelOnly="1" fieldPosition="0">
        <references count="2">
          <reference field="4" count="1" selected="0">
            <x v="2"/>
          </reference>
          <reference field="6" count="3">
            <x v="2"/>
            <x v="3"/>
            <x v="4"/>
          </reference>
        </references>
      </pivotArea>
    </format>
    <format dxfId="1918">
      <pivotArea dataOnly="0" labelOnly="1" fieldPosition="0">
        <references count="2">
          <reference field="4" count="1" selected="0">
            <x v="3"/>
          </reference>
          <reference field="6" count="1">
            <x v="3"/>
          </reference>
        </references>
      </pivotArea>
    </format>
    <format dxfId="1917">
      <pivotArea dataOnly="0" labelOnly="1" fieldPosition="0">
        <references count="2">
          <reference field="4" count="1" selected="0">
            <x v="4"/>
          </reference>
          <reference field="6" count="4">
            <x v="0"/>
            <x v="1"/>
            <x v="2"/>
            <x v="3"/>
          </reference>
        </references>
      </pivotArea>
    </format>
    <format dxfId="1916">
      <pivotArea dataOnly="0" labelOnly="1" fieldPosition="0">
        <references count="2">
          <reference field="4" count="1" selected="0">
            <x v="5"/>
          </reference>
          <reference field="6" count="2">
            <x v="0"/>
            <x v="4"/>
          </reference>
        </references>
      </pivotArea>
    </format>
    <format dxfId="1915">
      <pivotArea dataOnly="0" labelOnly="1" fieldPosition="0">
        <references count="2">
          <reference field="4" count="1" selected="0">
            <x v="6"/>
          </reference>
          <reference field="6" count="1">
            <x v="1"/>
          </reference>
        </references>
      </pivotArea>
    </format>
    <format dxfId="1914">
      <pivotArea dataOnly="0" labelOnly="1" fieldPosition="0">
        <references count="2">
          <reference field="4" count="1" selected="0">
            <x v="7"/>
          </reference>
          <reference field="6" count="4">
            <x v="0"/>
            <x v="2"/>
            <x v="3"/>
            <x v="4"/>
          </reference>
        </references>
      </pivotArea>
    </format>
    <format dxfId="1913">
      <pivotArea dataOnly="0" labelOnly="1" fieldPosition="0">
        <references count="2">
          <reference field="4" count="1" selected="0">
            <x v="8"/>
          </reference>
          <reference field="6" count="4">
            <x v="0"/>
            <x v="1"/>
            <x v="2"/>
            <x v="3"/>
          </reference>
        </references>
      </pivotArea>
    </format>
    <format dxfId="1912">
      <pivotArea dataOnly="0" labelOnly="1" fieldPosition="0">
        <references count="2">
          <reference field="4" count="1" selected="0">
            <x v="9"/>
          </reference>
          <reference field="6" count="1">
            <x v="1"/>
          </reference>
        </references>
      </pivotArea>
    </format>
    <format dxfId="1911">
      <pivotArea dataOnly="0" labelOnly="1" fieldPosition="0">
        <references count="2">
          <reference field="4" count="1" selected="0">
            <x v="10"/>
          </reference>
          <reference field="6" count="1">
            <x v="3"/>
          </reference>
        </references>
      </pivotArea>
    </format>
    <format dxfId="1910">
      <pivotArea dataOnly="0" labelOnly="1" fieldPosition="0">
        <references count="2">
          <reference field="4" count="1" selected="0">
            <x v="11"/>
          </reference>
          <reference field="6" count="1">
            <x v="0"/>
          </reference>
        </references>
      </pivotArea>
    </format>
    <format dxfId="1909">
      <pivotArea dataOnly="0" labelOnly="1" fieldPosition="0">
        <references count="2">
          <reference field="4" count="1" selected="0">
            <x v="12"/>
          </reference>
          <reference field="6" count="1">
            <x v="0"/>
          </reference>
        </references>
      </pivotArea>
    </format>
    <format dxfId="1908">
      <pivotArea dataOnly="0" labelOnly="1" fieldPosition="0">
        <references count="2">
          <reference field="4" count="1" selected="0">
            <x v="13"/>
          </reference>
          <reference field="6" count="1">
            <x v="3"/>
          </reference>
        </references>
      </pivotArea>
    </format>
    <format dxfId="1907">
      <pivotArea dataOnly="0" labelOnly="1" fieldPosition="0">
        <references count="2">
          <reference field="4" count="1" selected="0">
            <x v="14"/>
          </reference>
          <reference field="6" count="1">
            <x v="1"/>
          </reference>
        </references>
      </pivotArea>
    </format>
    <format dxfId="1906">
      <pivotArea dataOnly="0" labelOnly="1" fieldPosition="0">
        <references count="2">
          <reference field="4" count="1" selected="0">
            <x v="15"/>
          </reference>
          <reference field="6" count="1">
            <x v="0"/>
          </reference>
        </references>
      </pivotArea>
    </format>
    <format dxfId="1905">
      <pivotArea dataOnly="0" labelOnly="1" fieldPosition="0">
        <references count="2">
          <reference field="4" count="1" selected="0">
            <x v="16"/>
          </reference>
          <reference field="6" count="3">
            <x v="1"/>
            <x v="3"/>
            <x v="4"/>
          </reference>
        </references>
      </pivotArea>
    </format>
    <format dxfId="1904">
      <pivotArea dataOnly="0" labelOnly="1" fieldPosition="0">
        <references count="2">
          <reference field="4" count="1" selected="0">
            <x v="17"/>
          </reference>
          <reference field="6" count="1">
            <x v="0"/>
          </reference>
        </references>
      </pivotArea>
    </format>
    <format dxfId="1903">
      <pivotArea dataOnly="0" labelOnly="1" fieldPosition="0">
        <references count="2">
          <reference field="4" count="1" selected="0">
            <x v="18"/>
          </reference>
          <reference field="6" count="1">
            <x v="3"/>
          </reference>
        </references>
      </pivotArea>
    </format>
    <format dxfId="1902">
      <pivotArea dataOnly="0" labelOnly="1" fieldPosition="0">
        <references count="2">
          <reference field="4" count="1" selected="0">
            <x v="19"/>
          </reference>
          <reference field="6" count="1">
            <x v="3"/>
          </reference>
        </references>
      </pivotArea>
    </format>
    <format dxfId="1901">
      <pivotArea dataOnly="0" labelOnly="1" fieldPosition="0">
        <references count="2">
          <reference field="4" count="1" selected="0">
            <x v="20"/>
          </reference>
          <reference field="6" count="1">
            <x v="1"/>
          </reference>
        </references>
      </pivotArea>
    </format>
    <format dxfId="1900">
      <pivotArea dataOnly="0" labelOnly="1" fieldPosition="0">
        <references count="3">
          <reference field="4" count="1" selected="0">
            <x v="0"/>
          </reference>
          <reference field="6" count="1" selected="0">
            <x v="0"/>
          </reference>
          <reference field="7" count="2">
            <x v="17"/>
            <x v="19"/>
          </reference>
        </references>
      </pivotArea>
    </format>
    <format dxfId="1899">
      <pivotArea dataOnly="0" labelOnly="1" fieldPosition="0">
        <references count="3">
          <reference field="4" count="1" selected="0">
            <x v="0"/>
          </reference>
          <reference field="6" count="1" selected="0">
            <x v="1"/>
          </reference>
          <reference field="7" count="2">
            <x v="23"/>
            <x v="26"/>
          </reference>
        </references>
      </pivotArea>
    </format>
    <format dxfId="1898">
      <pivotArea dataOnly="0" labelOnly="1" fieldPosition="0">
        <references count="3">
          <reference field="4" count="1" selected="0">
            <x v="1"/>
          </reference>
          <reference field="6" count="1" selected="0">
            <x v="0"/>
          </reference>
          <reference field="7" count="1">
            <x v="19"/>
          </reference>
        </references>
      </pivotArea>
    </format>
    <format dxfId="1897">
      <pivotArea dataOnly="0" labelOnly="1" fieldPosition="0">
        <references count="3">
          <reference field="4" count="1" selected="0">
            <x v="1"/>
          </reference>
          <reference field="6" count="1" selected="0">
            <x v="3"/>
          </reference>
          <reference field="7" count="3">
            <x v="2"/>
            <x v="3"/>
            <x v="4"/>
          </reference>
        </references>
      </pivotArea>
    </format>
    <format dxfId="1896">
      <pivotArea dataOnly="0" labelOnly="1" fieldPosition="0">
        <references count="3">
          <reference field="4" count="1" selected="0">
            <x v="1"/>
          </reference>
          <reference field="6" count="1" selected="0">
            <x v="4"/>
          </reference>
          <reference field="7" count="1">
            <x v="8"/>
          </reference>
        </references>
      </pivotArea>
    </format>
    <format dxfId="1895">
      <pivotArea dataOnly="0" labelOnly="1" fieldPosition="0">
        <references count="3">
          <reference field="4" count="1" selected="0">
            <x v="2"/>
          </reference>
          <reference field="6" count="1" selected="0">
            <x v="2"/>
          </reference>
          <reference field="7" count="2">
            <x v="29"/>
            <x v="30"/>
          </reference>
        </references>
      </pivotArea>
    </format>
    <format dxfId="1894">
      <pivotArea dataOnly="0" labelOnly="1" fieldPosition="0">
        <references count="3">
          <reference field="4" count="1" selected="0">
            <x v="2"/>
          </reference>
          <reference field="6" count="1" selected="0">
            <x v="3"/>
          </reference>
          <reference field="7" count="2">
            <x v="5"/>
            <x v="7"/>
          </reference>
        </references>
      </pivotArea>
    </format>
    <format dxfId="1893">
      <pivotArea dataOnly="0" labelOnly="1" fieldPosition="0">
        <references count="3">
          <reference field="4" count="1" selected="0">
            <x v="2"/>
          </reference>
          <reference field="6" count="1" selected="0">
            <x v="4"/>
          </reference>
          <reference field="7" count="1">
            <x v="8"/>
          </reference>
        </references>
      </pivotArea>
    </format>
    <format dxfId="1892">
      <pivotArea dataOnly="0" labelOnly="1" fieldPosition="0">
        <references count="3">
          <reference field="4" count="1" selected="0">
            <x v="3"/>
          </reference>
          <reference field="6" count="1" selected="0">
            <x v="3"/>
          </reference>
          <reference field="7" count="1">
            <x v="6"/>
          </reference>
        </references>
      </pivotArea>
    </format>
    <format dxfId="1891">
      <pivotArea dataOnly="0" labelOnly="1" fieldPosition="0">
        <references count="3">
          <reference field="4" count="1" selected="0">
            <x v="4"/>
          </reference>
          <reference field="6" count="1" selected="0">
            <x v="0"/>
          </reference>
          <reference field="7" count="1">
            <x v="21"/>
          </reference>
        </references>
      </pivotArea>
    </format>
    <format dxfId="1890">
      <pivotArea dataOnly="0" labelOnly="1" fieldPosition="0">
        <references count="3">
          <reference field="4" count="1" selected="0">
            <x v="4"/>
          </reference>
          <reference field="6" count="1" selected="0">
            <x v="1"/>
          </reference>
          <reference field="7" count="1">
            <x v="24"/>
          </reference>
        </references>
      </pivotArea>
    </format>
    <format dxfId="1889">
      <pivotArea dataOnly="0" labelOnly="1" fieldPosition="0">
        <references count="3">
          <reference field="4" count="1" selected="0">
            <x v="4"/>
          </reference>
          <reference field="6" count="1" selected="0">
            <x v="2"/>
          </reference>
          <reference field="7" count="2">
            <x v="29"/>
            <x v="31"/>
          </reference>
        </references>
      </pivotArea>
    </format>
    <format dxfId="1888">
      <pivotArea dataOnly="0" labelOnly="1" fieldPosition="0">
        <references count="3">
          <reference field="4" count="1" selected="0">
            <x v="4"/>
          </reference>
          <reference field="6" count="1" selected="0">
            <x v="3"/>
          </reference>
          <reference field="7" count="2">
            <x v="0"/>
            <x v="1"/>
          </reference>
        </references>
      </pivotArea>
    </format>
    <format dxfId="1887">
      <pivotArea dataOnly="0" labelOnly="1" fieldPosition="0">
        <references count="3">
          <reference field="4" count="1" selected="0">
            <x v="5"/>
          </reference>
          <reference field="6" count="1" selected="0">
            <x v="0"/>
          </reference>
          <reference field="7" count="2">
            <x v="18"/>
            <x v="22"/>
          </reference>
        </references>
      </pivotArea>
    </format>
    <format dxfId="1886">
      <pivotArea dataOnly="0" labelOnly="1" fieldPosition="0">
        <references count="3">
          <reference field="4" count="1" selected="0">
            <x v="5"/>
          </reference>
          <reference field="6" count="1" selected="0">
            <x v="4"/>
          </reference>
          <reference field="7" count="1">
            <x v="8"/>
          </reference>
        </references>
      </pivotArea>
    </format>
    <format dxfId="1885">
      <pivotArea dataOnly="0" labelOnly="1" fieldPosition="0">
        <references count="3">
          <reference field="4" count="1" selected="0">
            <x v="6"/>
          </reference>
          <reference field="6" count="1" selected="0">
            <x v="1"/>
          </reference>
          <reference field="7" count="1">
            <x v="24"/>
          </reference>
        </references>
      </pivotArea>
    </format>
    <format dxfId="1884">
      <pivotArea dataOnly="0" labelOnly="1" fieldPosition="0">
        <references count="3">
          <reference field="4" count="1" selected="0">
            <x v="7"/>
          </reference>
          <reference field="6" count="1" selected="0">
            <x v="0"/>
          </reference>
          <reference field="7" count="1">
            <x v="16"/>
          </reference>
        </references>
      </pivotArea>
    </format>
    <format dxfId="1883">
      <pivotArea dataOnly="0" labelOnly="1" fieldPosition="0">
        <references count="3">
          <reference field="4" count="1" selected="0">
            <x v="7"/>
          </reference>
          <reference field="6" count="1" selected="0">
            <x v="2"/>
          </reference>
          <reference field="7" count="2">
            <x v="29"/>
            <x v="30"/>
          </reference>
        </references>
      </pivotArea>
    </format>
    <format dxfId="1882">
      <pivotArea dataOnly="0" labelOnly="1" fieldPosition="0">
        <references count="3">
          <reference field="4" count="1" selected="0">
            <x v="7"/>
          </reference>
          <reference field="6" count="1" selected="0">
            <x v="3"/>
          </reference>
          <reference field="7" count="1">
            <x v="6"/>
          </reference>
        </references>
      </pivotArea>
    </format>
    <format dxfId="1881">
      <pivotArea dataOnly="0" labelOnly="1" fieldPosition="0">
        <references count="3">
          <reference field="4" count="1" selected="0">
            <x v="7"/>
          </reference>
          <reference field="6" count="1" selected="0">
            <x v="4"/>
          </reference>
          <reference field="7" count="8">
            <x v="8"/>
            <x v="9"/>
            <x v="10"/>
            <x v="11"/>
            <x v="12"/>
            <x v="13"/>
            <x v="14"/>
            <x v="15"/>
          </reference>
        </references>
      </pivotArea>
    </format>
    <format dxfId="1880">
      <pivotArea dataOnly="0" labelOnly="1" fieldPosition="0">
        <references count="3">
          <reference field="4" count="1" selected="0">
            <x v="8"/>
          </reference>
          <reference field="6" count="1" selected="0">
            <x v="0"/>
          </reference>
          <reference field="7" count="2">
            <x v="18"/>
            <x v="22"/>
          </reference>
        </references>
      </pivotArea>
    </format>
    <format dxfId="1879">
      <pivotArea dataOnly="0" labelOnly="1" fieldPosition="0">
        <references count="3">
          <reference field="4" count="1" selected="0">
            <x v="8"/>
          </reference>
          <reference field="6" count="1" selected="0">
            <x v="1"/>
          </reference>
          <reference field="7" count="1">
            <x v="28"/>
          </reference>
        </references>
      </pivotArea>
    </format>
    <format dxfId="1878">
      <pivotArea dataOnly="0" labelOnly="1" fieldPosition="0">
        <references count="3">
          <reference field="4" count="1" selected="0">
            <x v="8"/>
          </reference>
          <reference field="6" count="1" selected="0">
            <x v="2"/>
          </reference>
          <reference field="7" count="1">
            <x v="32"/>
          </reference>
        </references>
      </pivotArea>
    </format>
    <format dxfId="1877">
      <pivotArea dataOnly="0" labelOnly="1" fieldPosition="0">
        <references count="3">
          <reference field="4" count="1" selected="0">
            <x v="8"/>
          </reference>
          <reference field="6" count="1" selected="0">
            <x v="3"/>
          </reference>
          <reference field="7" count="1">
            <x v="6"/>
          </reference>
        </references>
      </pivotArea>
    </format>
    <format dxfId="1876">
      <pivotArea dataOnly="0" labelOnly="1" fieldPosition="0">
        <references count="3">
          <reference field="4" count="1" selected="0">
            <x v="9"/>
          </reference>
          <reference field="6" count="1" selected="0">
            <x v="1"/>
          </reference>
          <reference field="7" count="1">
            <x v="25"/>
          </reference>
        </references>
      </pivotArea>
    </format>
    <format dxfId="1875">
      <pivotArea dataOnly="0" labelOnly="1" fieldPosition="0">
        <references count="3">
          <reference field="4" count="1" selected="0">
            <x v="10"/>
          </reference>
          <reference field="6" count="1" selected="0">
            <x v="3"/>
          </reference>
          <reference field="7" count="1">
            <x v="6"/>
          </reference>
        </references>
      </pivotArea>
    </format>
    <format dxfId="1874">
      <pivotArea dataOnly="0" labelOnly="1" fieldPosition="0">
        <references count="3">
          <reference field="4" count="1" selected="0">
            <x v="11"/>
          </reference>
          <reference field="6" count="1" selected="0">
            <x v="0"/>
          </reference>
          <reference field="7" count="1">
            <x v="17"/>
          </reference>
        </references>
      </pivotArea>
    </format>
    <format dxfId="1873">
      <pivotArea dataOnly="0" labelOnly="1" fieldPosition="0">
        <references count="3">
          <reference field="4" count="1" selected="0">
            <x v="12"/>
          </reference>
          <reference field="6" count="1" selected="0">
            <x v="0"/>
          </reference>
          <reference field="7" count="1">
            <x v="18"/>
          </reference>
        </references>
      </pivotArea>
    </format>
    <format dxfId="1872">
      <pivotArea dataOnly="0" labelOnly="1" fieldPosition="0">
        <references count="3">
          <reference field="4" count="1" selected="0">
            <x v="13"/>
          </reference>
          <reference field="6" count="1" selected="0">
            <x v="3"/>
          </reference>
          <reference field="7" count="2">
            <x v="1"/>
            <x v="5"/>
          </reference>
        </references>
      </pivotArea>
    </format>
    <format dxfId="1871">
      <pivotArea dataOnly="0" labelOnly="1" fieldPosition="0">
        <references count="3">
          <reference field="4" count="1" selected="0">
            <x v="14"/>
          </reference>
          <reference field="6" count="1" selected="0">
            <x v="1"/>
          </reference>
          <reference field="7" count="1">
            <x v="26"/>
          </reference>
        </references>
      </pivotArea>
    </format>
    <format dxfId="1870">
      <pivotArea dataOnly="0" labelOnly="1" fieldPosition="0">
        <references count="3">
          <reference field="4" count="1" selected="0">
            <x v="15"/>
          </reference>
          <reference field="6" count="1" selected="0">
            <x v="0"/>
          </reference>
          <reference field="7" count="1">
            <x v="20"/>
          </reference>
        </references>
      </pivotArea>
    </format>
    <format dxfId="1869">
      <pivotArea dataOnly="0" labelOnly="1" fieldPosition="0">
        <references count="3">
          <reference field="4" count="1" selected="0">
            <x v="16"/>
          </reference>
          <reference field="6" count="1" selected="0">
            <x v="1"/>
          </reference>
          <reference field="7" count="1">
            <x v="27"/>
          </reference>
        </references>
      </pivotArea>
    </format>
    <format dxfId="1868">
      <pivotArea dataOnly="0" labelOnly="1" fieldPosition="0">
        <references count="3">
          <reference field="4" count="1" selected="0">
            <x v="16"/>
          </reference>
          <reference field="6" count="1" selected="0">
            <x v="3"/>
          </reference>
          <reference field="7" count="1">
            <x v="1"/>
          </reference>
        </references>
      </pivotArea>
    </format>
    <format dxfId="1867">
      <pivotArea dataOnly="0" labelOnly="1" fieldPosition="0">
        <references count="3">
          <reference field="4" count="1" selected="0">
            <x v="16"/>
          </reference>
          <reference field="6" count="1" selected="0">
            <x v="4"/>
          </reference>
          <reference field="7" count="2">
            <x v="8"/>
            <x v="11"/>
          </reference>
        </references>
      </pivotArea>
    </format>
    <format dxfId="1866">
      <pivotArea dataOnly="0" labelOnly="1" fieldPosition="0">
        <references count="3">
          <reference field="4" count="1" selected="0">
            <x v="17"/>
          </reference>
          <reference field="6" count="1" selected="0">
            <x v="0"/>
          </reference>
          <reference field="7" count="2">
            <x v="16"/>
            <x v="22"/>
          </reference>
        </references>
      </pivotArea>
    </format>
    <format dxfId="1865">
      <pivotArea dataOnly="0" labelOnly="1" fieldPosition="0">
        <references count="3">
          <reference field="4" count="1" selected="0">
            <x v="18"/>
          </reference>
          <reference field="6" count="1" selected="0">
            <x v="3"/>
          </reference>
          <reference field="7" count="1">
            <x v="2"/>
          </reference>
        </references>
      </pivotArea>
    </format>
    <format dxfId="1864">
      <pivotArea dataOnly="0" labelOnly="1" fieldPosition="0">
        <references count="3">
          <reference field="4" count="1" selected="0">
            <x v="19"/>
          </reference>
          <reference field="6" count="1" selected="0">
            <x v="3"/>
          </reference>
          <reference field="7" count="1">
            <x v="6"/>
          </reference>
        </references>
      </pivotArea>
    </format>
    <format dxfId="1863">
      <pivotArea dataOnly="0" labelOnly="1" fieldPosition="0">
        <references count="3">
          <reference field="4" count="1" selected="0">
            <x v="20"/>
          </reference>
          <reference field="6" count="1" selected="0">
            <x v="1"/>
          </reference>
          <reference field="7" count="1">
            <x v="24"/>
          </reference>
        </references>
      </pivotArea>
    </format>
    <format dxfId="1862">
      <pivotArea dataOnly="0" labelOnly="1" fieldPosition="0">
        <references count="4">
          <reference field="4" count="1" selected="0">
            <x v="0"/>
          </reference>
          <reference field="6" count="1" selected="0">
            <x v="0"/>
          </reference>
          <reference field="7" count="1" selected="0">
            <x v="17"/>
          </reference>
          <reference field="8" count="5">
            <x v="65"/>
            <x v="66"/>
            <x v="67"/>
            <x v="68"/>
            <x v="69"/>
          </reference>
        </references>
      </pivotArea>
    </format>
    <format dxfId="1861">
      <pivotArea dataOnly="0" labelOnly="1" fieldPosition="0">
        <references count="4">
          <reference field="4" count="1" selected="0">
            <x v="0"/>
          </reference>
          <reference field="6" count="1" selected="0">
            <x v="0"/>
          </reference>
          <reference field="7" count="1" selected="0">
            <x v="19"/>
          </reference>
          <reference field="8" count="3">
            <x v="78"/>
            <x v="79"/>
            <x v="80"/>
          </reference>
        </references>
      </pivotArea>
    </format>
    <format dxfId="1860">
      <pivotArea dataOnly="0" labelOnly="1" fieldPosition="0">
        <references count="4">
          <reference field="4" count="1" selected="0">
            <x v="0"/>
          </reference>
          <reference field="6" count="1" selected="0">
            <x v="1"/>
          </reference>
          <reference field="7" count="1" selected="0">
            <x v="23"/>
          </reference>
          <reference field="8" count="10">
            <x v="95"/>
            <x v="96"/>
            <x v="97"/>
            <x v="98"/>
            <x v="99"/>
            <x v="100"/>
            <x v="101"/>
            <x v="102"/>
            <x v="103"/>
            <x v="104"/>
          </reference>
        </references>
      </pivotArea>
    </format>
    <format dxfId="1859">
      <pivotArea dataOnly="0" labelOnly="1" fieldPosition="0">
        <references count="4">
          <reference field="4" count="1" selected="0">
            <x v="0"/>
          </reference>
          <reference field="6" count="1" selected="0">
            <x v="1"/>
          </reference>
          <reference field="7" count="1" selected="0">
            <x v="26"/>
          </reference>
          <reference field="8" count="1">
            <x v="131"/>
          </reference>
        </references>
      </pivotArea>
    </format>
    <format dxfId="1858">
      <pivotArea dataOnly="0" labelOnly="1" fieldPosition="0">
        <references count="4">
          <reference field="4" count="1" selected="0">
            <x v="1"/>
          </reference>
          <reference field="6" count="1" selected="0">
            <x v="0"/>
          </reference>
          <reference field="7" count="1" selected="0">
            <x v="19"/>
          </reference>
          <reference field="8" count="1">
            <x v="81"/>
          </reference>
        </references>
      </pivotArea>
    </format>
    <format dxfId="1857">
      <pivotArea dataOnly="0" labelOnly="1" fieldPosition="0">
        <references count="4">
          <reference field="4" count="1" selected="0">
            <x v="1"/>
          </reference>
          <reference field="6" count="1" selected="0">
            <x v="3"/>
          </reference>
          <reference field="7" count="1" selected="0">
            <x v="2"/>
          </reference>
          <reference field="8" count="7">
            <x v="7"/>
            <x v="10"/>
            <x v="11"/>
            <x v="12"/>
            <x v="13"/>
            <x v="14"/>
            <x v="15"/>
          </reference>
        </references>
      </pivotArea>
    </format>
    <format dxfId="1856">
      <pivotArea dataOnly="0" labelOnly="1" fieldPosition="0">
        <references count="4">
          <reference field="4" count="1" selected="0">
            <x v="1"/>
          </reference>
          <reference field="6" count="1" selected="0">
            <x v="3"/>
          </reference>
          <reference field="7" count="1" selected="0">
            <x v="3"/>
          </reference>
          <reference field="8" count="2">
            <x v="18"/>
            <x v="19"/>
          </reference>
        </references>
      </pivotArea>
    </format>
    <format dxfId="1855">
      <pivotArea dataOnly="0" labelOnly="1" fieldPosition="0">
        <references count="4">
          <reference field="4" count="1" selected="0">
            <x v="1"/>
          </reference>
          <reference field="6" count="1" selected="0">
            <x v="3"/>
          </reference>
          <reference field="7" count="1" selected="0">
            <x v="4"/>
          </reference>
          <reference field="8" count="2">
            <x v="20"/>
            <x v="21"/>
          </reference>
        </references>
      </pivotArea>
    </format>
    <format dxfId="1854">
      <pivotArea dataOnly="0" labelOnly="1" fieldPosition="0">
        <references count="4">
          <reference field="4" count="1" selected="0">
            <x v="1"/>
          </reference>
          <reference field="6" count="1" selected="0">
            <x v="4"/>
          </reference>
          <reference field="7" count="1" selected="0">
            <x v="8"/>
          </reference>
          <reference field="8" count="3">
            <x v="33"/>
            <x v="34"/>
            <x v="39"/>
          </reference>
        </references>
      </pivotArea>
    </format>
    <format dxfId="1853">
      <pivotArea dataOnly="0" labelOnly="1" fieldPosition="0">
        <references count="4">
          <reference field="4" count="1" selected="0">
            <x v="2"/>
          </reference>
          <reference field="6" count="1" selected="0">
            <x v="2"/>
          </reference>
          <reference field="7" count="1" selected="0">
            <x v="29"/>
          </reference>
          <reference field="8" count="6">
            <x v="145"/>
            <x v="146"/>
            <x v="147"/>
            <x v="148"/>
            <x v="149"/>
            <x v="150"/>
          </reference>
        </references>
      </pivotArea>
    </format>
    <format dxfId="1852">
      <pivotArea dataOnly="0" labelOnly="1" fieldPosition="0">
        <references count="4">
          <reference field="4" count="1" selected="0">
            <x v="2"/>
          </reference>
          <reference field="6" count="1" selected="0">
            <x v="2"/>
          </reference>
          <reference field="7" count="1" selected="0">
            <x v="30"/>
          </reference>
          <reference field="8" count="2">
            <x v="152"/>
            <x v="153"/>
          </reference>
        </references>
      </pivotArea>
    </format>
    <format dxfId="1851">
      <pivotArea dataOnly="0" labelOnly="1" fieldPosition="0">
        <references count="4">
          <reference field="4" count="1" selected="0">
            <x v="2"/>
          </reference>
          <reference field="6" count="1" selected="0">
            <x v="3"/>
          </reference>
          <reference field="7" count="1" selected="0">
            <x v="5"/>
          </reference>
          <reference field="8" count="1">
            <x v="24"/>
          </reference>
        </references>
      </pivotArea>
    </format>
    <format dxfId="1850">
      <pivotArea dataOnly="0" labelOnly="1" fieldPosition="0">
        <references count="4">
          <reference field="4" count="1" selected="0">
            <x v="2"/>
          </reference>
          <reference field="6" count="1" selected="0">
            <x v="3"/>
          </reference>
          <reference field="7" count="1" selected="0">
            <x v="7"/>
          </reference>
          <reference field="8" count="2">
            <x v="31"/>
            <x v="32"/>
          </reference>
        </references>
      </pivotArea>
    </format>
    <format dxfId="1849">
      <pivotArea dataOnly="0" labelOnly="1" fieldPosition="0">
        <references count="4">
          <reference field="4" count="1" selected="0">
            <x v="2"/>
          </reference>
          <reference field="6" count="1" selected="0">
            <x v="4"/>
          </reference>
          <reference field="7" count="1" selected="0">
            <x v="8"/>
          </reference>
          <reference field="8" count="2">
            <x v="36"/>
            <x v="39"/>
          </reference>
        </references>
      </pivotArea>
    </format>
    <format dxfId="1848">
      <pivotArea dataOnly="0" labelOnly="1" fieldPosition="0">
        <references count="4">
          <reference field="4" count="1" selected="0">
            <x v="3"/>
          </reference>
          <reference field="6" count="1" selected="0">
            <x v="3"/>
          </reference>
          <reference field="7" count="1" selected="0">
            <x v="6"/>
          </reference>
          <reference field="8" count="1">
            <x v="29"/>
          </reference>
        </references>
      </pivotArea>
    </format>
    <format dxfId="1847">
      <pivotArea dataOnly="0" labelOnly="1" fieldPosition="0">
        <references count="4">
          <reference field="4" count="1" selected="0">
            <x v="4"/>
          </reference>
          <reference field="6" count="1" selected="0">
            <x v="0"/>
          </reference>
          <reference field="7" count="1" selected="0">
            <x v="21"/>
          </reference>
          <reference field="8" count="5">
            <x v="87"/>
            <x v="88"/>
            <x v="89"/>
            <x v="90"/>
            <x v="91"/>
          </reference>
        </references>
      </pivotArea>
    </format>
    <format dxfId="1846">
      <pivotArea dataOnly="0" labelOnly="1" fieldPosition="0">
        <references count="4">
          <reference field="4" count="1" selected="0">
            <x v="4"/>
          </reference>
          <reference field="6" count="1" selected="0">
            <x v="1"/>
          </reference>
          <reference field="7" count="1" selected="0">
            <x v="24"/>
          </reference>
          <reference field="8" count="1">
            <x v="114"/>
          </reference>
        </references>
      </pivotArea>
    </format>
    <format dxfId="1845">
      <pivotArea dataOnly="0" labelOnly="1" fieldPosition="0">
        <references count="4">
          <reference field="4" count="1" selected="0">
            <x v="4"/>
          </reference>
          <reference field="6" count="1" selected="0">
            <x v="2"/>
          </reference>
          <reference field="7" count="1" selected="0">
            <x v="29"/>
          </reference>
          <reference field="8" count="3">
            <x v="142"/>
            <x v="143"/>
            <x v="151"/>
          </reference>
        </references>
      </pivotArea>
    </format>
    <format dxfId="1844">
      <pivotArea dataOnly="0" labelOnly="1" fieldPosition="0">
        <references count="4">
          <reference field="4" count="1" selected="0">
            <x v="4"/>
          </reference>
          <reference field="6" count="1" selected="0">
            <x v="2"/>
          </reference>
          <reference field="7" count="1" selected="0">
            <x v="31"/>
          </reference>
          <reference field="8" count="3">
            <x v="155"/>
            <x v="156"/>
            <x v="157"/>
          </reference>
        </references>
      </pivotArea>
    </format>
    <format dxfId="1843">
      <pivotArea dataOnly="0" labelOnly="1" fieldPosition="0">
        <references count="4">
          <reference field="4" count="1" selected="0">
            <x v="4"/>
          </reference>
          <reference field="6" count="1" selected="0">
            <x v="3"/>
          </reference>
          <reference field="7" count="1" selected="0">
            <x v="0"/>
          </reference>
          <reference field="8" count="2">
            <x v="0"/>
            <x v="1"/>
          </reference>
        </references>
      </pivotArea>
    </format>
    <format dxfId="1842">
      <pivotArea dataOnly="0" labelOnly="1" fieldPosition="0">
        <references count="4">
          <reference field="4" count="1" selected="0">
            <x v="4"/>
          </reference>
          <reference field="6" count="1" selected="0">
            <x v="3"/>
          </reference>
          <reference field="7" count="1" selected="0">
            <x v="1"/>
          </reference>
          <reference field="8" count="4">
            <x v="2"/>
            <x v="3"/>
            <x v="4"/>
            <x v="5"/>
          </reference>
        </references>
      </pivotArea>
    </format>
    <format dxfId="1841">
      <pivotArea dataOnly="0" labelOnly="1" fieldPosition="0">
        <references count="4">
          <reference field="4" count="1" selected="0">
            <x v="5"/>
          </reference>
          <reference field="6" count="1" selected="0">
            <x v="0"/>
          </reference>
          <reference field="7" count="1" selected="0">
            <x v="18"/>
          </reference>
          <reference field="8" count="3">
            <x v="73"/>
            <x v="74"/>
            <x v="77"/>
          </reference>
        </references>
      </pivotArea>
    </format>
    <format dxfId="1840">
      <pivotArea dataOnly="0" labelOnly="1" fieldPosition="0">
        <references count="4">
          <reference field="4" count="1" selected="0">
            <x v="5"/>
          </reference>
          <reference field="6" count="1" selected="0">
            <x v="0"/>
          </reference>
          <reference field="7" count="1" selected="0">
            <x v="22"/>
          </reference>
          <reference field="8" count="1">
            <x v="94"/>
          </reference>
        </references>
      </pivotArea>
    </format>
    <format dxfId="1839">
      <pivotArea dataOnly="0" labelOnly="1" fieldPosition="0">
        <references count="4">
          <reference field="4" count="1" selected="0">
            <x v="5"/>
          </reference>
          <reference field="6" count="1" selected="0">
            <x v="4"/>
          </reference>
          <reference field="7" count="1" selected="0">
            <x v="8"/>
          </reference>
          <reference field="8" count="1">
            <x v="37"/>
          </reference>
        </references>
      </pivotArea>
    </format>
    <format dxfId="1838">
      <pivotArea dataOnly="0" labelOnly="1" fieldPosition="0">
        <references count="4">
          <reference field="4" count="1" selected="0">
            <x v="6"/>
          </reference>
          <reference field="6" count="1" selected="0">
            <x v="1"/>
          </reference>
          <reference field="7" count="1" selected="0">
            <x v="24"/>
          </reference>
          <reference field="8" count="8">
            <x v="105"/>
            <x v="107"/>
            <x v="108"/>
            <x v="109"/>
            <x v="110"/>
            <x v="111"/>
            <x v="112"/>
            <x v="113"/>
          </reference>
        </references>
      </pivotArea>
    </format>
    <format dxfId="1837">
      <pivotArea dataOnly="0" labelOnly="1" fieldPosition="0">
        <references count="4">
          <reference field="4" count="1" selected="0">
            <x v="7"/>
          </reference>
          <reference field="6" count="1" selected="0">
            <x v="0"/>
          </reference>
          <reference field="7" count="1" selected="0">
            <x v="16"/>
          </reference>
          <reference field="8" count="1">
            <x v="64"/>
          </reference>
        </references>
      </pivotArea>
    </format>
    <format dxfId="1836">
      <pivotArea dataOnly="0" labelOnly="1" fieldPosition="0">
        <references count="4">
          <reference field="4" count="1" selected="0">
            <x v="7"/>
          </reference>
          <reference field="6" count="1" selected="0">
            <x v="2"/>
          </reference>
          <reference field="7" count="1" selected="0">
            <x v="29"/>
          </reference>
          <reference field="8" count="4">
            <x v="140"/>
            <x v="141"/>
            <x v="144"/>
            <x v="145"/>
          </reference>
        </references>
      </pivotArea>
    </format>
    <format dxfId="1835">
      <pivotArea dataOnly="0" labelOnly="1" fieldPosition="0">
        <references count="4">
          <reference field="4" count="1" selected="0">
            <x v="7"/>
          </reference>
          <reference field="6" count="1" selected="0">
            <x v="2"/>
          </reference>
          <reference field="7" count="1" selected="0">
            <x v="30"/>
          </reference>
          <reference field="8" count="1">
            <x v="154"/>
          </reference>
        </references>
      </pivotArea>
    </format>
    <format dxfId="1834">
      <pivotArea dataOnly="0" labelOnly="1" fieldPosition="0">
        <references count="4">
          <reference field="4" count="1" selected="0">
            <x v="7"/>
          </reference>
          <reference field="6" count="1" selected="0">
            <x v="3"/>
          </reference>
          <reference field="7" count="1" selected="0">
            <x v="6"/>
          </reference>
          <reference field="8" count="1">
            <x v="28"/>
          </reference>
        </references>
      </pivotArea>
    </format>
    <format dxfId="1833">
      <pivotArea dataOnly="0" labelOnly="1" fieldPosition="0">
        <references count="4">
          <reference field="4" count="1" selected="0">
            <x v="7"/>
          </reference>
          <reference field="6" count="1" selected="0">
            <x v="4"/>
          </reference>
          <reference field="7" count="1" selected="0">
            <x v="8"/>
          </reference>
          <reference field="8" count="2">
            <x v="35"/>
            <x v="36"/>
          </reference>
        </references>
      </pivotArea>
    </format>
    <format dxfId="1832">
      <pivotArea dataOnly="0" labelOnly="1" fieldPosition="0">
        <references count="4">
          <reference field="4" count="1" selected="0">
            <x v="7"/>
          </reference>
          <reference field="6" count="1" selected="0">
            <x v="4"/>
          </reference>
          <reference field="7" count="1" selected="0">
            <x v="9"/>
          </reference>
          <reference field="8" count="4">
            <x v="40"/>
            <x v="41"/>
            <x v="42"/>
            <x v="43"/>
          </reference>
        </references>
      </pivotArea>
    </format>
    <format dxfId="1831">
      <pivotArea dataOnly="0" labelOnly="1" fieldPosition="0">
        <references count="4">
          <reference field="4" count="1" selected="0">
            <x v="7"/>
          </reference>
          <reference field="6" count="1" selected="0">
            <x v="4"/>
          </reference>
          <reference field="7" count="1" selected="0">
            <x v="10"/>
          </reference>
          <reference field="8" count="4">
            <x v="44"/>
            <x v="45"/>
            <x v="46"/>
            <x v="47"/>
          </reference>
        </references>
      </pivotArea>
    </format>
    <format dxfId="1830">
      <pivotArea dataOnly="0" labelOnly="1" fieldPosition="0">
        <references count="4">
          <reference field="4" count="1" selected="0">
            <x v="7"/>
          </reference>
          <reference field="6" count="1" selected="0">
            <x v="4"/>
          </reference>
          <reference field="7" count="1" selected="0">
            <x v="11"/>
          </reference>
          <reference field="8" count="2">
            <x v="48"/>
            <x v="49"/>
          </reference>
        </references>
      </pivotArea>
    </format>
    <format dxfId="1829">
      <pivotArea dataOnly="0" labelOnly="1" fieldPosition="0">
        <references count="4">
          <reference field="4" count="1" selected="0">
            <x v="7"/>
          </reference>
          <reference field="6" count="1" selected="0">
            <x v="4"/>
          </reference>
          <reference field="7" count="1" selected="0">
            <x v="12"/>
          </reference>
          <reference field="8" count="1">
            <x v="50"/>
          </reference>
        </references>
      </pivotArea>
    </format>
    <format dxfId="1828">
      <pivotArea dataOnly="0" labelOnly="1" fieldPosition="0">
        <references count="4">
          <reference field="4" count="1" selected="0">
            <x v="7"/>
          </reference>
          <reference field="6" count="1" selected="0">
            <x v="4"/>
          </reference>
          <reference field="7" count="1" selected="0">
            <x v="13"/>
          </reference>
          <reference field="8" count="3">
            <x v="51"/>
            <x v="52"/>
            <x v="53"/>
          </reference>
        </references>
      </pivotArea>
    </format>
    <format dxfId="1827">
      <pivotArea dataOnly="0" labelOnly="1" fieldPosition="0">
        <references count="4">
          <reference field="4" count="1" selected="0">
            <x v="7"/>
          </reference>
          <reference field="6" count="1" selected="0">
            <x v="4"/>
          </reference>
          <reference field="7" count="1" selected="0">
            <x v="14"/>
          </reference>
          <reference field="8" count="2">
            <x v="54"/>
            <x v="55"/>
          </reference>
        </references>
      </pivotArea>
    </format>
    <format dxfId="1826">
      <pivotArea dataOnly="0" labelOnly="1" fieldPosition="0">
        <references count="4">
          <reference field="4" count="1" selected="0">
            <x v="7"/>
          </reference>
          <reference field="6" count="1" selected="0">
            <x v="4"/>
          </reference>
          <reference field="7" count="1" selected="0">
            <x v="15"/>
          </reference>
          <reference field="8" count="1">
            <x v="56"/>
          </reference>
        </references>
      </pivotArea>
    </format>
    <format dxfId="1825">
      <pivotArea dataOnly="0" labelOnly="1" fieldPosition="0">
        <references count="4">
          <reference field="4" count="1" selected="0">
            <x v="8"/>
          </reference>
          <reference field="6" count="1" selected="0">
            <x v="0"/>
          </reference>
          <reference field="7" count="1" selected="0">
            <x v="18"/>
          </reference>
          <reference field="8" count="1">
            <x v="77"/>
          </reference>
        </references>
      </pivotArea>
    </format>
    <format dxfId="1824">
      <pivotArea dataOnly="0" labelOnly="1" fieldPosition="0">
        <references count="4">
          <reference field="4" count="1" selected="0">
            <x v="8"/>
          </reference>
          <reference field="6" count="1" selected="0">
            <x v="0"/>
          </reference>
          <reference field="7" count="1" selected="0">
            <x v="22"/>
          </reference>
          <reference field="8" count="3">
            <x v="92"/>
            <x v="93"/>
            <x v="94"/>
          </reference>
        </references>
      </pivotArea>
    </format>
    <format dxfId="1823">
      <pivotArea dataOnly="0" labelOnly="1" fieldPosition="0">
        <references count="4">
          <reference field="4" count="1" selected="0">
            <x v="8"/>
          </reference>
          <reference field="6" count="1" selected="0">
            <x v="1"/>
          </reference>
          <reference field="7" count="1" selected="0">
            <x v="28"/>
          </reference>
          <reference field="8" count="2">
            <x v="138"/>
            <x v="139"/>
          </reference>
        </references>
      </pivotArea>
    </format>
    <format dxfId="1822">
      <pivotArea dataOnly="0" labelOnly="1" fieldPosition="0">
        <references count="4">
          <reference field="4" count="1" selected="0">
            <x v="8"/>
          </reference>
          <reference field="6" count="1" selected="0">
            <x v="2"/>
          </reference>
          <reference field="7" count="1" selected="0">
            <x v="32"/>
          </reference>
          <reference field="8" count="2">
            <x v="158"/>
            <x v="159"/>
          </reference>
        </references>
      </pivotArea>
    </format>
    <format dxfId="1821">
      <pivotArea dataOnly="0" labelOnly="1" fieldPosition="0">
        <references count="4">
          <reference field="4" count="1" selected="0">
            <x v="8"/>
          </reference>
          <reference field="6" count="1" selected="0">
            <x v="3"/>
          </reference>
          <reference field="7" count="1" selected="0">
            <x v="6"/>
          </reference>
          <reference field="8" count="2">
            <x v="29"/>
            <x v="30"/>
          </reference>
        </references>
      </pivotArea>
    </format>
    <format dxfId="1820">
      <pivotArea dataOnly="0" labelOnly="1" fieldPosition="0">
        <references count="4">
          <reference field="4" count="1" selected="0">
            <x v="9"/>
          </reference>
          <reference field="6" count="1" selected="0">
            <x v="1"/>
          </reference>
          <reference field="7" count="1" selected="0">
            <x v="25"/>
          </reference>
          <reference field="8" count="10">
            <x v="115"/>
            <x v="116"/>
            <x v="117"/>
            <x v="118"/>
            <x v="119"/>
            <x v="120"/>
            <x v="121"/>
            <x v="122"/>
            <x v="123"/>
            <x v="124"/>
          </reference>
        </references>
      </pivotArea>
    </format>
    <format dxfId="1819">
      <pivotArea dataOnly="0" labelOnly="1" fieldPosition="0">
        <references count="4">
          <reference field="4" count="1" selected="0">
            <x v="10"/>
          </reference>
          <reference field="6" count="1" selected="0">
            <x v="3"/>
          </reference>
          <reference field="7" count="1" selected="0">
            <x v="6"/>
          </reference>
          <reference field="8" count="1">
            <x v="29"/>
          </reference>
        </references>
      </pivotArea>
    </format>
    <format dxfId="1818">
      <pivotArea dataOnly="0" labelOnly="1" fieldPosition="0">
        <references count="4">
          <reference field="4" count="1" selected="0">
            <x v="11"/>
          </reference>
          <reference field="6" count="1" selected="0">
            <x v="0"/>
          </reference>
          <reference field="7" count="1" selected="0">
            <x v="17"/>
          </reference>
          <reference field="8" count="3">
            <x v="70"/>
            <x v="71"/>
            <x v="72"/>
          </reference>
        </references>
      </pivotArea>
    </format>
    <format dxfId="1817">
      <pivotArea dataOnly="0" labelOnly="1" fieldPosition="0">
        <references count="4">
          <reference field="4" count="1" selected="0">
            <x v="12"/>
          </reference>
          <reference field="6" count="1" selected="0">
            <x v="0"/>
          </reference>
          <reference field="7" count="1" selected="0">
            <x v="18"/>
          </reference>
          <reference field="8" count="3">
            <x v="74"/>
            <x v="75"/>
            <x v="76"/>
          </reference>
        </references>
      </pivotArea>
    </format>
    <format dxfId="1816">
      <pivotArea dataOnly="0" labelOnly="1" fieldPosition="0">
        <references count="4">
          <reference field="4" count="1" selected="0">
            <x v="13"/>
          </reference>
          <reference field="6" count="1" selected="0">
            <x v="3"/>
          </reference>
          <reference field="7" count="1" selected="0">
            <x v="1"/>
          </reference>
          <reference field="8" count="1">
            <x v="6"/>
          </reference>
        </references>
      </pivotArea>
    </format>
    <format dxfId="1815">
      <pivotArea dataOnly="0" labelOnly="1" fieldPosition="0">
        <references count="4">
          <reference field="4" count="1" selected="0">
            <x v="13"/>
          </reference>
          <reference field="6" count="1" selected="0">
            <x v="3"/>
          </reference>
          <reference field="7" count="1" selected="0">
            <x v="5"/>
          </reference>
          <reference field="8" count="6">
            <x v="22"/>
            <x v="23"/>
            <x v="24"/>
            <x v="25"/>
            <x v="26"/>
            <x v="27"/>
          </reference>
        </references>
      </pivotArea>
    </format>
    <format dxfId="1814">
      <pivotArea dataOnly="0" labelOnly="1" fieldPosition="0">
        <references count="4">
          <reference field="4" count="1" selected="0">
            <x v="14"/>
          </reference>
          <reference field="6" count="1" selected="0">
            <x v="1"/>
          </reference>
          <reference field="7" count="1" selected="0">
            <x v="26"/>
          </reference>
          <reference field="8" count="7">
            <x v="125"/>
            <x v="126"/>
            <x v="127"/>
            <x v="128"/>
            <x v="129"/>
            <x v="130"/>
            <x v="131"/>
          </reference>
        </references>
      </pivotArea>
    </format>
    <format dxfId="1813">
      <pivotArea dataOnly="0" labelOnly="1" fieldPosition="0">
        <references count="4">
          <reference field="4" count="1" selected="0">
            <x v="15"/>
          </reference>
          <reference field="6" count="1" selected="0">
            <x v="0"/>
          </reference>
          <reference field="7" count="1" selected="0">
            <x v="20"/>
          </reference>
          <reference field="8" count="5">
            <x v="82"/>
            <x v="83"/>
            <x v="84"/>
            <x v="85"/>
            <x v="86"/>
          </reference>
        </references>
      </pivotArea>
    </format>
    <format dxfId="1812">
      <pivotArea dataOnly="0" labelOnly="1" fieldPosition="0">
        <references count="4">
          <reference field="4" count="1" selected="0">
            <x v="16"/>
          </reference>
          <reference field="6" count="1" selected="0">
            <x v="1"/>
          </reference>
          <reference field="7" count="1" selected="0">
            <x v="27"/>
          </reference>
          <reference field="8" count="6">
            <x v="132"/>
            <x v="133"/>
            <x v="134"/>
            <x v="135"/>
            <x v="136"/>
            <x v="137"/>
          </reference>
        </references>
      </pivotArea>
    </format>
    <format dxfId="1811">
      <pivotArea dataOnly="0" labelOnly="1" fieldPosition="0">
        <references count="4">
          <reference field="4" count="1" selected="0">
            <x v="16"/>
          </reference>
          <reference field="6" count="1" selected="0">
            <x v="3"/>
          </reference>
          <reference field="7" count="1" selected="0">
            <x v="1"/>
          </reference>
          <reference field="8" count="1">
            <x v="6"/>
          </reference>
        </references>
      </pivotArea>
    </format>
    <format dxfId="1810">
      <pivotArea dataOnly="0" labelOnly="1" fieldPosition="0">
        <references count="4">
          <reference field="4" count="1" selected="0">
            <x v="16"/>
          </reference>
          <reference field="6" count="1" selected="0">
            <x v="4"/>
          </reference>
          <reference field="7" count="1" selected="0">
            <x v="8"/>
          </reference>
          <reference field="8" count="1">
            <x v="38"/>
          </reference>
        </references>
      </pivotArea>
    </format>
    <format dxfId="1809">
      <pivotArea dataOnly="0" labelOnly="1" fieldPosition="0">
        <references count="4">
          <reference field="4" count="1" selected="0">
            <x v="16"/>
          </reference>
          <reference field="6" count="1" selected="0">
            <x v="4"/>
          </reference>
          <reference field="7" count="1" selected="0">
            <x v="11"/>
          </reference>
          <reference field="8" count="1">
            <x v="48"/>
          </reference>
        </references>
      </pivotArea>
    </format>
    <format dxfId="1808">
      <pivotArea dataOnly="0" labelOnly="1" fieldPosition="0">
        <references count="4">
          <reference field="4" count="1" selected="0">
            <x v="17"/>
          </reference>
          <reference field="6" count="1" selected="0">
            <x v="0"/>
          </reference>
          <reference field="7" count="1" selected="0">
            <x v="16"/>
          </reference>
          <reference field="8" count="7">
            <x v="57"/>
            <x v="58"/>
            <x v="59"/>
            <x v="60"/>
            <x v="61"/>
            <x v="62"/>
            <x v="63"/>
          </reference>
        </references>
      </pivotArea>
    </format>
    <format dxfId="1807">
      <pivotArea dataOnly="0" labelOnly="1" fieldPosition="0">
        <references count="4">
          <reference field="4" count="1" selected="0">
            <x v="17"/>
          </reference>
          <reference field="6" count="1" selected="0">
            <x v="0"/>
          </reference>
          <reference field="7" count="1" selected="0">
            <x v="22"/>
          </reference>
          <reference field="8" count="1">
            <x v="94"/>
          </reference>
        </references>
      </pivotArea>
    </format>
    <format dxfId="1806">
      <pivotArea dataOnly="0" labelOnly="1" fieldPosition="0">
        <references count="4">
          <reference field="4" count="1" selected="0">
            <x v="18"/>
          </reference>
          <reference field="6" count="1" selected="0">
            <x v="3"/>
          </reference>
          <reference field="7" count="1" selected="0">
            <x v="2"/>
          </reference>
          <reference field="8" count="4">
            <x v="8"/>
            <x v="9"/>
            <x v="16"/>
            <x v="17"/>
          </reference>
        </references>
      </pivotArea>
    </format>
    <format dxfId="1805">
      <pivotArea dataOnly="0" labelOnly="1" fieldPosition="0">
        <references count="4">
          <reference field="4" count="1" selected="0">
            <x v="19"/>
          </reference>
          <reference field="6" count="1" selected="0">
            <x v="3"/>
          </reference>
          <reference field="7" count="1" selected="0">
            <x v="6"/>
          </reference>
          <reference field="8" count="1">
            <x v="29"/>
          </reference>
        </references>
      </pivotArea>
    </format>
    <format dxfId="1804">
      <pivotArea dataOnly="0" labelOnly="1" fieldPosition="0">
        <references count="4">
          <reference field="4" count="1" selected="0">
            <x v="20"/>
          </reference>
          <reference field="6" count="1" selected="0">
            <x v="1"/>
          </reference>
          <reference field="7" count="1" selected="0">
            <x v="24"/>
          </reference>
          <reference field="8" count="1">
            <x v="106"/>
          </reference>
        </references>
      </pivotArea>
    </format>
    <format dxfId="1803">
      <pivotArea dataOnly="0" labelOnly="1" fieldPosition="0">
        <references count="5">
          <reference field="4" count="1" selected="0">
            <x v="0"/>
          </reference>
          <reference field="6" count="1" selected="0">
            <x v="0"/>
          </reference>
          <reference field="7" count="1" selected="0">
            <x v="17"/>
          </reference>
          <reference field="8" count="1" selected="0">
            <x v="65"/>
          </reference>
          <reference field="15" count="1">
            <x v="108"/>
          </reference>
        </references>
      </pivotArea>
    </format>
    <format dxfId="1802">
      <pivotArea dataOnly="0" labelOnly="1" fieldPosition="0">
        <references count="5">
          <reference field="4" count="1" selected="0">
            <x v="0"/>
          </reference>
          <reference field="6" count="1" selected="0">
            <x v="0"/>
          </reference>
          <reference field="7" count="1" selected="0">
            <x v="17"/>
          </reference>
          <reference field="8" count="1" selected="0">
            <x v="66"/>
          </reference>
          <reference field="15" count="2">
            <x v="365"/>
            <x v="366"/>
          </reference>
        </references>
      </pivotArea>
    </format>
    <format dxfId="1801">
      <pivotArea dataOnly="0" labelOnly="1" fieldPosition="0">
        <references count="5">
          <reference field="4" count="1" selected="0">
            <x v="0"/>
          </reference>
          <reference field="6" count="1" selected="0">
            <x v="0"/>
          </reference>
          <reference field="7" count="1" selected="0">
            <x v="17"/>
          </reference>
          <reference field="8" count="1" selected="0">
            <x v="67"/>
          </reference>
          <reference field="15" count="2">
            <x v="364"/>
            <x v="370"/>
          </reference>
        </references>
      </pivotArea>
    </format>
    <format dxfId="1800">
      <pivotArea dataOnly="0" labelOnly="1" fieldPosition="0">
        <references count="5">
          <reference field="4" count="1" selected="0">
            <x v="0"/>
          </reference>
          <reference field="6" count="1" selected="0">
            <x v="0"/>
          </reference>
          <reference field="7" count="1" selected="0">
            <x v="17"/>
          </reference>
          <reference field="8" count="1" selected="0">
            <x v="68"/>
          </reference>
          <reference field="15" count="1">
            <x v="79"/>
          </reference>
        </references>
      </pivotArea>
    </format>
    <format dxfId="1799">
      <pivotArea dataOnly="0" labelOnly="1" fieldPosition="0">
        <references count="5">
          <reference field="4" count="1" selected="0">
            <x v="0"/>
          </reference>
          <reference field="6" count="1" selected="0">
            <x v="0"/>
          </reference>
          <reference field="7" count="1" selected="0">
            <x v="17"/>
          </reference>
          <reference field="8" count="1" selected="0">
            <x v="69"/>
          </reference>
          <reference field="15" count="1">
            <x v="42"/>
          </reference>
        </references>
      </pivotArea>
    </format>
    <format dxfId="1798">
      <pivotArea dataOnly="0" labelOnly="1" fieldPosition="0">
        <references count="5">
          <reference field="4" count="1" selected="0">
            <x v="0"/>
          </reference>
          <reference field="6" count="1" selected="0">
            <x v="0"/>
          </reference>
          <reference field="7" count="1" selected="0">
            <x v="19"/>
          </reference>
          <reference field="8" count="1" selected="0">
            <x v="78"/>
          </reference>
          <reference field="15" count="1">
            <x v="236"/>
          </reference>
        </references>
      </pivotArea>
    </format>
    <format dxfId="1797">
      <pivotArea dataOnly="0" labelOnly="1" fieldPosition="0">
        <references count="5">
          <reference field="4" count="1" selected="0">
            <x v="0"/>
          </reference>
          <reference field="6" count="1" selected="0">
            <x v="0"/>
          </reference>
          <reference field="7" count="1" selected="0">
            <x v="19"/>
          </reference>
          <reference field="8" count="1" selected="0">
            <x v="79"/>
          </reference>
          <reference field="15" count="1">
            <x v="12"/>
          </reference>
        </references>
      </pivotArea>
    </format>
    <format dxfId="1796">
      <pivotArea dataOnly="0" labelOnly="1" fieldPosition="0">
        <references count="5">
          <reference field="4" count="1" selected="0">
            <x v="0"/>
          </reference>
          <reference field="6" count="1" selected="0">
            <x v="0"/>
          </reference>
          <reference field="7" count="1" selected="0">
            <x v="19"/>
          </reference>
          <reference field="8" count="1" selected="0">
            <x v="80"/>
          </reference>
          <reference field="15" count="2">
            <x v="10"/>
            <x v="11"/>
          </reference>
        </references>
      </pivotArea>
    </format>
    <format dxfId="1795">
      <pivotArea dataOnly="0" labelOnly="1" fieldPosition="0">
        <references count="5">
          <reference field="4" count="1" selected="0">
            <x v="0"/>
          </reference>
          <reference field="6" count="1" selected="0">
            <x v="1"/>
          </reference>
          <reference field="7" count="1" selected="0">
            <x v="23"/>
          </reference>
          <reference field="8" count="1" selected="0">
            <x v="95"/>
          </reference>
          <reference field="15" count="1">
            <x v="250"/>
          </reference>
        </references>
      </pivotArea>
    </format>
    <format dxfId="1794">
      <pivotArea dataOnly="0" labelOnly="1" fieldPosition="0">
        <references count="5">
          <reference field="4" count="1" selected="0">
            <x v="0"/>
          </reference>
          <reference field="6" count="1" selected="0">
            <x v="1"/>
          </reference>
          <reference field="7" count="1" selected="0">
            <x v="23"/>
          </reference>
          <reference field="8" count="1" selected="0">
            <x v="96"/>
          </reference>
          <reference field="15" count="2">
            <x v="251"/>
            <x v="358"/>
          </reference>
        </references>
      </pivotArea>
    </format>
    <format dxfId="1793">
      <pivotArea dataOnly="0" labelOnly="1" fieldPosition="0">
        <references count="5">
          <reference field="4" count="1" selected="0">
            <x v="0"/>
          </reference>
          <reference field="6" count="1" selected="0">
            <x v="1"/>
          </reference>
          <reference field="7" count="1" selected="0">
            <x v="23"/>
          </reference>
          <reference field="8" count="1" selected="0">
            <x v="97"/>
          </reference>
          <reference field="15" count="1">
            <x v="257"/>
          </reference>
        </references>
      </pivotArea>
    </format>
    <format dxfId="1792">
      <pivotArea dataOnly="0" labelOnly="1" fieldPosition="0">
        <references count="5">
          <reference field="4" count="1" selected="0">
            <x v="0"/>
          </reference>
          <reference field="6" count="1" selected="0">
            <x v="1"/>
          </reference>
          <reference field="7" count="1" selected="0">
            <x v="23"/>
          </reference>
          <reference field="8" count="1" selected="0">
            <x v="98"/>
          </reference>
          <reference field="15" count="1">
            <x v="43"/>
          </reference>
        </references>
      </pivotArea>
    </format>
    <format dxfId="1791">
      <pivotArea dataOnly="0" labelOnly="1" fieldPosition="0">
        <references count="5">
          <reference field="4" count="1" selected="0">
            <x v="0"/>
          </reference>
          <reference field="6" count="1" selected="0">
            <x v="1"/>
          </reference>
          <reference field="7" count="1" selected="0">
            <x v="23"/>
          </reference>
          <reference field="8" count="1" selected="0">
            <x v="99"/>
          </reference>
          <reference field="15" count="1">
            <x v="254"/>
          </reference>
        </references>
      </pivotArea>
    </format>
    <format dxfId="1790">
      <pivotArea dataOnly="0" labelOnly="1" fieldPosition="0">
        <references count="5">
          <reference field="4" count="1" selected="0">
            <x v="0"/>
          </reference>
          <reference field="6" count="1" selected="0">
            <x v="1"/>
          </reference>
          <reference field="7" count="1" selected="0">
            <x v="23"/>
          </reference>
          <reference field="8" count="1" selected="0">
            <x v="100"/>
          </reference>
          <reference field="15" count="1">
            <x v="253"/>
          </reference>
        </references>
      </pivotArea>
    </format>
    <format dxfId="1789">
      <pivotArea dataOnly="0" labelOnly="1" fieldPosition="0">
        <references count="5">
          <reference field="4" count="1" selected="0">
            <x v="0"/>
          </reference>
          <reference field="6" count="1" selected="0">
            <x v="1"/>
          </reference>
          <reference field="7" count="1" selected="0">
            <x v="23"/>
          </reference>
          <reference field="8" count="1" selected="0">
            <x v="101"/>
          </reference>
          <reference field="15" count="1">
            <x v="255"/>
          </reference>
        </references>
      </pivotArea>
    </format>
    <format dxfId="1788">
      <pivotArea dataOnly="0" labelOnly="1" fieldPosition="0">
        <references count="5">
          <reference field="4" count="1" selected="0">
            <x v="0"/>
          </reference>
          <reference field="6" count="1" selected="0">
            <x v="1"/>
          </reference>
          <reference field="7" count="1" selected="0">
            <x v="23"/>
          </reference>
          <reference field="8" count="1" selected="0">
            <x v="102"/>
          </reference>
          <reference field="15" count="1">
            <x v="40"/>
          </reference>
        </references>
      </pivotArea>
    </format>
    <format dxfId="1787">
      <pivotArea dataOnly="0" labelOnly="1" fieldPosition="0">
        <references count="5">
          <reference field="4" count="1" selected="0">
            <x v="0"/>
          </reference>
          <reference field="6" count="1" selected="0">
            <x v="1"/>
          </reference>
          <reference field="7" count="1" selected="0">
            <x v="23"/>
          </reference>
          <reference field="8" count="1" selected="0">
            <x v="103"/>
          </reference>
          <reference field="15" count="1">
            <x v="252"/>
          </reference>
        </references>
      </pivotArea>
    </format>
    <format dxfId="1786">
      <pivotArea dataOnly="0" labelOnly="1" fieldPosition="0">
        <references count="5">
          <reference field="4" count="1" selected="0">
            <x v="0"/>
          </reference>
          <reference field="6" count="1" selected="0">
            <x v="1"/>
          </reference>
          <reference field="7" count="1" selected="0">
            <x v="23"/>
          </reference>
          <reference field="8" count="1" selected="0">
            <x v="104"/>
          </reference>
          <reference field="15" count="1">
            <x v="256"/>
          </reference>
        </references>
      </pivotArea>
    </format>
    <format dxfId="1785">
      <pivotArea dataOnly="0" labelOnly="1" fieldPosition="0">
        <references count="5">
          <reference field="4" count="1" selected="0">
            <x v="0"/>
          </reference>
          <reference field="6" count="1" selected="0">
            <x v="1"/>
          </reference>
          <reference field="7" count="1" selected="0">
            <x v="26"/>
          </reference>
          <reference field="8" count="1" selected="0">
            <x v="131"/>
          </reference>
          <reference field="15" count="1">
            <x v="13"/>
          </reference>
        </references>
      </pivotArea>
    </format>
    <format dxfId="1784">
      <pivotArea dataOnly="0" labelOnly="1" fieldPosition="0">
        <references count="5">
          <reference field="4" count="1" selected="0">
            <x v="1"/>
          </reference>
          <reference field="6" count="1" selected="0">
            <x v="0"/>
          </reference>
          <reference field="7" count="1" selected="0">
            <x v="19"/>
          </reference>
          <reference field="8" count="1" selected="0">
            <x v="81"/>
          </reference>
          <reference field="15" count="1">
            <x v="231"/>
          </reference>
        </references>
      </pivotArea>
    </format>
    <format dxfId="1783">
      <pivotArea dataOnly="0" labelOnly="1" fieldPosition="0">
        <references count="5">
          <reference field="4" count="1" selected="0">
            <x v="1"/>
          </reference>
          <reference field="6" count="1" selected="0">
            <x v="3"/>
          </reference>
          <reference field="7" count="1" selected="0">
            <x v="2"/>
          </reference>
          <reference field="8" count="1" selected="0">
            <x v="7"/>
          </reference>
          <reference field="15" count="5">
            <x v="117"/>
            <x v="124"/>
            <x v="131"/>
            <x v="380"/>
            <x v="400"/>
          </reference>
        </references>
      </pivotArea>
    </format>
    <format dxfId="1782">
      <pivotArea dataOnly="0" labelOnly="1" fieldPosition="0">
        <references count="5">
          <reference field="4" count="1" selected="0">
            <x v="1"/>
          </reference>
          <reference field="6" count="1" selected="0">
            <x v="3"/>
          </reference>
          <reference field="7" count="1" selected="0">
            <x v="2"/>
          </reference>
          <reference field="8" count="1" selected="0">
            <x v="10"/>
          </reference>
          <reference field="15" count="2">
            <x v="17"/>
            <x v="18"/>
          </reference>
        </references>
      </pivotArea>
    </format>
    <format dxfId="1781">
      <pivotArea dataOnly="0" labelOnly="1" fieldPosition="0">
        <references count="5">
          <reference field="4" count="1" selected="0">
            <x v="1"/>
          </reference>
          <reference field="6" count="1" selected="0">
            <x v="3"/>
          </reference>
          <reference field="7" count="1" selected="0">
            <x v="2"/>
          </reference>
          <reference field="8" count="1" selected="0">
            <x v="11"/>
          </reference>
          <reference field="15" count="2">
            <x v="7"/>
            <x v="8"/>
          </reference>
        </references>
      </pivotArea>
    </format>
    <format dxfId="1780">
      <pivotArea dataOnly="0" labelOnly="1" fieldPosition="0">
        <references count="5">
          <reference field="4" count="1" selected="0">
            <x v="1"/>
          </reference>
          <reference field="6" count="1" selected="0">
            <x v="3"/>
          </reference>
          <reference field="7" count="1" selected="0">
            <x v="2"/>
          </reference>
          <reference field="8" count="1" selected="0">
            <x v="12"/>
          </reference>
          <reference field="15" count="1">
            <x v="107"/>
          </reference>
        </references>
      </pivotArea>
    </format>
    <format dxfId="1779">
      <pivotArea dataOnly="0" labelOnly="1" fieldPosition="0">
        <references count="5">
          <reference field="4" count="1" selected="0">
            <x v="1"/>
          </reference>
          <reference field="6" count="1" selected="0">
            <x v="3"/>
          </reference>
          <reference field="7" count="1" selected="0">
            <x v="2"/>
          </reference>
          <reference field="8" count="1" selected="0">
            <x v="13"/>
          </reference>
          <reference field="15" count="1">
            <x v="6"/>
          </reference>
        </references>
      </pivotArea>
    </format>
    <format dxfId="1778">
      <pivotArea dataOnly="0" labelOnly="1" fieldPosition="0">
        <references count="5">
          <reference field="4" count="1" selected="0">
            <x v="1"/>
          </reference>
          <reference field="6" count="1" selected="0">
            <x v="3"/>
          </reference>
          <reference field="7" count="1" selected="0">
            <x v="2"/>
          </reference>
          <reference field="8" count="1" selected="0">
            <x v="14"/>
          </reference>
          <reference field="15" count="2">
            <x v="46"/>
            <x v="47"/>
          </reference>
        </references>
      </pivotArea>
    </format>
    <format dxfId="1777">
      <pivotArea dataOnly="0" labelOnly="1" fieldPosition="0">
        <references count="5">
          <reference field="4" count="1" selected="0">
            <x v="1"/>
          </reference>
          <reference field="6" count="1" selected="0">
            <x v="3"/>
          </reference>
          <reference field="7" count="1" selected="0">
            <x v="2"/>
          </reference>
          <reference field="8" count="1" selected="0">
            <x v="15"/>
          </reference>
          <reference field="15" count="1">
            <x v="372"/>
          </reference>
        </references>
      </pivotArea>
    </format>
    <format dxfId="1776">
      <pivotArea dataOnly="0" labelOnly="1" fieldPosition="0">
        <references count="5">
          <reference field="4" count="1" selected="0">
            <x v="1"/>
          </reference>
          <reference field="6" count="1" selected="0">
            <x v="3"/>
          </reference>
          <reference field="7" count="1" selected="0">
            <x v="3"/>
          </reference>
          <reference field="8" count="1" selected="0">
            <x v="18"/>
          </reference>
          <reference field="15" count="1">
            <x v="232"/>
          </reference>
        </references>
      </pivotArea>
    </format>
    <format dxfId="1775">
      <pivotArea dataOnly="0" labelOnly="1" fieldPosition="0">
        <references count="5">
          <reference field="4" count="1" selected="0">
            <x v="1"/>
          </reference>
          <reference field="6" count="1" selected="0">
            <x v="3"/>
          </reference>
          <reference field="7" count="1" selected="0">
            <x v="3"/>
          </reference>
          <reference field="8" count="1" selected="0">
            <x v="19"/>
          </reference>
          <reference field="15" count="1">
            <x v="9"/>
          </reference>
        </references>
      </pivotArea>
    </format>
    <format dxfId="1774">
      <pivotArea dataOnly="0" labelOnly="1" fieldPosition="0">
        <references count="5">
          <reference field="4" count="1" selected="0">
            <x v="1"/>
          </reference>
          <reference field="6" count="1" selected="0">
            <x v="3"/>
          </reference>
          <reference field="7" count="1" selected="0">
            <x v="4"/>
          </reference>
          <reference field="8" count="1" selected="0">
            <x v="20"/>
          </reference>
          <reference field="15" count="1">
            <x v="34"/>
          </reference>
        </references>
      </pivotArea>
    </format>
    <format dxfId="1773">
      <pivotArea dataOnly="0" labelOnly="1" fieldPosition="0">
        <references count="5">
          <reference field="4" count="1" selected="0">
            <x v="1"/>
          </reference>
          <reference field="6" count="1" selected="0">
            <x v="3"/>
          </reference>
          <reference field="7" count="1" selected="0">
            <x v="4"/>
          </reference>
          <reference field="8" count="1" selected="0">
            <x v="21"/>
          </reference>
          <reference field="15" count="1">
            <x v="98"/>
          </reference>
        </references>
      </pivotArea>
    </format>
    <format dxfId="1772">
      <pivotArea dataOnly="0" labelOnly="1" fieldPosition="0">
        <references count="5">
          <reference field="4" count="1" selected="0">
            <x v="1"/>
          </reference>
          <reference field="6" count="1" selected="0">
            <x v="4"/>
          </reference>
          <reference field="7" count="1" selected="0">
            <x v="8"/>
          </reference>
          <reference field="8" count="1" selected="0">
            <x v="33"/>
          </reference>
          <reference field="15" count="1">
            <x v="237"/>
          </reference>
        </references>
      </pivotArea>
    </format>
    <format dxfId="1771">
      <pivotArea dataOnly="0" labelOnly="1" fieldPosition="0">
        <references count="5">
          <reference field="4" count="1" selected="0">
            <x v="1"/>
          </reference>
          <reference field="6" count="1" selected="0">
            <x v="4"/>
          </reference>
          <reference field="7" count="1" selected="0">
            <x v="8"/>
          </reference>
          <reference field="8" count="1" selected="0">
            <x v="34"/>
          </reference>
          <reference field="15" count="1">
            <x v="373"/>
          </reference>
        </references>
      </pivotArea>
    </format>
    <format dxfId="1770">
      <pivotArea dataOnly="0" labelOnly="1" fieldPosition="0">
        <references count="5">
          <reference field="4" count="1" selected="0">
            <x v="1"/>
          </reference>
          <reference field="6" count="1" selected="0">
            <x v="4"/>
          </reference>
          <reference field="7" count="1" selected="0">
            <x v="8"/>
          </reference>
          <reference field="8" count="1" selected="0">
            <x v="39"/>
          </reference>
          <reference field="15" count="2">
            <x v="233"/>
            <x v="234"/>
          </reference>
        </references>
      </pivotArea>
    </format>
    <format dxfId="1769">
      <pivotArea dataOnly="0" labelOnly="1" fieldPosition="0">
        <references count="5">
          <reference field="4" count="1" selected="0">
            <x v="2"/>
          </reference>
          <reference field="6" count="1" selected="0">
            <x v="2"/>
          </reference>
          <reference field="7" count="1" selected="0">
            <x v="29"/>
          </reference>
          <reference field="8" count="1" selected="0">
            <x v="145"/>
          </reference>
          <reference field="15" count="1">
            <x v="377"/>
          </reference>
        </references>
      </pivotArea>
    </format>
    <format dxfId="1768">
      <pivotArea dataOnly="0" labelOnly="1" fieldPosition="0">
        <references count="5">
          <reference field="4" count="1" selected="0">
            <x v="2"/>
          </reference>
          <reference field="6" count="1" selected="0">
            <x v="2"/>
          </reference>
          <reference field="7" count="1" selected="0">
            <x v="29"/>
          </reference>
          <reference field="8" count="1" selected="0">
            <x v="146"/>
          </reference>
          <reference field="15" count="1">
            <x v="139"/>
          </reference>
        </references>
      </pivotArea>
    </format>
    <format dxfId="1767">
      <pivotArea dataOnly="0" labelOnly="1" fieldPosition="0">
        <references count="5">
          <reference field="4" count="1" selected="0">
            <x v="2"/>
          </reference>
          <reference field="6" count="1" selected="0">
            <x v="2"/>
          </reference>
          <reference field="7" count="1" selected="0">
            <x v="29"/>
          </reference>
          <reference field="8" count="1" selected="0">
            <x v="147"/>
          </reference>
          <reference field="15" count="1">
            <x v="127"/>
          </reference>
        </references>
      </pivotArea>
    </format>
    <format dxfId="1766">
      <pivotArea dataOnly="0" labelOnly="1" fieldPosition="0">
        <references count="5">
          <reference field="4" count="1" selected="0">
            <x v="2"/>
          </reference>
          <reference field="6" count="1" selected="0">
            <x v="2"/>
          </reference>
          <reference field="7" count="1" selected="0">
            <x v="29"/>
          </reference>
          <reference field="8" count="1" selected="0">
            <x v="148"/>
          </reference>
          <reference field="15" count="1">
            <x v="142"/>
          </reference>
        </references>
      </pivotArea>
    </format>
    <format dxfId="1765">
      <pivotArea dataOnly="0" labelOnly="1" fieldPosition="0">
        <references count="5">
          <reference field="4" count="1" selected="0">
            <x v="2"/>
          </reference>
          <reference field="6" count="1" selected="0">
            <x v="2"/>
          </reference>
          <reference field="7" count="1" selected="0">
            <x v="29"/>
          </reference>
          <reference field="8" count="1" selected="0">
            <x v="149"/>
          </reference>
          <reference field="15" count="1">
            <x v="140"/>
          </reference>
        </references>
      </pivotArea>
    </format>
    <format dxfId="1764">
      <pivotArea dataOnly="0" labelOnly="1" fieldPosition="0">
        <references count="5">
          <reference field="4" count="1" selected="0">
            <x v="2"/>
          </reference>
          <reference field="6" count="1" selected="0">
            <x v="2"/>
          </reference>
          <reference field="7" count="1" selected="0">
            <x v="29"/>
          </reference>
          <reference field="8" count="1" selected="0">
            <x v="150"/>
          </reference>
          <reference field="15" count="1">
            <x v="144"/>
          </reference>
        </references>
      </pivotArea>
    </format>
    <format dxfId="1763">
      <pivotArea dataOnly="0" labelOnly="1" fieldPosition="0">
        <references count="5">
          <reference field="4" count="1" selected="0">
            <x v="2"/>
          </reference>
          <reference field="6" count="1" selected="0">
            <x v="2"/>
          </reference>
          <reference field="7" count="1" selected="0">
            <x v="30"/>
          </reference>
          <reference field="8" count="1" selected="0">
            <x v="152"/>
          </reference>
          <reference field="15" count="2">
            <x v="128"/>
            <x v="129"/>
          </reference>
        </references>
      </pivotArea>
    </format>
    <format dxfId="1762">
      <pivotArea dataOnly="0" labelOnly="1" fieldPosition="0">
        <references count="5">
          <reference field="4" count="1" selected="0">
            <x v="2"/>
          </reference>
          <reference field="6" count="1" selected="0">
            <x v="2"/>
          </reference>
          <reference field="7" count="1" selected="0">
            <x v="30"/>
          </reference>
          <reference field="8" count="1" selected="0">
            <x v="153"/>
          </reference>
          <reference field="15" count="1">
            <x v="141"/>
          </reference>
        </references>
      </pivotArea>
    </format>
    <format dxfId="1761">
      <pivotArea dataOnly="0" labelOnly="1" fieldPosition="0">
        <references count="5">
          <reference field="4" count="1" selected="0">
            <x v="2"/>
          </reference>
          <reference field="6" count="1" selected="0">
            <x v="3"/>
          </reference>
          <reference field="7" count="1" selected="0">
            <x v="5"/>
          </reference>
          <reference field="8" count="1" selected="0">
            <x v="24"/>
          </reference>
          <reference field="15" count="1">
            <x v="339"/>
          </reference>
        </references>
      </pivotArea>
    </format>
    <format dxfId="1760">
      <pivotArea dataOnly="0" labelOnly="1" fieldPosition="0">
        <references count="5">
          <reference field="4" count="1" selected="0">
            <x v="2"/>
          </reference>
          <reference field="6" count="1" selected="0">
            <x v="3"/>
          </reference>
          <reference field="7" count="1" selected="0">
            <x v="7"/>
          </reference>
          <reference field="8" count="1" selected="0">
            <x v="31"/>
          </reference>
          <reference field="15" count="2">
            <x v="391"/>
            <x v="392"/>
          </reference>
        </references>
      </pivotArea>
    </format>
    <format dxfId="1759">
      <pivotArea dataOnly="0" labelOnly="1" fieldPosition="0">
        <references count="5">
          <reference field="4" count="1" selected="0">
            <x v="2"/>
          </reference>
          <reference field="6" count="1" selected="0">
            <x v="3"/>
          </reference>
          <reference field="7" count="1" selected="0">
            <x v="7"/>
          </reference>
          <reference field="8" count="1" selected="0">
            <x v="32"/>
          </reference>
          <reference field="15" count="1">
            <x v="371"/>
          </reference>
        </references>
      </pivotArea>
    </format>
    <format dxfId="1758">
      <pivotArea dataOnly="0" labelOnly="1" fieldPosition="0">
        <references count="5">
          <reference field="4" count="1" selected="0">
            <x v="2"/>
          </reference>
          <reference field="6" count="1" selected="0">
            <x v="4"/>
          </reference>
          <reference field="7" count="1" selected="0">
            <x v="8"/>
          </reference>
          <reference field="8" count="1" selected="0">
            <x v="36"/>
          </reference>
          <reference field="15" count="1">
            <x v="379"/>
          </reference>
        </references>
      </pivotArea>
    </format>
    <format dxfId="1757">
      <pivotArea dataOnly="0" labelOnly="1" fieldPosition="0">
        <references count="5">
          <reference field="4" count="1" selected="0">
            <x v="2"/>
          </reference>
          <reference field="6" count="1" selected="0">
            <x v="4"/>
          </reference>
          <reference field="7" count="1" selected="0">
            <x v="8"/>
          </reference>
          <reference field="8" count="1" selected="0">
            <x v="39"/>
          </reference>
          <reference field="15" count="1">
            <x v="378"/>
          </reference>
        </references>
      </pivotArea>
    </format>
    <format dxfId="1756">
      <pivotArea dataOnly="0" labelOnly="1" fieldPosition="0">
        <references count="5">
          <reference field="4" count="1" selected="0">
            <x v="3"/>
          </reference>
          <reference field="6" count="1" selected="0">
            <x v="3"/>
          </reference>
          <reference field="7" count="1" selected="0">
            <x v="6"/>
          </reference>
          <reference field="8" count="1" selected="0">
            <x v="29"/>
          </reference>
          <reference field="15" count="41">
            <x v="0"/>
            <x v="1"/>
            <x v="167"/>
            <x v="175"/>
            <x v="176"/>
            <x v="177"/>
            <x v="178"/>
            <x v="179"/>
            <x v="180"/>
            <x v="181"/>
            <x v="182"/>
            <x v="201"/>
            <x v="202"/>
            <x v="205"/>
            <x v="206"/>
            <x v="207"/>
            <x v="208"/>
            <x v="209"/>
            <x v="210"/>
            <x v="211"/>
            <x v="212"/>
            <x v="213"/>
            <x v="214"/>
            <x v="215"/>
            <x v="216"/>
            <x v="217"/>
            <x v="218"/>
            <x v="219"/>
            <x v="220"/>
            <x v="221"/>
            <x v="224"/>
            <x v="225"/>
            <x v="226"/>
            <x v="227"/>
            <x v="228"/>
            <x v="393"/>
            <x v="394"/>
            <x v="396"/>
            <x v="397"/>
            <x v="398"/>
            <x v="399"/>
          </reference>
        </references>
      </pivotArea>
    </format>
    <format dxfId="1755">
      <pivotArea dataOnly="0" labelOnly="1" fieldPosition="0">
        <references count="5">
          <reference field="4" count="1" selected="0">
            <x v="4"/>
          </reference>
          <reference field="6" count="1" selected="0">
            <x v="0"/>
          </reference>
          <reference field="7" count="1" selected="0">
            <x v="21"/>
          </reference>
          <reference field="8" count="1" selected="0">
            <x v="87"/>
          </reference>
          <reference field="15" count="8">
            <x v="126"/>
            <x v="293"/>
            <x v="305"/>
            <x v="306"/>
            <x v="317"/>
            <x v="388"/>
            <x v="389"/>
            <x v="390"/>
          </reference>
        </references>
      </pivotArea>
    </format>
    <format dxfId="1754">
      <pivotArea dataOnly="0" labelOnly="1" fieldPosition="0">
        <references count="5">
          <reference field="4" count="1" selected="0">
            <x v="4"/>
          </reference>
          <reference field="6" count="1" selected="0">
            <x v="0"/>
          </reference>
          <reference field="7" count="1" selected="0">
            <x v="21"/>
          </reference>
          <reference field="8" count="1" selected="0">
            <x v="88"/>
          </reference>
          <reference field="15" count="3">
            <x v="291"/>
            <x v="292"/>
            <x v="301"/>
          </reference>
        </references>
      </pivotArea>
    </format>
    <format dxfId="1753">
      <pivotArea dataOnly="0" labelOnly="1" fieldPosition="0">
        <references count="5">
          <reference field="4" count="1" selected="0">
            <x v="4"/>
          </reference>
          <reference field="6" count="1" selected="0">
            <x v="0"/>
          </reference>
          <reference field="7" count="1" selected="0">
            <x v="21"/>
          </reference>
          <reference field="8" count="1" selected="0">
            <x v="89"/>
          </reference>
          <reference field="15" count="1">
            <x v="310"/>
          </reference>
        </references>
      </pivotArea>
    </format>
    <format dxfId="1752">
      <pivotArea dataOnly="0" labelOnly="1" fieldPosition="0">
        <references count="5">
          <reference field="4" count="1" selected="0">
            <x v="4"/>
          </reference>
          <reference field="6" count="1" selected="0">
            <x v="0"/>
          </reference>
          <reference field="7" count="1" selected="0">
            <x v="21"/>
          </reference>
          <reference field="8" count="1" selected="0">
            <x v="90"/>
          </reference>
          <reference field="15" count="1">
            <x v="385"/>
          </reference>
        </references>
      </pivotArea>
    </format>
    <format dxfId="1751">
      <pivotArea dataOnly="0" labelOnly="1" fieldPosition="0">
        <references count="5">
          <reference field="4" count="1" selected="0">
            <x v="4"/>
          </reference>
          <reference field="6" count="1" selected="0">
            <x v="0"/>
          </reference>
          <reference field="7" count="1" selected="0">
            <x v="21"/>
          </reference>
          <reference field="8" count="1" selected="0">
            <x v="91"/>
          </reference>
          <reference field="15" count="2">
            <x v="264"/>
            <x v="265"/>
          </reference>
        </references>
      </pivotArea>
    </format>
    <format dxfId="1750">
      <pivotArea dataOnly="0" labelOnly="1" fieldPosition="0">
        <references count="5">
          <reference field="4" count="1" selected="0">
            <x v="4"/>
          </reference>
          <reference field="6" count="1" selected="0">
            <x v="1"/>
          </reference>
          <reference field="7" count="1" selected="0">
            <x v="24"/>
          </reference>
          <reference field="8" count="1" selected="0">
            <x v="114"/>
          </reference>
          <reference field="15" count="1">
            <x v="263"/>
          </reference>
        </references>
      </pivotArea>
    </format>
    <format dxfId="1749">
      <pivotArea dataOnly="0" labelOnly="1" fieldPosition="0">
        <references count="5">
          <reference field="4" count="1" selected="0">
            <x v="4"/>
          </reference>
          <reference field="6" count="1" selected="0">
            <x v="2"/>
          </reference>
          <reference field="7" count="1" selected="0">
            <x v="29"/>
          </reference>
          <reference field="8" count="1" selected="0">
            <x v="142"/>
          </reference>
          <reference field="15" count="1">
            <x v="283"/>
          </reference>
        </references>
      </pivotArea>
    </format>
    <format dxfId="1748">
      <pivotArea dataOnly="0" labelOnly="1" fieldPosition="0">
        <references count="5">
          <reference field="4" count="1" selected="0">
            <x v="4"/>
          </reference>
          <reference field="6" count="1" selected="0">
            <x v="2"/>
          </reference>
          <reference field="7" count="1" selected="0">
            <x v="29"/>
          </reference>
          <reference field="8" count="1" selected="0">
            <x v="143"/>
          </reference>
          <reference field="15" count="2">
            <x v="289"/>
            <x v="314"/>
          </reference>
        </references>
      </pivotArea>
    </format>
    <format dxfId="1747">
      <pivotArea dataOnly="0" labelOnly="1" fieldPosition="0">
        <references count="5">
          <reference field="4" count="1" selected="0">
            <x v="4"/>
          </reference>
          <reference field="6" count="1" selected="0">
            <x v="2"/>
          </reference>
          <reference field="7" count="1" selected="0">
            <x v="29"/>
          </reference>
          <reference field="8" count="1" selected="0">
            <x v="151"/>
          </reference>
          <reference field="15" count="1">
            <x v="387"/>
          </reference>
        </references>
      </pivotArea>
    </format>
    <format dxfId="1746">
      <pivotArea dataOnly="0" labelOnly="1" fieldPosition="0">
        <references count="5">
          <reference field="4" count="1" selected="0">
            <x v="4"/>
          </reference>
          <reference field="6" count="1" selected="0">
            <x v="2"/>
          </reference>
          <reference field="7" count="1" selected="0">
            <x v="31"/>
          </reference>
          <reference field="8" count="1" selected="0">
            <x v="155"/>
          </reference>
          <reference field="15" count="4">
            <x v="235"/>
            <x v="303"/>
            <x v="374"/>
            <x v="386"/>
          </reference>
        </references>
      </pivotArea>
    </format>
    <format dxfId="1745">
      <pivotArea dataOnly="0" labelOnly="1" fieldPosition="0">
        <references count="5">
          <reference field="4" count="1" selected="0">
            <x v="4"/>
          </reference>
          <reference field="6" count="1" selected="0">
            <x v="2"/>
          </reference>
          <reference field="7" count="1" selected="0">
            <x v="31"/>
          </reference>
          <reference field="8" count="1" selected="0">
            <x v="156"/>
          </reference>
          <reference field="15" count="1">
            <x v="304"/>
          </reference>
        </references>
      </pivotArea>
    </format>
    <format dxfId="1744">
      <pivotArea dataOnly="0" labelOnly="1" fieldPosition="0">
        <references count="5">
          <reference field="4" count="1" selected="0">
            <x v="4"/>
          </reference>
          <reference field="6" count="1" selected="0">
            <x v="2"/>
          </reference>
          <reference field="7" count="1" selected="0">
            <x v="31"/>
          </reference>
          <reference field="8" count="1" selected="0">
            <x v="157"/>
          </reference>
          <reference field="15" count="1">
            <x v="302"/>
          </reference>
        </references>
      </pivotArea>
    </format>
    <format dxfId="1743">
      <pivotArea dataOnly="0" labelOnly="1" fieldPosition="0">
        <references count="5">
          <reference field="4" count="1" selected="0">
            <x v="4"/>
          </reference>
          <reference field="6" count="1" selected="0">
            <x v="3"/>
          </reference>
          <reference field="7" count="1" selected="0">
            <x v="0"/>
          </reference>
          <reference field="8" count="1" selected="0">
            <x v="0"/>
          </reference>
          <reference field="15" count="2">
            <x v="125"/>
            <x v="269"/>
          </reference>
        </references>
      </pivotArea>
    </format>
    <format dxfId="1742">
      <pivotArea dataOnly="0" labelOnly="1" fieldPosition="0">
        <references count="5">
          <reference field="4" count="1" selected="0">
            <x v="4"/>
          </reference>
          <reference field="6" count="1" selected="0">
            <x v="3"/>
          </reference>
          <reference field="7" count="1" selected="0">
            <x v="0"/>
          </reference>
          <reference field="8" count="1" selected="0">
            <x v="1"/>
          </reference>
          <reference field="15" count="1">
            <x v="382"/>
          </reference>
        </references>
      </pivotArea>
    </format>
    <format dxfId="1741">
      <pivotArea dataOnly="0" labelOnly="1" fieldPosition="0">
        <references count="5">
          <reference field="4" count="1" selected="0">
            <x v="4"/>
          </reference>
          <reference field="6" count="1" selected="0">
            <x v="3"/>
          </reference>
          <reference field="7" count="1" selected="0">
            <x v="1"/>
          </reference>
          <reference field="8" count="1" selected="0">
            <x v="2"/>
          </reference>
          <reference field="15" count="1">
            <x v="282"/>
          </reference>
        </references>
      </pivotArea>
    </format>
    <format dxfId="1740">
      <pivotArea dataOnly="0" labelOnly="1" fieldPosition="0">
        <references count="5">
          <reference field="4" count="1" selected="0">
            <x v="4"/>
          </reference>
          <reference field="6" count="1" selected="0">
            <x v="3"/>
          </reference>
          <reference field="7" count="1" selected="0">
            <x v="1"/>
          </reference>
          <reference field="8" count="1" selected="0">
            <x v="3"/>
          </reference>
          <reference field="15" count="1">
            <x v="384"/>
          </reference>
        </references>
      </pivotArea>
    </format>
    <format dxfId="1739">
      <pivotArea dataOnly="0" labelOnly="1" fieldPosition="0">
        <references count="5">
          <reference field="4" count="1" selected="0">
            <x v="4"/>
          </reference>
          <reference field="6" count="1" selected="0">
            <x v="3"/>
          </reference>
          <reference field="7" count="1" selected="0">
            <x v="1"/>
          </reference>
          <reference field="8" count="1" selected="0">
            <x v="4"/>
          </reference>
          <reference field="15" count="1">
            <x v="298"/>
          </reference>
        </references>
      </pivotArea>
    </format>
    <format dxfId="1738">
      <pivotArea dataOnly="0" labelOnly="1" fieldPosition="0">
        <references count="5">
          <reference field="4" count="1" selected="0">
            <x v="4"/>
          </reference>
          <reference field="6" count="1" selected="0">
            <x v="3"/>
          </reference>
          <reference field="7" count="1" selected="0">
            <x v="1"/>
          </reference>
          <reference field="8" count="1" selected="0">
            <x v="5"/>
          </reference>
          <reference field="15" count="2">
            <x v="381"/>
            <x v="383"/>
          </reference>
        </references>
      </pivotArea>
    </format>
    <format dxfId="1737">
      <pivotArea dataOnly="0" labelOnly="1" fieldPosition="0">
        <references count="5">
          <reference field="4" count="1" selected="0">
            <x v="5"/>
          </reference>
          <reference field="6" count="1" selected="0">
            <x v="0"/>
          </reference>
          <reference field="7" count="1" selected="0">
            <x v="18"/>
          </reference>
          <reference field="8" count="1" selected="0">
            <x v="73"/>
          </reference>
          <reference field="15" count="3">
            <x v="245"/>
            <x v="246"/>
            <x v="313"/>
          </reference>
        </references>
      </pivotArea>
    </format>
    <format dxfId="1736">
      <pivotArea dataOnly="0" labelOnly="1" fieldPosition="0">
        <references count="5">
          <reference field="4" count="1" selected="0">
            <x v="5"/>
          </reference>
          <reference field="6" count="1" selected="0">
            <x v="0"/>
          </reference>
          <reference field="7" count="1" selected="0">
            <x v="18"/>
          </reference>
          <reference field="8" count="1" selected="0">
            <x v="74"/>
          </reference>
          <reference field="15" count="1">
            <x v="230"/>
          </reference>
        </references>
      </pivotArea>
    </format>
    <format dxfId="1735">
      <pivotArea dataOnly="0" labelOnly="1" fieldPosition="0">
        <references count="5">
          <reference field="4" count="1" selected="0">
            <x v="5"/>
          </reference>
          <reference field="6" count="1" selected="0">
            <x v="0"/>
          </reference>
          <reference field="7" count="1" selected="0">
            <x v="18"/>
          </reference>
          <reference field="8" count="1" selected="0">
            <x v="77"/>
          </reference>
          <reference field="15" count="2">
            <x v="276"/>
            <x v="277"/>
          </reference>
        </references>
      </pivotArea>
    </format>
    <format dxfId="1734">
      <pivotArea dataOnly="0" labelOnly="1" fieldPosition="0">
        <references count="5">
          <reference field="4" count="1" selected="0">
            <x v="5"/>
          </reference>
          <reference field="6" count="1" selected="0">
            <x v="0"/>
          </reference>
          <reference field="7" count="1" selected="0">
            <x v="22"/>
          </reference>
          <reference field="8" count="1" selected="0">
            <x v="94"/>
          </reference>
          <reference field="15" count="1">
            <x v="164"/>
          </reference>
        </references>
      </pivotArea>
    </format>
    <format dxfId="1733">
      <pivotArea dataOnly="0" labelOnly="1" fieldPosition="0">
        <references count="5">
          <reference field="4" count="1" selected="0">
            <x v="5"/>
          </reference>
          <reference field="6" count="1" selected="0">
            <x v="4"/>
          </reference>
          <reference field="7" count="1" selected="0">
            <x v="8"/>
          </reference>
          <reference field="8" count="1" selected="0">
            <x v="37"/>
          </reference>
          <reference field="15" count="1">
            <x v="222"/>
          </reference>
        </references>
      </pivotArea>
    </format>
    <format dxfId="1732">
      <pivotArea dataOnly="0" labelOnly="1" fieldPosition="0">
        <references count="5">
          <reference field="4" count="1" selected="0">
            <x v="6"/>
          </reference>
          <reference field="6" count="1" selected="0">
            <x v="1"/>
          </reference>
          <reference field="7" count="1" selected="0">
            <x v="24"/>
          </reference>
          <reference field="8" count="1" selected="0">
            <x v="105"/>
          </reference>
          <reference field="15" count="13">
            <x v="24"/>
            <x v="25"/>
            <x v="31"/>
            <x v="37"/>
            <x v="44"/>
            <x v="45"/>
            <x v="48"/>
            <x v="49"/>
            <x v="50"/>
            <x v="56"/>
            <x v="66"/>
            <x v="100"/>
            <x v="101"/>
          </reference>
        </references>
      </pivotArea>
    </format>
    <format dxfId="1731">
      <pivotArea dataOnly="0" labelOnly="1" fieldPosition="0">
        <references count="5">
          <reference field="4" count="1" selected="0">
            <x v="6"/>
          </reference>
          <reference field="6" count="1" selected="0">
            <x v="1"/>
          </reference>
          <reference field="7" count="1" selected="0">
            <x v="24"/>
          </reference>
          <reference field="8" count="1" selected="0">
            <x v="107"/>
          </reference>
          <reference field="15" count="3">
            <x v="118"/>
            <x v="123"/>
            <x v="165"/>
          </reference>
        </references>
      </pivotArea>
    </format>
    <format dxfId="1730">
      <pivotArea dataOnly="0" labelOnly="1" fieldPosition="0">
        <references count="5">
          <reference field="4" count="1" selected="0">
            <x v="6"/>
          </reference>
          <reference field="6" count="1" selected="0">
            <x v="1"/>
          </reference>
          <reference field="7" count="1" selected="0">
            <x v="24"/>
          </reference>
          <reference field="8" count="1" selected="0">
            <x v="108"/>
          </reference>
          <reference field="15" count="2">
            <x v="97"/>
            <x v="119"/>
          </reference>
        </references>
      </pivotArea>
    </format>
    <format dxfId="1729">
      <pivotArea dataOnly="0" labelOnly="1" fieldPosition="0">
        <references count="5">
          <reference field="4" count="1" selected="0">
            <x v="6"/>
          </reference>
          <reference field="6" count="1" selected="0">
            <x v="1"/>
          </reference>
          <reference field="7" count="1" selected="0">
            <x v="24"/>
          </reference>
          <reference field="8" count="1" selected="0">
            <x v="109"/>
          </reference>
          <reference field="15" count="2">
            <x v="96"/>
            <x v="327"/>
          </reference>
        </references>
      </pivotArea>
    </format>
    <format dxfId="1728">
      <pivotArea dataOnly="0" labelOnly="1" fieldPosition="0">
        <references count="5">
          <reference field="4" count="1" selected="0">
            <x v="6"/>
          </reference>
          <reference field="6" count="1" selected="0">
            <x v="1"/>
          </reference>
          <reference field="7" count="1" selected="0">
            <x v="24"/>
          </reference>
          <reference field="8" count="1" selected="0">
            <x v="110"/>
          </reference>
          <reference field="15" count="2">
            <x v="115"/>
            <x v="324"/>
          </reference>
        </references>
      </pivotArea>
    </format>
    <format dxfId="1727">
      <pivotArea dataOnly="0" labelOnly="1" fieldPosition="0">
        <references count="5">
          <reference field="4" count="1" selected="0">
            <x v="6"/>
          </reference>
          <reference field="6" count="1" selected="0">
            <x v="1"/>
          </reference>
          <reference field="7" count="1" selected="0">
            <x v="24"/>
          </reference>
          <reference field="8" count="1" selected="0">
            <x v="111"/>
          </reference>
          <reference field="15" count="1">
            <x v="326"/>
          </reference>
        </references>
      </pivotArea>
    </format>
    <format dxfId="1726">
      <pivotArea dataOnly="0" labelOnly="1" fieldPosition="0">
        <references count="5">
          <reference field="4" count="1" selected="0">
            <x v="6"/>
          </reference>
          <reference field="6" count="1" selected="0">
            <x v="1"/>
          </reference>
          <reference field="7" count="1" selected="0">
            <x v="24"/>
          </reference>
          <reference field="8" count="1" selected="0">
            <x v="112"/>
          </reference>
          <reference field="15" count="5">
            <x v="80"/>
            <x v="120"/>
            <x v="121"/>
            <x v="122"/>
            <x v="135"/>
          </reference>
        </references>
      </pivotArea>
    </format>
    <format dxfId="1725">
      <pivotArea dataOnly="0" labelOnly="1" fieldPosition="0">
        <references count="5">
          <reference field="4" count="1" selected="0">
            <x v="6"/>
          </reference>
          <reference field="6" count="1" selected="0">
            <x v="1"/>
          </reference>
          <reference field="7" count="1" selected="0">
            <x v="24"/>
          </reference>
          <reference field="8" count="1" selected="0">
            <x v="113"/>
          </reference>
          <reference field="15" count="3">
            <x v="67"/>
            <x v="84"/>
            <x v="166"/>
          </reference>
        </references>
      </pivotArea>
    </format>
    <format dxfId="1724">
      <pivotArea dataOnly="0" labelOnly="1" fieldPosition="0">
        <references count="5">
          <reference field="4" count="1" selected="0">
            <x v="7"/>
          </reference>
          <reference field="6" count="1" selected="0">
            <x v="0"/>
          </reference>
          <reference field="7" count="1" selected="0">
            <x v="16"/>
          </reference>
          <reference field="8" count="1" selected="0">
            <x v="64"/>
          </reference>
          <reference field="15" count="3">
            <x v="274"/>
            <x v="278"/>
            <x v="325"/>
          </reference>
        </references>
      </pivotArea>
    </format>
    <format dxfId="1723">
      <pivotArea dataOnly="0" labelOnly="1" fieldPosition="0">
        <references count="5">
          <reference field="4" count="1" selected="0">
            <x v="7"/>
          </reference>
          <reference field="6" count="1" selected="0">
            <x v="2"/>
          </reference>
          <reference field="7" count="1" selected="0">
            <x v="29"/>
          </reference>
          <reference field="8" count="1" selected="0">
            <x v="140"/>
          </reference>
          <reference field="15" count="1">
            <x v="53"/>
          </reference>
        </references>
      </pivotArea>
    </format>
    <format dxfId="1722">
      <pivotArea dataOnly="0" labelOnly="1" fieldPosition="0">
        <references count="5">
          <reference field="4" count="1" selected="0">
            <x v="7"/>
          </reference>
          <reference field="6" count="1" selected="0">
            <x v="2"/>
          </reference>
          <reference field="7" count="1" selected="0">
            <x v="29"/>
          </reference>
          <reference field="8" count="1" selected="0">
            <x v="141"/>
          </reference>
          <reference field="15" count="1">
            <x v="279"/>
          </reference>
        </references>
      </pivotArea>
    </format>
    <format dxfId="1721">
      <pivotArea dataOnly="0" labelOnly="1" fieldPosition="0">
        <references count="5">
          <reference field="4" count="1" selected="0">
            <x v="7"/>
          </reference>
          <reference field="6" count="1" selected="0">
            <x v="2"/>
          </reference>
          <reference field="7" count="1" selected="0">
            <x v="29"/>
          </reference>
          <reference field="8" count="1" selected="0">
            <x v="144"/>
          </reference>
          <reference field="15" count="1">
            <x v="52"/>
          </reference>
        </references>
      </pivotArea>
    </format>
    <format dxfId="1720">
      <pivotArea dataOnly="0" labelOnly="1" fieldPosition="0">
        <references count="5">
          <reference field="4" count="1" selected="0">
            <x v="7"/>
          </reference>
          <reference field="6" count="1" selected="0">
            <x v="2"/>
          </reference>
          <reference field="7" count="1" selected="0">
            <x v="29"/>
          </reference>
          <reference field="8" count="1" selected="0">
            <x v="145"/>
          </reference>
          <reference field="15" count="1">
            <x v="51"/>
          </reference>
        </references>
      </pivotArea>
    </format>
    <format dxfId="1719">
      <pivotArea dataOnly="0" labelOnly="1" fieldPosition="0">
        <references count="5">
          <reference field="4" count="1" selected="0">
            <x v="7"/>
          </reference>
          <reference field="6" count="1" selected="0">
            <x v="2"/>
          </reference>
          <reference field="7" count="1" selected="0">
            <x v="30"/>
          </reference>
          <reference field="8" count="1" selected="0">
            <x v="154"/>
          </reference>
          <reference field="15" count="1">
            <x v="275"/>
          </reference>
        </references>
      </pivotArea>
    </format>
    <format dxfId="1718">
      <pivotArea dataOnly="0" labelOnly="1" fieldPosition="0">
        <references count="5">
          <reference field="4" count="1" selected="0">
            <x v="7"/>
          </reference>
          <reference field="6" count="1" selected="0">
            <x v="3"/>
          </reference>
          <reference field="7" count="1" selected="0">
            <x v="6"/>
          </reference>
          <reference field="8" count="1" selected="0">
            <x v="28"/>
          </reference>
          <reference field="15" count="3">
            <x v="318"/>
            <x v="319"/>
            <x v="320"/>
          </reference>
        </references>
      </pivotArea>
    </format>
    <format dxfId="1717">
      <pivotArea dataOnly="0" labelOnly="1" fieldPosition="0">
        <references count="5">
          <reference field="4" count="1" selected="0">
            <x v="7"/>
          </reference>
          <reference field="6" count="1" selected="0">
            <x v="4"/>
          </reference>
          <reference field="7" count="1" selected="0">
            <x v="8"/>
          </reference>
          <reference field="8" count="1" selected="0">
            <x v="35"/>
          </reference>
          <reference field="15" count="1">
            <x v="337"/>
          </reference>
        </references>
      </pivotArea>
    </format>
    <format dxfId="1716">
      <pivotArea dataOnly="0" labelOnly="1" fieldPosition="0">
        <references count="5">
          <reference field="4" count="1" selected="0">
            <x v="7"/>
          </reference>
          <reference field="6" count="1" selected="0">
            <x v="4"/>
          </reference>
          <reference field="7" count="1" selected="0">
            <x v="8"/>
          </reference>
          <reference field="8" count="1" selected="0">
            <x v="36"/>
          </reference>
          <reference field="15" count="1">
            <x v="280"/>
          </reference>
        </references>
      </pivotArea>
    </format>
    <format dxfId="1715">
      <pivotArea dataOnly="0" labelOnly="1" fieldPosition="0">
        <references count="5">
          <reference field="4" count="1" selected="0">
            <x v="7"/>
          </reference>
          <reference field="6" count="1" selected="0">
            <x v="4"/>
          </reference>
          <reference field="7" count="1" selected="0">
            <x v="9"/>
          </reference>
          <reference field="8" count="1" selected="0">
            <x v="40"/>
          </reference>
          <reference field="15" count="3">
            <x v="311"/>
            <x v="312"/>
            <x v="334"/>
          </reference>
        </references>
      </pivotArea>
    </format>
    <format dxfId="1714">
      <pivotArea dataOnly="0" labelOnly="1" fieldPosition="0">
        <references count="5">
          <reference field="4" count="1" selected="0">
            <x v="7"/>
          </reference>
          <reference field="6" count="1" selected="0">
            <x v="4"/>
          </reference>
          <reference field="7" count="1" selected="0">
            <x v="9"/>
          </reference>
          <reference field="8" count="1" selected="0">
            <x v="41"/>
          </reference>
          <reference field="15" count="1">
            <x v="328"/>
          </reference>
        </references>
      </pivotArea>
    </format>
    <format dxfId="1713">
      <pivotArea dataOnly="0" labelOnly="1" fieldPosition="0">
        <references count="5">
          <reference field="4" count="1" selected="0">
            <x v="7"/>
          </reference>
          <reference field="6" count="1" selected="0">
            <x v="4"/>
          </reference>
          <reference field="7" count="1" selected="0">
            <x v="9"/>
          </reference>
          <reference field="8" count="1" selected="0">
            <x v="42"/>
          </reference>
          <reference field="15" count="1">
            <x v="329"/>
          </reference>
        </references>
      </pivotArea>
    </format>
    <format dxfId="1712">
      <pivotArea dataOnly="0" labelOnly="1" fieldPosition="0">
        <references count="5">
          <reference field="4" count="1" selected="0">
            <x v="7"/>
          </reference>
          <reference field="6" count="1" selected="0">
            <x v="4"/>
          </reference>
          <reference field="7" count="1" selected="0">
            <x v="9"/>
          </reference>
          <reference field="8" count="1" selected="0">
            <x v="43"/>
          </reference>
          <reference field="15" count="1">
            <x v="321"/>
          </reference>
        </references>
      </pivotArea>
    </format>
    <format dxfId="1711">
      <pivotArea dataOnly="0" labelOnly="1" fieldPosition="0">
        <references count="5">
          <reference field="4" count="1" selected="0">
            <x v="7"/>
          </reference>
          <reference field="6" count="1" selected="0">
            <x v="4"/>
          </reference>
          <reference field="7" count="1" selected="0">
            <x v="10"/>
          </reference>
          <reference field="8" count="1" selected="0">
            <x v="44"/>
          </reference>
          <reference field="15" count="2">
            <x v="57"/>
            <x v="58"/>
          </reference>
        </references>
      </pivotArea>
    </format>
    <format dxfId="1710">
      <pivotArea dataOnly="0" labelOnly="1" fieldPosition="0">
        <references count="5">
          <reference field="4" count="1" selected="0">
            <x v="7"/>
          </reference>
          <reference field="6" count="1" selected="0">
            <x v="4"/>
          </reference>
          <reference field="7" count="1" selected="0">
            <x v="10"/>
          </reference>
          <reference field="8" count="1" selected="0">
            <x v="45"/>
          </reference>
          <reference field="15" count="1">
            <x v="55"/>
          </reference>
        </references>
      </pivotArea>
    </format>
    <format dxfId="1709">
      <pivotArea dataOnly="0" labelOnly="1" fieldPosition="0">
        <references count="5">
          <reference field="4" count="1" selected="0">
            <x v="7"/>
          </reference>
          <reference field="6" count="1" selected="0">
            <x v="4"/>
          </reference>
          <reference field="7" count="1" selected="0">
            <x v="10"/>
          </reference>
          <reference field="8" count="1" selected="0">
            <x v="46"/>
          </reference>
          <reference field="15" count="1">
            <x v="59"/>
          </reference>
        </references>
      </pivotArea>
    </format>
    <format dxfId="1708">
      <pivotArea dataOnly="0" labelOnly="1" fieldPosition="0">
        <references count="5">
          <reference field="4" count="1" selected="0">
            <x v="7"/>
          </reference>
          <reference field="6" count="1" selected="0">
            <x v="4"/>
          </reference>
          <reference field="7" count="1" selected="0">
            <x v="10"/>
          </reference>
          <reference field="8" count="1" selected="0">
            <x v="47"/>
          </reference>
          <reference field="15" count="1">
            <x v="54"/>
          </reference>
        </references>
      </pivotArea>
    </format>
    <format dxfId="1707">
      <pivotArea dataOnly="0" labelOnly="1" fieldPosition="0">
        <references count="5">
          <reference field="4" count="1" selected="0">
            <x v="7"/>
          </reference>
          <reference field="6" count="1" selected="0">
            <x v="4"/>
          </reference>
          <reference field="7" count="1" selected="0">
            <x v="11"/>
          </reference>
          <reference field="8" count="1" selected="0">
            <x v="48"/>
          </reference>
          <reference field="15" count="1">
            <x v="88"/>
          </reference>
        </references>
      </pivotArea>
    </format>
    <format dxfId="1706">
      <pivotArea dataOnly="0" labelOnly="1" fieldPosition="0">
        <references count="5">
          <reference field="4" count="1" selected="0">
            <x v="7"/>
          </reference>
          <reference field="6" count="1" selected="0">
            <x v="4"/>
          </reference>
          <reference field="7" count="1" selected="0">
            <x v="11"/>
          </reference>
          <reference field="8" count="1" selected="0">
            <x v="49"/>
          </reference>
          <reference field="15" count="1">
            <x v="86"/>
          </reference>
        </references>
      </pivotArea>
    </format>
    <format dxfId="1705">
      <pivotArea dataOnly="0" labelOnly="1" fieldPosition="0">
        <references count="5">
          <reference field="4" count="1" selected="0">
            <x v="7"/>
          </reference>
          <reference field="6" count="1" selected="0">
            <x v="4"/>
          </reference>
          <reference field="7" count="1" selected="0">
            <x v="12"/>
          </reference>
          <reference field="8" count="1" selected="0">
            <x v="50"/>
          </reference>
          <reference field="15" count="3">
            <x v="64"/>
            <x v="65"/>
            <x v="136"/>
          </reference>
        </references>
      </pivotArea>
    </format>
    <format dxfId="1704">
      <pivotArea dataOnly="0" labelOnly="1" fieldPosition="0">
        <references count="5">
          <reference field="4" count="1" selected="0">
            <x v="7"/>
          </reference>
          <reference field="6" count="1" selected="0">
            <x v="4"/>
          </reference>
          <reference field="7" count="1" selected="0">
            <x v="13"/>
          </reference>
          <reference field="8" count="1" selected="0">
            <x v="51"/>
          </reference>
          <reference field="15" count="1">
            <x v="307"/>
          </reference>
        </references>
      </pivotArea>
    </format>
    <format dxfId="1703">
      <pivotArea dataOnly="0" labelOnly="1" fieldPosition="0">
        <references count="5">
          <reference field="4" count="1" selected="0">
            <x v="7"/>
          </reference>
          <reference field="6" count="1" selected="0">
            <x v="4"/>
          </reference>
          <reference field="7" count="1" selected="0">
            <x v="13"/>
          </reference>
          <reference field="8" count="1" selected="0">
            <x v="52"/>
          </reference>
          <reference field="15" count="1">
            <x v="309"/>
          </reference>
        </references>
      </pivotArea>
    </format>
    <format dxfId="1702">
      <pivotArea dataOnly="0" labelOnly="1" fieldPosition="0">
        <references count="5">
          <reference field="4" count="1" selected="0">
            <x v="7"/>
          </reference>
          <reference field="6" count="1" selected="0">
            <x v="4"/>
          </reference>
          <reference field="7" count="1" selected="0">
            <x v="13"/>
          </reference>
          <reference field="8" count="1" selected="0">
            <x v="53"/>
          </reference>
          <reference field="15" count="1">
            <x v="308"/>
          </reference>
        </references>
      </pivotArea>
    </format>
    <format dxfId="1701">
      <pivotArea dataOnly="0" labelOnly="1" fieldPosition="0">
        <references count="5">
          <reference field="4" count="1" selected="0">
            <x v="7"/>
          </reference>
          <reference field="6" count="1" selected="0">
            <x v="4"/>
          </reference>
          <reference field="7" count="1" selected="0">
            <x v="14"/>
          </reference>
          <reference field="8" count="1" selected="0">
            <x v="54"/>
          </reference>
          <reference field="15" count="1">
            <x v="281"/>
          </reference>
        </references>
      </pivotArea>
    </format>
    <format dxfId="1700">
      <pivotArea dataOnly="0" labelOnly="1" fieldPosition="0">
        <references count="5">
          <reference field="4" count="1" selected="0">
            <x v="7"/>
          </reference>
          <reference field="6" count="1" selected="0">
            <x v="4"/>
          </reference>
          <reference field="7" count="1" selected="0">
            <x v="14"/>
          </reference>
          <reference field="8" count="1" selected="0">
            <x v="55"/>
          </reference>
          <reference field="15" count="1">
            <x v="138"/>
          </reference>
        </references>
      </pivotArea>
    </format>
    <format dxfId="1699">
      <pivotArea dataOnly="0" labelOnly="1" fieldPosition="0">
        <references count="5">
          <reference field="4" count="1" selected="0">
            <x v="7"/>
          </reference>
          <reference field="6" count="1" selected="0">
            <x v="4"/>
          </reference>
          <reference field="7" count="1" selected="0">
            <x v="15"/>
          </reference>
          <reference field="8" count="1" selected="0">
            <x v="56"/>
          </reference>
          <reference field="15" count="2">
            <x v="335"/>
            <x v="336"/>
          </reference>
        </references>
      </pivotArea>
    </format>
    <format dxfId="1698">
      <pivotArea dataOnly="0" labelOnly="1" fieldPosition="0">
        <references count="5">
          <reference field="4" count="1" selected="0">
            <x v="8"/>
          </reference>
          <reference field="6" count="1" selected="0">
            <x v="0"/>
          </reference>
          <reference field="7" count="1" selected="0">
            <x v="18"/>
          </reference>
          <reference field="8" count="1" selected="0">
            <x v="77"/>
          </reference>
          <reference field="15" count="1">
            <x v="290"/>
          </reference>
        </references>
      </pivotArea>
    </format>
    <format dxfId="1697">
      <pivotArea dataOnly="0" labelOnly="1" fieldPosition="0">
        <references count="5">
          <reference field="4" count="1" selected="0">
            <x v="8"/>
          </reference>
          <reference field="6" count="1" selected="0">
            <x v="0"/>
          </reference>
          <reference field="7" count="1" selected="0">
            <x v="22"/>
          </reference>
          <reference field="8" count="1" selected="0">
            <x v="92"/>
          </reference>
          <reference field="15" count="4">
            <x v="130"/>
            <x v="359"/>
            <x v="360"/>
            <x v="361"/>
          </reference>
        </references>
      </pivotArea>
    </format>
    <format dxfId="1696">
      <pivotArea dataOnly="0" labelOnly="1" fieldPosition="0">
        <references count="5">
          <reference field="4" count="1" selected="0">
            <x v="8"/>
          </reference>
          <reference field="6" count="1" selected="0">
            <x v="0"/>
          </reference>
          <reference field="7" count="1" selected="0">
            <x v="22"/>
          </reference>
          <reference field="8" count="1" selected="0">
            <x v="93"/>
          </reference>
          <reference field="15" count="1">
            <x v="369"/>
          </reference>
        </references>
      </pivotArea>
    </format>
    <format dxfId="1695">
      <pivotArea dataOnly="0" labelOnly="1" fieldPosition="0">
        <references count="5">
          <reference field="4" count="1" selected="0">
            <x v="8"/>
          </reference>
          <reference field="6" count="1" selected="0">
            <x v="0"/>
          </reference>
          <reference field="7" count="1" selected="0">
            <x v="22"/>
          </reference>
          <reference field="8" count="1" selected="0">
            <x v="94"/>
          </reference>
          <reference field="15" count="1">
            <x v="273"/>
          </reference>
        </references>
      </pivotArea>
    </format>
    <format dxfId="1694">
      <pivotArea dataOnly="0" labelOnly="1" fieldPosition="0">
        <references count="5">
          <reference field="4" count="1" selected="0">
            <x v="8"/>
          </reference>
          <reference field="6" count="1" selected="0">
            <x v="1"/>
          </reference>
          <reference field="7" count="1" selected="0">
            <x v="28"/>
          </reference>
          <reference field="8" count="1" selected="0">
            <x v="138"/>
          </reference>
          <reference field="15" count="3">
            <x v="270"/>
            <x v="343"/>
            <x v="355"/>
          </reference>
        </references>
      </pivotArea>
    </format>
    <format dxfId="1693">
      <pivotArea dataOnly="0" labelOnly="1" fieldPosition="0">
        <references count="5">
          <reference field="4" count="1" selected="0">
            <x v="8"/>
          </reference>
          <reference field="6" count="1" selected="0">
            <x v="1"/>
          </reference>
          <reference field="7" count="1" selected="0">
            <x v="28"/>
          </reference>
          <reference field="8" count="1" selected="0">
            <x v="139"/>
          </reference>
          <reference field="15" count="1">
            <x v="147"/>
          </reference>
        </references>
      </pivotArea>
    </format>
    <format dxfId="1692">
      <pivotArea dataOnly="0" labelOnly="1" fieldPosition="0">
        <references count="5">
          <reference field="4" count="1" selected="0">
            <x v="8"/>
          </reference>
          <reference field="6" count="1" selected="0">
            <x v="2"/>
          </reference>
          <reference field="7" count="1" selected="0">
            <x v="32"/>
          </reference>
          <reference field="8" count="1" selected="0">
            <x v="158"/>
          </reference>
          <reference field="15" count="1">
            <x v="344"/>
          </reference>
        </references>
      </pivotArea>
    </format>
    <format dxfId="1691">
      <pivotArea dataOnly="0" labelOnly="1" fieldPosition="0">
        <references count="5">
          <reference field="4" count="1" selected="0">
            <x v="8"/>
          </reference>
          <reference field="6" count="1" selected="0">
            <x v="2"/>
          </reference>
          <reference field="7" count="1" selected="0">
            <x v="32"/>
          </reference>
          <reference field="8" count="1" selected="0">
            <x v="159"/>
          </reference>
          <reference field="15" count="1">
            <x v="137"/>
          </reference>
        </references>
      </pivotArea>
    </format>
    <format dxfId="1690">
      <pivotArea dataOnly="0" labelOnly="1" fieldPosition="0">
        <references count="5">
          <reference field="4" count="1" selected="0">
            <x v="8"/>
          </reference>
          <reference field="6" count="1" selected="0">
            <x v="3"/>
          </reference>
          <reference field="7" count="1" selected="0">
            <x v="6"/>
          </reference>
          <reference field="8" count="1" selected="0">
            <x v="29"/>
          </reference>
          <reference field="15" count="4">
            <x v="145"/>
            <x v="146"/>
            <x v="356"/>
            <x v="357"/>
          </reference>
        </references>
      </pivotArea>
    </format>
    <format dxfId="1689">
      <pivotArea dataOnly="0" labelOnly="1" fieldPosition="0">
        <references count="5">
          <reference field="4" count="1" selected="0">
            <x v="8"/>
          </reference>
          <reference field="6" count="1" selected="0">
            <x v="3"/>
          </reference>
          <reference field="7" count="1" selected="0">
            <x v="6"/>
          </reference>
          <reference field="8" count="1" selected="0">
            <x v="30"/>
          </reference>
          <reference field="15" count="2">
            <x v="267"/>
            <x v="268"/>
          </reference>
        </references>
      </pivotArea>
    </format>
    <format dxfId="1688">
      <pivotArea dataOnly="0" labelOnly="1" fieldPosition="0">
        <references count="5">
          <reference field="4" count="1" selected="0">
            <x v="9"/>
          </reference>
          <reference field="6" count="1" selected="0">
            <x v="1"/>
          </reference>
          <reference field="7" count="1" selected="0">
            <x v="25"/>
          </reference>
          <reference field="8" count="1" selected="0">
            <x v="115"/>
          </reference>
          <reference field="15" count="13">
            <x v="35"/>
            <x v="36"/>
            <x v="63"/>
            <x v="72"/>
            <x v="77"/>
            <x v="238"/>
            <x v="241"/>
            <x v="242"/>
            <x v="243"/>
            <x v="247"/>
            <x v="248"/>
            <x v="260"/>
            <x v="262"/>
          </reference>
        </references>
      </pivotArea>
    </format>
    <format dxfId="1687">
      <pivotArea dataOnly="0" labelOnly="1" fieldPosition="0">
        <references count="5">
          <reference field="4" count="1" selected="0">
            <x v="9"/>
          </reference>
          <reference field="6" count="1" selected="0">
            <x v="1"/>
          </reference>
          <reference field="7" count="1" selected="0">
            <x v="25"/>
          </reference>
          <reference field="8" count="1" selected="0">
            <x v="116"/>
          </reference>
          <reference field="15" count="1">
            <x v="61"/>
          </reference>
        </references>
      </pivotArea>
    </format>
    <format dxfId="1686">
      <pivotArea dataOnly="0" labelOnly="1" fieldPosition="0">
        <references count="5">
          <reference field="4" count="1" selected="0">
            <x v="9"/>
          </reference>
          <reference field="6" count="1" selected="0">
            <x v="1"/>
          </reference>
          <reference field="7" count="1" selected="0">
            <x v="25"/>
          </reference>
          <reference field="8" count="1" selected="0">
            <x v="117"/>
          </reference>
          <reference field="15" count="2">
            <x v="92"/>
            <x v="249"/>
          </reference>
        </references>
      </pivotArea>
    </format>
    <format dxfId="1685">
      <pivotArea dataOnly="0" labelOnly="1" fieldPosition="0">
        <references count="5">
          <reference field="4" count="1" selected="0">
            <x v="9"/>
          </reference>
          <reference field="6" count="1" selected="0">
            <x v="1"/>
          </reference>
          <reference field="7" count="1" selected="0">
            <x v="25"/>
          </reference>
          <reference field="8" count="1" selected="0">
            <x v="118"/>
          </reference>
          <reference field="15" count="3">
            <x v="71"/>
            <x v="87"/>
            <x v="91"/>
          </reference>
        </references>
      </pivotArea>
    </format>
    <format dxfId="1684">
      <pivotArea dataOnly="0" labelOnly="1" fieldPosition="0">
        <references count="5">
          <reference field="4" count="1" selected="0">
            <x v="9"/>
          </reference>
          <reference field="6" count="1" selected="0">
            <x v="1"/>
          </reference>
          <reference field="7" count="1" selected="0">
            <x v="25"/>
          </reference>
          <reference field="8" count="1" selected="0">
            <x v="119"/>
          </reference>
          <reference field="15" count="4">
            <x v="62"/>
            <x v="68"/>
            <x v="69"/>
            <x v="70"/>
          </reference>
        </references>
      </pivotArea>
    </format>
    <format dxfId="1683">
      <pivotArea dataOnly="0" labelOnly="1" fieldPosition="0">
        <references count="5">
          <reference field="4" count="1" selected="0">
            <x v="9"/>
          </reference>
          <reference field="6" count="1" selected="0">
            <x v="1"/>
          </reference>
          <reference field="7" count="1" selected="0">
            <x v="25"/>
          </reference>
          <reference field="8" count="1" selected="0">
            <x v="120"/>
          </reference>
          <reference field="15" count="1">
            <x v="85"/>
          </reference>
        </references>
      </pivotArea>
    </format>
    <format dxfId="1682">
      <pivotArea dataOnly="0" labelOnly="1" fieldPosition="0">
        <references count="5">
          <reference field="4" count="1" selected="0">
            <x v="9"/>
          </reference>
          <reference field="6" count="1" selected="0">
            <x v="1"/>
          </reference>
          <reference field="7" count="1" selected="0">
            <x v="25"/>
          </reference>
          <reference field="8" count="1" selected="0">
            <x v="121"/>
          </reference>
          <reference field="15" count="2">
            <x v="41"/>
            <x v="78"/>
          </reference>
        </references>
      </pivotArea>
    </format>
    <format dxfId="1681">
      <pivotArea dataOnly="0" labelOnly="1" fieldPosition="0">
        <references count="5">
          <reference field="4" count="1" selected="0">
            <x v="9"/>
          </reference>
          <reference field="6" count="1" selected="0">
            <x v="1"/>
          </reference>
          <reference field="7" count="1" selected="0">
            <x v="25"/>
          </reference>
          <reference field="8" count="1" selected="0">
            <x v="122"/>
          </reference>
          <reference field="15" count="2">
            <x v="38"/>
            <x v="39"/>
          </reference>
        </references>
      </pivotArea>
    </format>
    <format dxfId="1680">
      <pivotArea dataOnly="0" labelOnly="1" fieldPosition="0">
        <references count="5">
          <reference field="4" count="1" selected="0">
            <x v="9"/>
          </reference>
          <reference field="6" count="1" selected="0">
            <x v="1"/>
          </reference>
          <reference field="7" count="1" selected="0">
            <x v="25"/>
          </reference>
          <reference field="8" count="1" selected="0">
            <x v="123"/>
          </reference>
          <reference field="15" count="7">
            <x v="32"/>
            <x v="33"/>
            <x v="60"/>
            <x v="82"/>
            <x v="83"/>
            <x v="89"/>
            <x v="90"/>
          </reference>
        </references>
      </pivotArea>
    </format>
    <format dxfId="1679">
      <pivotArea dataOnly="0" labelOnly="1" fieldPosition="0">
        <references count="5">
          <reference field="4" count="1" selected="0">
            <x v="9"/>
          </reference>
          <reference field="6" count="1" selected="0">
            <x v="1"/>
          </reference>
          <reference field="7" count="1" selected="0">
            <x v="25"/>
          </reference>
          <reference field="8" count="1" selected="0">
            <x v="124"/>
          </reference>
          <reference field="15" count="1">
            <x v="261"/>
          </reference>
        </references>
      </pivotArea>
    </format>
    <format dxfId="1678">
      <pivotArea dataOnly="0" labelOnly="1" fieldPosition="0">
        <references count="5">
          <reference field="4" count="1" selected="0">
            <x v="10"/>
          </reference>
          <reference field="6" count="1" selected="0">
            <x v="3"/>
          </reference>
          <reference field="7" count="1" selected="0">
            <x v="6"/>
          </reference>
          <reference field="8" count="1" selected="0">
            <x v="29"/>
          </reference>
          <reference field="15" count="21">
            <x v="2"/>
            <x v="3"/>
            <x v="5"/>
            <x v="152"/>
            <x v="153"/>
            <x v="154"/>
            <x v="155"/>
            <x v="156"/>
            <x v="157"/>
            <x v="158"/>
            <x v="159"/>
            <x v="160"/>
            <x v="161"/>
            <x v="162"/>
            <x v="163"/>
            <x v="189"/>
            <x v="190"/>
            <x v="191"/>
            <x v="192"/>
            <x v="193"/>
            <x v="395"/>
          </reference>
        </references>
      </pivotArea>
    </format>
    <format dxfId="1677">
      <pivotArea dataOnly="0" labelOnly="1" fieldPosition="0">
        <references count="5">
          <reference field="4" count="1" selected="0">
            <x v="11"/>
          </reference>
          <reference field="6" count="1" selected="0">
            <x v="0"/>
          </reference>
          <reference field="7" count="1" selected="0">
            <x v="17"/>
          </reference>
          <reference field="8" count="1" selected="0">
            <x v="70"/>
          </reference>
          <reference field="15" count="4">
            <x v="345"/>
            <x v="346"/>
            <x v="347"/>
            <x v="351"/>
          </reference>
        </references>
      </pivotArea>
    </format>
    <format dxfId="1676">
      <pivotArea dataOnly="0" labelOnly="1" fieldPosition="0">
        <references count="5">
          <reference field="4" count="1" selected="0">
            <x v="11"/>
          </reference>
          <reference field="6" count="1" selected="0">
            <x v="0"/>
          </reference>
          <reference field="7" count="1" selected="0">
            <x v="17"/>
          </reference>
          <reference field="8" count="1" selected="0">
            <x v="71"/>
          </reference>
          <reference field="15" count="3">
            <x v="348"/>
            <x v="352"/>
            <x v="353"/>
          </reference>
        </references>
      </pivotArea>
    </format>
    <format dxfId="1675">
      <pivotArea dataOnly="0" labelOnly="1" fieldPosition="0">
        <references count="5">
          <reference field="4" count="1" selected="0">
            <x v="11"/>
          </reference>
          <reference field="6" count="1" selected="0">
            <x v="0"/>
          </reference>
          <reference field="7" count="1" selected="0">
            <x v="17"/>
          </reference>
          <reference field="8" count="1" selected="0">
            <x v="72"/>
          </reference>
          <reference field="15" count="3">
            <x v="143"/>
            <x v="349"/>
            <x v="350"/>
          </reference>
        </references>
      </pivotArea>
    </format>
    <format dxfId="1674">
      <pivotArea dataOnly="0" labelOnly="1" fieldPosition="0">
        <references count="5">
          <reference field="4" count="1" selected="0">
            <x v="12"/>
          </reference>
          <reference field="6" count="1" selected="0">
            <x v="0"/>
          </reference>
          <reference field="7" count="1" selected="0">
            <x v="18"/>
          </reference>
          <reference field="8" count="1" selected="0">
            <x v="74"/>
          </reference>
          <reference field="15" count="2">
            <x v="113"/>
            <x v="114"/>
          </reference>
        </references>
      </pivotArea>
    </format>
    <format dxfId="1673">
      <pivotArea dataOnly="0" labelOnly="1" fieldPosition="0">
        <references count="5">
          <reference field="4" count="1" selected="0">
            <x v="12"/>
          </reference>
          <reference field="6" count="1" selected="0">
            <x v="0"/>
          </reference>
          <reference field="7" count="1" selected="0">
            <x v="18"/>
          </reference>
          <reference field="8" count="1" selected="0">
            <x v="75"/>
          </reference>
          <reference field="15" count="1">
            <x v="116"/>
          </reference>
        </references>
      </pivotArea>
    </format>
    <format dxfId="1672">
      <pivotArea dataOnly="0" labelOnly="1" fieldPosition="0">
        <references count="5">
          <reference field="4" count="1" selected="0">
            <x v="12"/>
          </reference>
          <reference field="6" count="1" selected="0">
            <x v="0"/>
          </reference>
          <reference field="7" count="1" selected="0">
            <x v="18"/>
          </reference>
          <reference field="8" count="1" selected="0">
            <x v="76"/>
          </reference>
          <reference field="15" count="1">
            <x v="244"/>
          </reference>
        </references>
      </pivotArea>
    </format>
    <format dxfId="1671">
      <pivotArea dataOnly="0" labelOnly="1" fieldPosition="0">
        <references count="5">
          <reference field="4" count="1" selected="0">
            <x v="13"/>
          </reference>
          <reference field="6" count="1" selected="0">
            <x v="3"/>
          </reference>
          <reference field="7" count="1" selected="0">
            <x v="1"/>
          </reference>
          <reference field="8" count="1" selected="0">
            <x v="6"/>
          </reference>
          <reference field="15" count="1">
            <x v="340"/>
          </reference>
        </references>
      </pivotArea>
    </format>
    <format dxfId="1670">
      <pivotArea dataOnly="0" labelOnly="1" fieldPosition="0">
        <references count="5">
          <reference field="4" count="1" selected="0">
            <x v="13"/>
          </reference>
          <reference field="6" count="1" selected="0">
            <x v="3"/>
          </reference>
          <reference field="7" count="1" selected="0">
            <x v="5"/>
          </reference>
          <reference field="8" count="1" selected="0">
            <x v="22"/>
          </reference>
          <reference field="15" count="1">
            <x v="333"/>
          </reference>
        </references>
      </pivotArea>
    </format>
    <format dxfId="1669">
      <pivotArea dataOnly="0" labelOnly="1" fieldPosition="0">
        <references count="5">
          <reference field="4" count="1" selected="0">
            <x v="13"/>
          </reference>
          <reference field="6" count="1" selected="0">
            <x v="3"/>
          </reference>
          <reference field="7" count="1" selected="0">
            <x v="5"/>
          </reference>
          <reference field="8" count="1" selected="0">
            <x v="23"/>
          </reference>
          <reference field="15" count="1">
            <x v="332"/>
          </reference>
        </references>
      </pivotArea>
    </format>
    <format dxfId="1668">
      <pivotArea dataOnly="0" labelOnly="1" fieldPosition="0">
        <references count="5">
          <reference field="4" count="1" selected="0">
            <x v="13"/>
          </reference>
          <reference field="6" count="1" selected="0">
            <x v="3"/>
          </reference>
          <reference field="7" count="1" selected="0">
            <x v="5"/>
          </reference>
          <reference field="8" count="1" selected="0">
            <x v="24"/>
          </reference>
          <reference field="15" count="1">
            <x v="339"/>
          </reference>
        </references>
      </pivotArea>
    </format>
    <format dxfId="1667">
      <pivotArea dataOnly="0" labelOnly="1" fieldPosition="0">
        <references count="5">
          <reference field="4" count="1" selected="0">
            <x v="13"/>
          </reference>
          <reference field="6" count="1" selected="0">
            <x v="3"/>
          </reference>
          <reference field="7" count="1" selected="0">
            <x v="5"/>
          </reference>
          <reference field="8" count="1" selected="0">
            <x v="25"/>
          </reference>
          <reference field="15" count="1">
            <x v="342"/>
          </reference>
        </references>
      </pivotArea>
    </format>
    <format dxfId="1666">
      <pivotArea dataOnly="0" labelOnly="1" fieldPosition="0">
        <references count="5">
          <reference field="4" count="1" selected="0">
            <x v="13"/>
          </reference>
          <reference field="6" count="1" selected="0">
            <x v="3"/>
          </reference>
          <reference field="7" count="1" selected="0">
            <x v="5"/>
          </reference>
          <reference field="8" count="1" selected="0">
            <x v="26"/>
          </reference>
          <reference field="15" count="1">
            <x v="338"/>
          </reference>
        </references>
      </pivotArea>
    </format>
    <format dxfId="1665">
      <pivotArea dataOnly="0" labelOnly="1" fieldPosition="0">
        <references count="5">
          <reference field="4" count="1" selected="0">
            <x v="13"/>
          </reference>
          <reference field="6" count="1" selected="0">
            <x v="3"/>
          </reference>
          <reference field="7" count="1" selected="0">
            <x v="5"/>
          </reference>
          <reference field="8" count="1" selected="0">
            <x v="27"/>
          </reference>
          <reference field="15" count="1">
            <x v="341"/>
          </reference>
        </references>
      </pivotArea>
    </format>
    <format dxfId="1664">
      <pivotArea dataOnly="0" labelOnly="1" fieldPosition="0">
        <references count="5">
          <reference field="4" count="1" selected="0">
            <x v="14"/>
          </reference>
          <reference field="6" count="1" selected="0">
            <x v="1"/>
          </reference>
          <reference field="7" count="1" selected="0">
            <x v="26"/>
          </reference>
          <reference field="8" count="1" selected="0">
            <x v="125"/>
          </reference>
          <reference field="15" count="4">
            <x v="26"/>
            <x v="27"/>
            <x v="28"/>
            <x v="99"/>
          </reference>
        </references>
      </pivotArea>
    </format>
    <format dxfId="1663">
      <pivotArea dataOnly="0" labelOnly="1" fieldPosition="0">
        <references count="5">
          <reference field="4" count="1" selected="0">
            <x v="14"/>
          </reference>
          <reference field="6" count="1" selected="0">
            <x v="1"/>
          </reference>
          <reference field="7" count="1" selected="0">
            <x v="26"/>
          </reference>
          <reference field="8" count="1" selected="0">
            <x v="126"/>
          </reference>
          <reference field="15" count="1">
            <x v="19"/>
          </reference>
        </references>
      </pivotArea>
    </format>
    <format dxfId="1662">
      <pivotArea dataOnly="0" labelOnly="1" fieldPosition="0">
        <references count="5">
          <reference field="4" count="1" selected="0">
            <x v="14"/>
          </reference>
          <reference field="6" count="1" selected="0">
            <x v="1"/>
          </reference>
          <reference field="7" count="1" selected="0">
            <x v="26"/>
          </reference>
          <reference field="8" count="1" selected="0">
            <x v="127"/>
          </reference>
          <reference field="15" count="2">
            <x v="150"/>
            <x v="151"/>
          </reference>
        </references>
      </pivotArea>
    </format>
    <format dxfId="1661">
      <pivotArea dataOnly="0" labelOnly="1" fieldPosition="0">
        <references count="5">
          <reference field="4" count="1" selected="0">
            <x v="14"/>
          </reference>
          <reference field="6" count="1" selected="0">
            <x v="1"/>
          </reference>
          <reference field="7" count="1" selected="0">
            <x v="26"/>
          </reference>
          <reference field="8" count="1" selected="0">
            <x v="128"/>
          </reference>
          <reference field="15" count="2">
            <x v="29"/>
            <x v="30"/>
          </reference>
        </references>
      </pivotArea>
    </format>
    <format dxfId="1660">
      <pivotArea dataOnly="0" labelOnly="1" fieldPosition="0">
        <references count="5">
          <reference field="4" count="1" selected="0">
            <x v="14"/>
          </reference>
          <reference field="6" count="1" selected="0">
            <x v="1"/>
          </reference>
          <reference field="7" count="1" selected="0">
            <x v="26"/>
          </reference>
          <reference field="8" count="1" selected="0">
            <x v="129"/>
          </reference>
          <reference field="15" count="2">
            <x v="330"/>
            <x v="331"/>
          </reference>
        </references>
      </pivotArea>
    </format>
    <format dxfId="1659">
      <pivotArea dataOnly="0" labelOnly="1" fieldPosition="0">
        <references count="5">
          <reference field="4" count="1" selected="0">
            <x v="14"/>
          </reference>
          <reference field="6" count="1" selected="0">
            <x v="1"/>
          </reference>
          <reference field="7" count="1" selected="0">
            <x v="26"/>
          </reference>
          <reference field="8" count="1" selected="0">
            <x v="130"/>
          </reference>
          <reference field="15" count="2">
            <x v="367"/>
            <x v="368"/>
          </reference>
        </references>
      </pivotArea>
    </format>
    <format dxfId="1658">
      <pivotArea dataOnly="0" labelOnly="1" fieldPosition="0">
        <references count="5">
          <reference field="4" count="1" selected="0">
            <x v="14"/>
          </reference>
          <reference field="6" count="1" selected="0">
            <x v="1"/>
          </reference>
          <reference field="7" count="1" selected="0">
            <x v="26"/>
          </reference>
          <reference field="8" count="1" selected="0">
            <x v="131"/>
          </reference>
          <reference field="15" count="3">
            <x v="14"/>
            <x v="15"/>
            <x v="16"/>
          </reference>
        </references>
      </pivotArea>
    </format>
    <format dxfId="1657">
      <pivotArea dataOnly="0" labelOnly="1" fieldPosition="0">
        <references count="5">
          <reference field="4" count="1" selected="0">
            <x v="15"/>
          </reference>
          <reference field="6" count="1" selected="0">
            <x v="0"/>
          </reference>
          <reference field="7" count="1" selected="0">
            <x v="20"/>
          </reference>
          <reference field="8" count="1" selected="0">
            <x v="82"/>
          </reference>
          <reference field="15" count="2">
            <x v="73"/>
            <x v="74"/>
          </reference>
        </references>
      </pivotArea>
    </format>
    <format dxfId="1656">
      <pivotArea dataOnly="0" labelOnly="1" fieldPosition="0">
        <references count="5">
          <reference field="4" count="1" selected="0">
            <x v="15"/>
          </reference>
          <reference field="6" count="1" selected="0">
            <x v="0"/>
          </reference>
          <reference field="7" count="1" selected="0">
            <x v="20"/>
          </reference>
          <reference field="8" count="1" selected="0">
            <x v="83"/>
          </reference>
          <reference field="15" count="1">
            <x v="75"/>
          </reference>
        </references>
      </pivotArea>
    </format>
    <format dxfId="1655">
      <pivotArea dataOnly="0" labelOnly="1" fieldPosition="0">
        <references count="5">
          <reference field="4" count="1" selected="0">
            <x v="15"/>
          </reference>
          <reference field="6" count="1" selected="0">
            <x v="0"/>
          </reference>
          <reference field="7" count="1" selected="0">
            <x v="20"/>
          </reference>
          <reference field="8" count="1" selected="0">
            <x v="84"/>
          </reference>
          <reference field="15" count="1">
            <x v="76"/>
          </reference>
        </references>
      </pivotArea>
    </format>
    <format dxfId="1654">
      <pivotArea dataOnly="0" labelOnly="1" fieldPosition="0">
        <references count="5">
          <reference field="4" count="1" selected="0">
            <x v="15"/>
          </reference>
          <reference field="6" count="1" selected="0">
            <x v="0"/>
          </reference>
          <reference field="7" count="1" selected="0">
            <x v="20"/>
          </reference>
          <reference field="8" count="1" selected="0">
            <x v="85"/>
          </reference>
          <reference field="15" count="1">
            <x v="259"/>
          </reference>
        </references>
      </pivotArea>
    </format>
    <format dxfId="1653">
      <pivotArea dataOnly="0" labelOnly="1" fieldPosition="0">
        <references count="5">
          <reference field="4" count="1" selected="0">
            <x v="15"/>
          </reference>
          <reference field="6" count="1" selected="0">
            <x v="0"/>
          </reference>
          <reference field="7" count="1" selected="0">
            <x v="20"/>
          </reference>
          <reference field="8" count="1" selected="0">
            <x v="86"/>
          </reference>
          <reference field="15" count="3">
            <x v="132"/>
            <x v="133"/>
            <x v="134"/>
          </reference>
        </references>
      </pivotArea>
    </format>
    <format dxfId="1652">
      <pivotArea dataOnly="0" labelOnly="1" fieldPosition="0">
        <references count="5">
          <reference field="4" count="1" selected="0">
            <x v="16"/>
          </reference>
          <reference field="6" count="1" selected="0">
            <x v="1"/>
          </reference>
          <reference field="7" count="1" selected="0">
            <x v="27"/>
          </reference>
          <reference field="8" count="1" selected="0">
            <x v="132"/>
          </reference>
          <reference field="15" count="1">
            <x v="20"/>
          </reference>
        </references>
      </pivotArea>
    </format>
    <format dxfId="1651">
      <pivotArea dataOnly="0" labelOnly="1" fieldPosition="0">
        <references count="5">
          <reference field="4" count="1" selected="0">
            <x v="16"/>
          </reference>
          <reference field="6" count="1" selected="0">
            <x v="1"/>
          </reference>
          <reference field="7" count="1" selected="0">
            <x v="27"/>
          </reference>
          <reference field="8" count="1" selected="0">
            <x v="133"/>
          </reference>
          <reference field="15" count="3">
            <x v="21"/>
            <x v="22"/>
            <x v="23"/>
          </reference>
        </references>
      </pivotArea>
    </format>
    <format dxfId="1650">
      <pivotArea dataOnly="0" labelOnly="1" fieldPosition="0">
        <references count="5">
          <reference field="4" count="1" selected="0">
            <x v="16"/>
          </reference>
          <reference field="6" count="1" selected="0">
            <x v="1"/>
          </reference>
          <reference field="7" count="1" selected="0">
            <x v="27"/>
          </reference>
          <reference field="8" count="1" selected="0">
            <x v="134"/>
          </reference>
          <reference field="15" count="2">
            <x v="149"/>
            <x v="354"/>
          </reference>
        </references>
      </pivotArea>
    </format>
    <format dxfId="1649">
      <pivotArea dataOnly="0" labelOnly="1" fieldPosition="0">
        <references count="5">
          <reference field="4" count="1" selected="0">
            <x v="16"/>
          </reference>
          <reference field="6" count="1" selected="0">
            <x v="1"/>
          </reference>
          <reference field="7" count="1" selected="0">
            <x v="27"/>
          </reference>
          <reference field="8" count="1" selected="0">
            <x v="135"/>
          </reference>
          <reference field="15" count="2">
            <x v="109"/>
            <x v="363"/>
          </reference>
        </references>
      </pivotArea>
    </format>
    <format dxfId="1648">
      <pivotArea dataOnly="0" labelOnly="1" fieldPosition="0">
        <references count="5">
          <reference field="4" count="1" selected="0">
            <x v="16"/>
          </reference>
          <reference field="6" count="1" selected="0">
            <x v="1"/>
          </reference>
          <reference field="7" count="1" selected="0">
            <x v="27"/>
          </reference>
          <reference field="8" count="1" selected="0">
            <x v="136"/>
          </reference>
          <reference field="15" count="2">
            <x v="81"/>
            <x v="148"/>
          </reference>
        </references>
      </pivotArea>
    </format>
    <format dxfId="1647">
      <pivotArea dataOnly="0" labelOnly="1" fieldPosition="0">
        <references count="5">
          <reference field="4" count="1" selected="0">
            <x v="16"/>
          </reference>
          <reference field="6" count="1" selected="0">
            <x v="1"/>
          </reference>
          <reference field="7" count="1" selected="0">
            <x v="27"/>
          </reference>
          <reference field="8" count="1" selected="0">
            <x v="137"/>
          </reference>
          <reference field="15" count="2">
            <x v="111"/>
            <x v="112"/>
          </reference>
        </references>
      </pivotArea>
    </format>
    <format dxfId="1646">
      <pivotArea dataOnly="0" labelOnly="1" fieldPosition="0">
        <references count="5">
          <reference field="4" count="1" selected="0">
            <x v="16"/>
          </reference>
          <reference field="6" count="1" selected="0">
            <x v="3"/>
          </reference>
          <reference field="7" count="1" selected="0">
            <x v="1"/>
          </reference>
          <reference field="8" count="1" selected="0">
            <x v="6"/>
          </reference>
          <reference field="15" count="1">
            <x v="362"/>
          </reference>
        </references>
      </pivotArea>
    </format>
    <format dxfId="1645">
      <pivotArea dataOnly="0" labelOnly="1" fieldPosition="0">
        <references count="5">
          <reference field="4" count="1" selected="0">
            <x v="16"/>
          </reference>
          <reference field="6" count="1" selected="0">
            <x v="4"/>
          </reference>
          <reference field="7" count="1" selected="0">
            <x v="8"/>
          </reference>
          <reference field="8" count="1" selected="0">
            <x v="38"/>
          </reference>
          <reference field="15" count="1">
            <x v="229"/>
          </reference>
        </references>
      </pivotArea>
    </format>
    <format dxfId="1644">
      <pivotArea dataOnly="0" labelOnly="1" fieldPosition="0">
        <references count="5">
          <reference field="4" count="1" selected="0">
            <x v="16"/>
          </reference>
          <reference field="6" count="1" selected="0">
            <x v="4"/>
          </reference>
          <reference field="7" count="1" selected="0">
            <x v="11"/>
          </reference>
          <reference field="8" count="1" selected="0">
            <x v="48"/>
          </reference>
          <reference field="15" count="1">
            <x v="200"/>
          </reference>
        </references>
      </pivotArea>
    </format>
    <format dxfId="1643">
      <pivotArea dataOnly="0" labelOnly="1" fieldPosition="0">
        <references count="5">
          <reference field="4" count="1" selected="0">
            <x v="17"/>
          </reference>
          <reference field="6" count="1" selected="0">
            <x v="0"/>
          </reference>
          <reference field="7" count="1" selected="0">
            <x v="16"/>
          </reference>
          <reference field="8" count="1" selected="0">
            <x v="57"/>
          </reference>
          <reference field="15" count="5">
            <x v="110"/>
            <x v="284"/>
            <x v="285"/>
            <x v="294"/>
            <x v="295"/>
          </reference>
        </references>
      </pivotArea>
    </format>
    <format dxfId="1642">
      <pivotArea dataOnly="0" labelOnly="1" fieldPosition="0">
        <references count="5">
          <reference field="4" count="1" selected="0">
            <x v="17"/>
          </reference>
          <reference field="6" count="1" selected="0">
            <x v="0"/>
          </reference>
          <reference field="7" count="1" selected="0">
            <x v="16"/>
          </reference>
          <reference field="8" count="1" selected="0">
            <x v="58"/>
          </reference>
          <reference field="15" count="2">
            <x v="299"/>
            <x v="300"/>
          </reference>
        </references>
      </pivotArea>
    </format>
    <format dxfId="1641">
      <pivotArea dataOnly="0" labelOnly="1" fieldPosition="0">
        <references count="5">
          <reference field="4" count="1" selected="0">
            <x v="17"/>
          </reference>
          <reference field="6" count="1" selected="0">
            <x v="0"/>
          </reference>
          <reference field="7" count="1" selected="0">
            <x v="16"/>
          </reference>
          <reference field="8" count="1" selected="0">
            <x v="59"/>
          </reference>
          <reference field="15" count="2">
            <x v="94"/>
            <x v="95"/>
          </reference>
        </references>
      </pivotArea>
    </format>
    <format dxfId="1640">
      <pivotArea dataOnly="0" labelOnly="1" fieldPosition="0">
        <references count="5">
          <reference field="4" count="1" selected="0">
            <x v="17"/>
          </reference>
          <reference field="6" count="1" selected="0">
            <x v="0"/>
          </reference>
          <reference field="7" count="1" selected="0">
            <x v="16"/>
          </reference>
          <reference field="8" count="1" selected="0">
            <x v="60"/>
          </reference>
          <reference field="15" count="5">
            <x v="102"/>
            <x v="103"/>
            <x v="104"/>
            <x v="322"/>
            <x v="323"/>
          </reference>
        </references>
      </pivotArea>
    </format>
    <format dxfId="1639">
      <pivotArea dataOnly="0" labelOnly="1" fieldPosition="0">
        <references count="5">
          <reference field="4" count="1" selected="0">
            <x v="17"/>
          </reference>
          <reference field="6" count="1" selected="0">
            <x v="0"/>
          </reference>
          <reference field="7" count="1" selected="0">
            <x v="16"/>
          </reference>
          <reference field="8" count="1" selected="0">
            <x v="61"/>
          </reference>
          <reference field="15" count="2">
            <x v="296"/>
            <x v="297"/>
          </reference>
        </references>
      </pivotArea>
    </format>
    <format dxfId="1638">
      <pivotArea dataOnly="0" labelOnly="1" fieldPosition="0">
        <references count="5">
          <reference field="4" count="1" selected="0">
            <x v="17"/>
          </reference>
          <reference field="6" count="1" selected="0">
            <x v="0"/>
          </reference>
          <reference field="7" count="1" selected="0">
            <x v="16"/>
          </reference>
          <reference field="8" count="1" selected="0">
            <x v="62"/>
          </reference>
          <reference field="15" count="1">
            <x v="93"/>
          </reference>
        </references>
      </pivotArea>
    </format>
    <format dxfId="1637">
      <pivotArea dataOnly="0" labelOnly="1" fieldPosition="0">
        <references count="5">
          <reference field="4" count="1" selected="0">
            <x v="17"/>
          </reference>
          <reference field="6" count="1" selected="0">
            <x v="0"/>
          </reference>
          <reference field="7" count="1" selected="0">
            <x v="16"/>
          </reference>
          <reference field="8" count="1" selected="0">
            <x v="63"/>
          </reference>
          <reference field="15" count="2">
            <x v="315"/>
            <x v="316"/>
          </reference>
        </references>
      </pivotArea>
    </format>
    <format dxfId="1636">
      <pivotArea dataOnly="0" labelOnly="1" fieldPosition="0">
        <references count="5">
          <reference field="4" count="1" selected="0">
            <x v="17"/>
          </reference>
          <reference field="6" count="1" selected="0">
            <x v="0"/>
          </reference>
          <reference field="7" count="1" selected="0">
            <x v="22"/>
          </reference>
          <reference field="8" count="1" selected="0">
            <x v="94"/>
          </reference>
          <reference field="15" count="2">
            <x v="105"/>
            <x v="106"/>
          </reference>
        </references>
      </pivotArea>
    </format>
    <format dxfId="1635">
      <pivotArea dataOnly="0" labelOnly="1" fieldPosition="0">
        <references count="5">
          <reference field="4" count="1" selected="0">
            <x v="18"/>
          </reference>
          <reference field="6" count="1" selected="0">
            <x v="3"/>
          </reference>
          <reference field="7" count="1" selected="0">
            <x v="2"/>
          </reference>
          <reference field="8" count="1" selected="0">
            <x v="8"/>
          </reference>
          <reference field="15" count="2">
            <x v="375"/>
            <x v="376"/>
          </reference>
        </references>
      </pivotArea>
    </format>
    <format dxfId="1634">
      <pivotArea dataOnly="0" labelOnly="1" fieldPosition="0">
        <references count="5">
          <reference field="4" count="1" selected="0">
            <x v="18"/>
          </reference>
          <reference field="6" count="1" selected="0">
            <x v="3"/>
          </reference>
          <reference field="7" count="1" selected="0">
            <x v="2"/>
          </reference>
          <reference field="8" count="1" selected="0">
            <x v="9"/>
          </reference>
          <reference field="15" count="1">
            <x v="266"/>
          </reference>
        </references>
      </pivotArea>
    </format>
    <format dxfId="1633">
      <pivotArea dataOnly="0" labelOnly="1" fieldPosition="0">
        <references count="5">
          <reference field="4" count="1" selected="0">
            <x v="18"/>
          </reference>
          <reference field="6" count="1" selected="0">
            <x v="3"/>
          </reference>
          <reference field="7" count="1" selected="0">
            <x v="2"/>
          </reference>
          <reference field="8" count="1" selected="0">
            <x v="16"/>
          </reference>
          <reference field="15" count="2">
            <x v="271"/>
            <x v="272"/>
          </reference>
        </references>
      </pivotArea>
    </format>
    <format dxfId="1632">
      <pivotArea dataOnly="0" labelOnly="1" fieldPosition="0">
        <references count="5">
          <reference field="4" count="1" selected="0">
            <x v="18"/>
          </reference>
          <reference field="6" count="1" selected="0">
            <x v="3"/>
          </reference>
          <reference field="7" count="1" selected="0">
            <x v="2"/>
          </reference>
          <reference field="8" count="1" selected="0">
            <x v="17"/>
          </reference>
          <reference field="15" count="3">
            <x v="286"/>
            <x v="287"/>
            <x v="288"/>
          </reference>
        </references>
      </pivotArea>
    </format>
    <format dxfId="1631">
      <pivotArea dataOnly="0" labelOnly="1" fieldPosition="0">
        <references count="5">
          <reference field="4" count="1" selected="0">
            <x v="19"/>
          </reference>
          <reference field="6" count="1" selected="0">
            <x v="3"/>
          </reference>
          <reference field="7" count="1" selected="0">
            <x v="6"/>
          </reference>
          <reference field="8" count="1" selected="0">
            <x v="29"/>
          </reference>
          <reference field="15" count="24">
            <x v="4"/>
            <x v="168"/>
            <x v="169"/>
            <x v="170"/>
            <x v="171"/>
            <x v="172"/>
            <x v="173"/>
            <x v="174"/>
            <x v="183"/>
            <x v="184"/>
            <x v="185"/>
            <x v="186"/>
            <x v="187"/>
            <x v="188"/>
            <x v="194"/>
            <x v="195"/>
            <x v="196"/>
            <x v="197"/>
            <x v="198"/>
            <x v="199"/>
            <x v="203"/>
            <x v="204"/>
            <x v="223"/>
            <x v="258"/>
          </reference>
        </references>
      </pivotArea>
    </format>
    <format dxfId="1630">
      <pivotArea dataOnly="0" labelOnly="1" fieldPosition="0">
        <references count="5">
          <reference field="4" count="1" selected="0">
            <x v="20"/>
          </reference>
          <reference field="6" count="1" selected="0">
            <x v="1"/>
          </reference>
          <reference field="7" count="1" selected="0">
            <x v="24"/>
          </reference>
          <reference field="8" count="1" selected="0">
            <x v="106"/>
          </reference>
          <reference field="15" count="2">
            <x v="239"/>
            <x v="240"/>
          </reference>
        </references>
      </pivotArea>
    </format>
    <format dxfId="1629">
      <pivotArea dataOnly="0" labelOnly="1" outline="0" fieldPosition="0">
        <references count="1">
          <reference field="4294967294" count="2">
            <x v="7"/>
            <x v="8"/>
          </reference>
        </references>
      </pivotArea>
    </format>
    <format dxfId="1628">
      <pivotArea outline="0" collapsedLevelsAreSubtotals="1" fieldPosition="0"/>
    </format>
    <format dxfId="1627">
      <pivotArea dataOnly="0" labelOnly="1" outline="0" fieldPosition="0">
        <references count="1">
          <reference field="2" count="0"/>
        </references>
      </pivotArea>
    </format>
    <format dxfId="1626">
      <pivotArea dataOnly="0" labelOnly="1" outline="0" fieldPosition="0">
        <references count="1">
          <reference field="4294967294" count="9">
            <x v="0"/>
            <x v="1"/>
            <x v="2"/>
            <x v="3"/>
            <x v="4"/>
            <x v="5"/>
            <x v="6"/>
            <x v="7"/>
            <x v="8"/>
          </reference>
        </references>
      </pivotArea>
    </format>
    <format dxfId="1625">
      <pivotArea outline="0" collapsedLevelsAreSubtotals="1" fieldPosition="0">
        <references count="1">
          <reference field="4294967294" count="2" selected="0">
            <x v="7"/>
            <x v="8"/>
          </reference>
        </references>
      </pivotArea>
    </format>
    <format dxfId="1624">
      <pivotArea dataOnly="0" labelOnly="1" outline="0" fieldPosition="0">
        <references count="1">
          <reference field="4294967294" count="2">
            <x v="7"/>
            <x v="8"/>
          </reference>
        </references>
      </pivotArea>
    </format>
    <format dxfId="1623">
      <pivotArea field="2" type="button" dataOnly="0" labelOnly="1" outline="0" axis="axisPage" fieldPosition="0"/>
    </format>
    <format dxfId="1622">
      <pivotArea field="4" type="button" dataOnly="0" labelOnly="1" outline="0" axis="axisRow" fieldPosition="0"/>
    </format>
    <format dxfId="1621">
      <pivotArea dataOnly="0" labelOnly="1" fieldPosition="0">
        <references count="1">
          <reference field="4" count="1">
            <x v="16"/>
          </reference>
        </references>
      </pivotArea>
    </format>
    <format dxfId="1620">
      <pivotArea dataOnly="0" labelOnly="1" grandRow="1" outline="0" fieldPosition="0"/>
    </format>
    <format dxfId="1619">
      <pivotArea dataOnly="0" labelOnly="1" fieldPosition="0">
        <references count="2">
          <reference field="4" count="1" selected="0">
            <x v="16"/>
          </reference>
          <reference field="6" count="3">
            <x v="1"/>
            <x v="3"/>
            <x v="4"/>
          </reference>
        </references>
      </pivotArea>
    </format>
    <format dxfId="1618">
      <pivotArea dataOnly="0" labelOnly="1" fieldPosition="0">
        <references count="3">
          <reference field="4" count="1" selected="0">
            <x v="16"/>
          </reference>
          <reference field="6" count="1" selected="0">
            <x v="1"/>
          </reference>
          <reference field="7" count="1">
            <x v="27"/>
          </reference>
        </references>
      </pivotArea>
    </format>
    <format dxfId="1617">
      <pivotArea dataOnly="0" labelOnly="1" fieldPosition="0">
        <references count="3">
          <reference field="4" count="1" selected="0">
            <x v="16"/>
          </reference>
          <reference field="6" count="1" selected="0">
            <x v="3"/>
          </reference>
          <reference field="7" count="1">
            <x v="1"/>
          </reference>
        </references>
      </pivotArea>
    </format>
    <format dxfId="1616">
      <pivotArea dataOnly="0" labelOnly="1" fieldPosition="0">
        <references count="3">
          <reference field="4" count="1" selected="0">
            <x v="16"/>
          </reference>
          <reference field="6" count="1" selected="0">
            <x v="4"/>
          </reference>
          <reference field="7" count="2">
            <x v="8"/>
            <x v="11"/>
          </reference>
        </references>
      </pivotArea>
    </format>
    <format dxfId="1615">
      <pivotArea dataOnly="0" labelOnly="1" fieldPosition="0">
        <references count="4">
          <reference field="4" count="1" selected="0">
            <x v="16"/>
          </reference>
          <reference field="6" count="1" selected="0">
            <x v="1"/>
          </reference>
          <reference field="7" count="1" selected="0">
            <x v="27"/>
          </reference>
          <reference field="8" count="6">
            <x v="132"/>
            <x v="133"/>
            <x v="134"/>
            <x v="135"/>
            <x v="136"/>
            <x v="137"/>
          </reference>
        </references>
      </pivotArea>
    </format>
    <format dxfId="1614">
      <pivotArea dataOnly="0" labelOnly="1" fieldPosition="0">
        <references count="4">
          <reference field="4" count="1" selected="0">
            <x v="16"/>
          </reference>
          <reference field="6" count="1" selected="0">
            <x v="3"/>
          </reference>
          <reference field="7" count="1" selected="0">
            <x v="1"/>
          </reference>
          <reference field="8" count="1">
            <x v="6"/>
          </reference>
        </references>
      </pivotArea>
    </format>
    <format dxfId="1613">
      <pivotArea dataOnly="0" labelOnly="1" fieldPosition="0">
        <references count="4">
          <reference field="4" count="1" selected="0">
            <x v="16"/>
          </reference>
          <reference field="6" count="1" selected="0">
            <x v="4"/>
          </reference>
          <reference field="7" count="1" selected="0">
            <x v="8"/>
          </reference>
          <reference field="8" count="1">
            <x v="38"/>
          </reference>
        </references>
      </pivotArea>
    </format>
    <format dxfId="1612">
      <pivotArea dataOnly="0" labelOnly="1" fieldPosition="0">
        <references count="4">
          <reference field="4" count="1" selected="0">
            <x v="16"/>
          </reference>
          <reference field="6" count="1" selected="0">
            <x v="4"/>
          </reference>
          <reference field="7" count="1" selected="0">
            <x v="11"/>
          </reference>
          <reference field="8" count="1">
            <x v="48"/>
          </reference>
        </references>
      </pivotArea>
    </format>
    <format dxfId="1611">
      <pivotArea dataOnly="0" labelOnly="1" fieldPosition="0">
        <references count="5">
          <reference field="4" count="1" selected="0">
            <x v="16"/>
          </reference>
          <reference field="6" count="1" selected="0">
            <x v="1"/>
          </reference>
          <reference field="7" count="1" selected="0">
            <x v="27"/>
          </reference>
          <reference field="8" count="1" selected="0">
            <x v="132"/>
          </reference>
          <reference field="15" count="1">
            <x v="20"/>
          </reference>
        </references>
      </pivotArea>
    </format>
    <format dxfId="1610">
      <pivotArea dataOnly="0" labelOnly="1" fieldPosition="0">
        <references count="5">
          <reference field="4" count="1" selected="0">
            <x v="16"/>
          </reference>
          <reference field="6" count="1" selected="0">
            <x v="1"/>
          </reference>
          <reference field="7" count="1" selected="0">
            <x v="27"/>
          </reference>
          <reference field="8" count="1" selected="0">
            <x v="133"/>
          </reference>
          <reference field="15" count="3">
            <x v="21"/>
            <x v="22"/>
            <x v="23"/>
          </reference>
        </references>
      </pivotArea>
    </format>
    <format dxfId="1609">
      <pivotArea dataOnly="0" labelOnly="1" fieldPosition="0">
        <references count="5">
          <reference field="4" count="1" selected="0">
            <x v="16"/>
          </reference>
          <reference field="6" count="1" selected="0">
            <x v="1"/>
          </reference>
          <reference field="7" count="1" selected="0">
            <x v="27"/>
          </reference>
          <reference field="8" count="1" selected="0">
            <x v="134"/>
          </reference>
          <reference field="15" count="2">
            <x v="149"/>
            <x v="354"/>
          </reference>
        </references>
      </pivotArea>
    </format>
    <format dxfId="1608">
      <pivotArea dataOnly="0" labelOnly="1" fieldPosition="0">
        <references count="5">
          <reference field="4" count="1" selected="0">
            <x v="16"/>
          </reference>
          <reference field="6" count="1" selected="0">
            <x v="1"/>
          </reference>
          <reference field="7" count="1" selected="0">
            <x v="27"/>
          </reference>
          <reference field="8" count="1" selected="0">
            <x v="135"/>
          </reference>
          <reference field="15" count="2">
            <x v="109"/>
            <x v="363"/>
          </reference>
        </references>
      </pivotArea>
    </format>
    <format dxfId="1607">
      <pivotArea dataOnly="0" labelOnly="1" fieldPosition="0">
        <references count="5">
          <reference field="4" count="1" selected="0">
            <x v="16"/>
          </reference>
          <reference field="6" count="1" selected="0">
            <x v="1"/>
          </reference>
          <reference field="7" count="1" selected="0">
            <x v="27"/>
          </reference>
          <reference field="8" count="1" selected="0">
            <x v="136"/>
          </reference>
          <reference field="15" count="2">
            <x v="81"/>
            <x v="148"/>
          </reference>
        </references>
      </pivotArea>
    </format>
    <format dxfId="1606">
      <pivotArea dataOnly="0" labelOnly="1" fieldPosition="0">
        <references count="5">
          <reference field="4" count="1" selected="0">
            <x v="16"/>
          </reference>
          <reference field="6" count="1" selected="0">
            <x v="1"/>
          </reference>
          <reference field="7" count="1" selected="0">
            <x v="27"/>
          </reference>
          <reference field="8" count="1" selected="0">
            <x v="137"/>
          </reference>
          <reference field="15" count="2">
            <x v="111"/>
            <x v="112"/>
          </reference>
        </references>
      </pivotArea>
    </format>
    <format dxfId="1605">
      <pivotArea dataOnly="0" labelOnly="1" fieldPosition="0">
        <references count="5">
          <reference field="4" count="1" selected="0">
            <x v="16"/>
          </reference>
          <reference field="6" count="1" selected="0">
            <x v="3"/>
          </reference>
          <reference field="7" count="1" selected="0">
            <x v="1"/>
          </reference>
          <reference field="8" count="1" selected="0">
            <x v="6"/>
          </reference>
          <reference field="15" count="1">
            <x v="362"/>
          </reference>
        </references>
      </pivotArea>
    </format>
    <format dxfId="1604">
      <pivotArea dataOnly="0" labelOnly="1" fieldPosition="0">
        <references count="5">
          <reference field="4" count="1" selected="0">
            <x v="16"/>
          </reference>
          <reference field="6" count="1" selected="0">
            <x v="4"/>
          </reference>
          <reference field="7" count="1" selected="0">
            <x v="8"/>
          </reference>
          <reference field="8" count="1" selected="0">
            <x v="38"/>
          </reference>
          <reference field="15" count="1">
            <x v="229"/>
          </reference>
        </references>
      </pivotArea>
    </format>
    <format dxfId="1603">
      <pivotArea dataOnly="0" labelOnly="1" fieldPosition="0">
        <references count="5">
          <reference field="4" count="1" selected="0">
            <x v="16"/>
          </reference>
          <reference field="6" count="1" selected="0">
            <x v="4"/>
          </reference>
          <reference field="7" count="1" selected="0">
            <x v="11"/>
          </reference>
          <reference field="8" count="1" selected="0">
            <x v="48"/>
          </reference>
          <reference field="15" count="1">
            <x v="20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4" cacheId="2" applyNumberFormats="0" applyBorderFormats="0" applyFontFormats="0" applyPatternFormats="0" applyAlignmentFormats="0" applyWidthHeightFormats="1" dataCaption="Valores" grandTotalCaption="TOTAL " updatedVersion="8" minRefreshableVersion="3" useAutoFormatting="1" itemPrintTitles="1" createdVersion="8" indent="0" outline="1" outlineData="1" multipleFieldFilters="0" rowHeaderCaption="UNIDAD EJECUTORA">
  <location ref="A3:J37" firstHeaderRow="0" firstDataRow="1" firstDataCol="1" rowPageCount="1" colPageCount="1"/>
  <pivotFields count="33">
    <pivotField showAll="0"/>
    <pivotField showAll="0"/>
    <pivotField axis="axisPage" showAll="0">
      <items count="22">
        <item x="4"/>
        <item x="3"/>
        <item x="14"/>
        <item x="0"/>
        <item x="13"/>
        <item x="17"/>
        <item x="7"/>
        <item x="9"/>
        <item x="15"/>
        <item x="8"/>
        <item x="1"/>
        <item x="16"/>
        <item x="12"/>
        <item x="20"/>
        <item x="5"/>
        <item x="10"/>
        <item x="6"/>
        <item x="11"/>
        <item x="19"/>
        <item x="2"/>
        <item x="18"/>
        <item t="default"/>
      </items>
    </pivotField>
    <pivotField showAll="0"/>
    <pivotField axis="axisRow" showAll="0">
      <items count="22">
        <item x="4"/>
        <item x="3"/>
        <item x="14"/>
        <item x="0"/>
        <item x="13"/>
        <item x="17"/>
        <item x="7"/>
        <item x="9"/>
        <item x="15"/>
        <item x="8"/>
        <item x="1"/>
        <item x="16"/>
        <item x="12"/>
        <item x="20"/>
        <item x="5"/>
        <item x="10"/>
        <item x="6"/>
        <item x="11"/>
        <item x="19"/>
        <item x="2"/>
        <item x="18"/>
        <item t="default"/>
      </items>
    </pivotField>
    <pivotField numFmtId="1" showAll="0"/>
    <pivotField axis="axisRow" showAll="0">
      <items count="6">
        <item x="1"/>
        <item x="2"/>
        <item x="3"/>
        <item x="0"/>
        <item x="4"/>
        <item t="default"/>
      </items>
    </pivotField>
    <pivotField axis="axisRow" showAll="0">
      <items count="34">
        <item x="19"/>
        <item x="27"/>
        <item x="1"/>
        <item x="2"/>
        <item x="8"/>
        <item x="30"/>
        <item x="0"/>
        <item x="32"/>
        <item x="25"/>
        <item x="29"/>
        <item x="12"/>
        <item x="15"/>
        <item x="13"/>
        <item x="28"/>
        <item x="23"/>
        <item x="31"/>
        <item x="16"/>
        <item x="10"/>
        <item x="18"/>
        <item x="3"/>
        <item x="14"/>
        <item x="20"/>
        <item x="17"/>
        <item x="9"/>
        <item x="6"/>
        <item x="7"/>
        <item x="4"/>
        <item x="5"/>
        <item x="24"/>
        <item x="11"/>
        <item x="21"/>
        <item x="26"/>
        <item x="22"/>
        <item t="default"/>
      </items>
    </pivotField>
    <pivotField axis="axisRow" showAll="0">
      <items count="161">
        <item x="62"/>
        <item x="155"/>
        <item x="112"/>
        <item x="156"/>
        <item x="118"/>
        <item x="154"/>
        <item x="140"/>
        <item x="60"/>
        <item x="153"/>
        <item x="102"/>
        <item x="7"/>
        <item x="2"/>
        <item x="52"/>
        <item x="1"/>
        <item x="22"/>
        <item x="151"/>
        <item x="105"/>
        <item x="114"/>
        <item x="82"/>
        <item x="3"/>
        <item x="15"/>
        <item x="49"/>
        <item x="135"/>
        <item x="134"/>
        <item x="139"/>
        <item x="142"/>
        <item x="138"/>
        <item x="141"/>
        <item x="128"/>
        <item x="0"/>
        <item x="103"/>
        <item x="159"/>
        <item x="150"/>
        <item x="86"/>
        <item x="152"/>
        <item x="137"/>
        <item x="110"/>
        <item x="79"/>
        <item x="80"/>
        <item x="83"/>
        <item x="126"/>
        <item x="131"/>
        <item x="132"/>
        <item x="129"/>
        <item x="28"/>
        <item x="27"/>
        <item x="29"/>
        <item x="26"/>
        <item x="43"/>
        <item x="42"/>
        <item x="32"/>
        <item x="122"/>
        <item x="124"/>
        <item x="123"/>
        <item x="111"/>
        <item x="69"/>
        <item x="136"/>
        <item x="55"/>
        <item x="119"/>
        <item x="46"/>
        <item x="50"/>
        <item x="117"/>
        <item x="45"/>
        <item x="127"/>
        <item x="106"/>
        <item x="53"/>
        <item x="147"/>
        <item x="146"/>
        <item x="38"/>
        <item x="20"/>
        <item x="144"/>
        <item x="145"/>
        <item x="74"/>
        <item x="89"/>
        <item x="57"/>
        <item x="59"/>
        <item x="88"/>
        <item x="108"/>
        <item x="85"/>
        <item x="5"/>
        <item x="4"/>
        <item x="81"/>
        <item x="35"/>
        <item x="36"/>
        <item x="37"/>
        <item x="98"/>
        <item x="67"/>
        <item x="63"/>
        <item x="116"/>
        <item x="125"/>
        <item x="157"/>
        <item x="101"/>
        <item x="66"/>
        <item x="149"/>
        <item x="51"/>
        <item x="90"/>
        <item x="91"/>
        <item x="97"/>
        <item x="21"/>
        <item x="94"/>
        <item x="93"/>
        <item x="95"/>
        <item x="18"/>
        <item x="92"/>
        <item x="96"/>
        <item x="11"/>
        <item x="87"/>
        <item x="61"/>
        <item x="48"/>
        <item x="47"/>
        <item x="58"/>
        <item x="130"/>
        <item x="39"/>
        <item x="33"/>
        <item x="100"/>
        <item x="16"/>
        <item x="30"/>
        <item x="44"/>
        <item x="34"/>
        <item x="31"/>
        <item x="41"/>
        <item x="19"/>
        <item x="17"/>
        <item x="14"/>
        <item x="99"/>
        <item x="12"/>
        <item x="8"/>
        <item x="78"/>
        <item x="13"/>
        <item x="133"/>
        <item x="148"/>
        <item x="6"/>
        <item x="9"/>
        <item x="10"/>
        <item x="77"/>
        <item x="54"/>
        <item x="40"/>
        <item x="56"/>
        <item x="104"/>
        <item x="76"/>
        <item x="25"/>
        <item x="109"/>
        <item x="113"/>
        <item x="115"/>
        <item x="24"/>
        <item x="23"/>
        <item x="70"/>
        <item x="64"/>
        <item x="73"/>
        <item x="71"/>
        <item x="75"/>
        <item x="158"/>
        <item x="65"/>
        <item x="72"/>
        <item x="107"/>
        <item x="84"/>
        <item x="121"/>
        <item x="120"/>
        <item x="143"/>
        <item x="68"/>
        <item t="default"/>
      </items>
    </pivotField>
    <pivotField showAll="0"/>
    <pivotField showAll="0"/>
    <pivotField showAll="0"/>
    <pivotField showAll="0"/>
    <pivotField showAll="0"/>
    <pivotField showAll="0"/>
    <pivotField axis="axisRow" showAll="0">
      <items count="402">
        <item x="1"/>
        <item x="0"/>
        <item x="3"/>
        <item x="2"/>
        <item x="4"/>
        <item x="5"/>
        <item x="6"/>
        <item x="8"/>
        <item x="7"/>
        <item x="9"/>
        <item x="11"/>
        <item x="10"/>
        <item x="12"/>
        <item x="13"/>
        <item x="16"/>
        <item x="15"/>
        <item x="14"/>
        <item x="18"/>
        <item x="17"/>
        <item x="19"/>
        <item x="20"/>
        <item x="21"/>
        <item x="22"/>
        <item x="23"/>
        <item x="25"/>
        <item x="24"/>
        <item x="27"/>
        <item x="26"/>
        <item x="28"/>
        <item x="29"/>
        <item x="30"/>
        <item x="31"/>
        <item x="32"/>
        <item x="33"/>
        <item x="34"/>
        <item x="35"/>
        <item x="36"/>
        <item x="37"/>
        <item x="38"/>
        <item x="39"/>
        <item x="40"/>
        <item x="41"/>
        <item x="42"/>
        <item x="43"/>
        <item x="44"/>
        <item x="45"/>
        <item x="46"/>
        <item x="47"/>
        <item x="48"/>
        <item x="49"/>
        <item x="50"/>
        <item x="51"/>
        <item x="52"/>
        <item x="53"/>
        <item x="54"/>
        <item x="55"/>
        <item x="56"/>
        <item x="58"/>
        <item x="57"/>
        <item x="59"/>
        <item x="60"/>
        <item x="61"/>
        <item x="62"/>
        <item x="63"/>
        <item x="65"/>
        <item x="64"/>
        <item x="66"/>
        <item x="67"/>
        <item x="68"/>
        <item x="69"/>
        <item x="70"/>
        <item x="71"/>
        <item x="72"/>
        <item x="74"/>
        <item x="73"/>
        <item x="75"/>
        <item x="76"/>
        <item x="77"/>
        <item x="78"/>
        <item x="79"/>
        <item x="80"/>
        <item x="81"/>
        <item x="82"/>
        <item x="83"/>
        <item x="84"/>
        <item x="85"/>
        <item x="86"/>
        <item x="87"/>
        <item x="88"/>
        <item x="89"/>
        <item x="90"/>
        <item x="91"/>
        <item x="92"/>
        <item x="93"/>
        <item x="95"/>
        <item x="94"/>
        <item x="96"/>
        <item x="97"/>
        <item x="98"/>
        <item x="99"/>
        <item x="101"/>
        <item x="100"/>
        <item x="103"/>
        <item x="102"/>
        <item x="104"/>
        <item x="105"/>
        <item x="106"/>
        <item x="107"/>
        <item x="108"/>
        <item x="109"/>
        <item x="110"/>
        <item x="111"/>
        <item x="112"/>
        <item x="114"/>
        <item x="113"/>
        <item x="115"/>
        <item x="116"/>
        <item x="117"/>
        <item x="118"/>
        <item x="119"/>
        <item x="122"/>
        <item x="120"/>
        <item x="121"/>
        <item x="123"/>
        <item x="124"/>
        <item x="125"/>
        <item x="126"/>
        <item x="127"/>
        <item x="129"/>
        <item x="128"/>
        <item x="130"/>
        <item x="131"/>
        <item x="132"/>
        <item x="133"/>
        <item x="134"/>
        <item x="135"/>
        <item x="136"/>
        <item x="137"/>
        <item x="138"/>
        <item x="139"/>
        <item x="140"/>
        <item x="141"/>
        <item x="142"/>
        <item x="143"/>
        <item x="144"/>
        <item x="145"/>
        <item x="146"/>
        <item x="147"/>
        <item x="148"/>
        <item x="149"/>
        <item x="151"/>
        <item x="150"/>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3"/>
        <item x="192"/>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4"/>
        <item x="233"/>
        <item x="235"/>
        <item x="236"/>
        <item x="237"/>
        <item x="238"/>
        <item x="239"/>
        <item x="240"/>
        <item x="241"/>
        <item x="242"/>
        <item x="243"/>
        <item x="244"/>
        <item x="246"/>
        <item x="245"/>
        <item x="247"/>
        <item x="248"/>
        <item x="249"/>
        <item x="250"/>
        <item x="251"/>
        <item x="252"/>
        <item x="253"/>
        <item x="254"/>
        <item x="255"/>
        <item x="256"/>
        <item x="257"/>
        <item x="258"/>
        <item x="259"/>
        <item x="260"/>
        <item x="261"/>
        <item x="262"/>
        <item x="263"/>
        <item x="264"/>
        <item x="265"/>
        <item x="266"/>
        <item x="268"/>
        <item x="267"/>
        <item x="269"/>
        <item x="270"/>
        <item x="271"/>
        <item x="272"/>
        <item x="273"/>
        <item x="274"/>
        <item x="275"/>
        <item x="277"/>
        <item x="276"/>
        <item x="278"/>
        <item x="279"/>
        <item x="280"/>
        <item x="281"/>
        <item x="282"/>
        <item x="283"/>
        <item x="285"/>
        <item x="284"/>
        <item x="288"/>
        <item x="286"/>
        <item x="287"/>
        <item x="289"/>
        <item x="290"/>
        <item x="291"/>
        <item x="292"/>
        <item x="293"/>
        <item x="294"/>
        <item x="295"/>
        <item x="297"/>
        <item x="296"/>
        <item x="298"/>
        <item x="299"/>
        <item x="300"/>
        <item x="301"/>
        <item x="302"/>
        <item x="303"/>
        <item x="304"/>
        <item x="305"/>
        <item x="306"/>
        <item x="307"/>
        <item x="308"/>
        <item x="309"/>
        <item x="310"/>
        <item x="311"/>
        <item x="312"/>
        <item x="313"/>
        <item x="314"/>
        <item x="316"/>
        <item x="315"/>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7"/>
        <item x="346"/>
        <item x="348"/>
        <item x="349"/>
        <item x="350"/>
        <item x="351"/>
        <item x="352"/>
        <item x="353"/>
        <item x="354"/>
        <item x="355"/>
        <item x="357"/>
        <item x="356"/>
        <item x="358"/>
        <item x="360"/>
        <item x="359"/>
        <item x="361"/>
        <item x="362"/>
        <item x="363"/>
        <item x="364"/>
        <item x="365"/>
        <item x="366"/>
        <item x="368"/>
        <item x="367"/>
        <item x="369"/>
        <item x="370"/>
        <item x="371"/>
        <item x="372"/>
        <item x="373"/>
        <item x="374"/>
        <item x="376"/>
        <item x="375"/>
        <item x="377"/>
        <item x="378"/>
        <item x="379"/>
        <item x="380"/>
        <item x="381"/>
        <item x="382"/>
        <item x="383"/>
        <item x="384"/>
        <item x="385"/>
        <item x="386"/>
        <item x="387"/>
        <item x="389"/>
        <item x="388"/>
        <item x="390"/>
        <item x="391"/>
        <item x="392"/>
        <item x="393"/>
        <item x="394"/>
        <item x="395"/>
        <item x="396"/>
        <item x="397"/>
        <item x="398"/>
        <item x="399"/>
        <item x="400"/>
        <item t="default"/>
      </items>
    </pivotField>
    <pivotField showAll="0"/>
    <pivotField showAll="0"/>
    <pivotField dataField="1" numFmtId="43" showAll="0"/>
    <pivotField numFmtId="43" showAll="0"/>
    <pivotField dataField="1" numFmtId="43" showAll="0"/>
    <pivotField numFmtId="43" showAll="0"/>
    <pivotField numFmtId="43" showAll="0"/>
    <pivotField dataField="1" numFmtId="43" showAll="0"/>
    <pivotField numFmtId="43" showAll="0"/>
    <pivotField dataField="1" numFmtId="43" showAll="0"/>
    <pivotField numFmtId="43" showAll="0"/>
    <pivotField numFmtId="43" showAll="0"/>
    <pivotField dataField="1" numFmtId="43" showAl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5">
    <field x="4"/>
    <field x="6"/>
    <field x="7"/>
    <field x="8"/>
    <field x="15"/>
  </rowFields>
  <rowItems count="34">
    <i>
      <x v="17"/>
    </i>
    <i r="1">
      <x/>
    </i>
    <i r="2">
      <x v="16"/>
    </i>
    <i r="3">
      <x v="57"/>
    </i>
    <i r="4">
      <x v="110"/>
    </i>
    <i r="4">
      <x v="284"/>
    </i>
    <i r="4">
      <x v="285"/>
    </i>
    <i r="4">
      <x v="294"/>
    </i>
    <i r="4">
      <x v="295"/>
    </i>
    <i r="3">
      <x v="58"/>
    </i>
    <i r="4">
      <x v="299"/>
    </i>
    <i r="4">
      <x v="300"/>
    </i>
    <i r="3">
      <x v="59"/>
    </i>
    <i r="4">
      <x v="94"/>
    </i>
    <i r="4">
      <x v="95"/>
    </i>
    <i r="3">
      <x v="60"/>
    </i>
    <i r="4">
      <x v="102"/>
    </i>
    <i r="4">
      <x v="103"/>
    </i>
    <i r="4">
      <x v="104"/>
    </i>
    <i r="4">
      <x v="322"/>
    </i>
    <i r="4">
      <x v="323"/>
    </i>
    <i r="3">
      <x v="61"/>
    </i>
    <i r="4">
      <x v="296"/>
    </i>
    <i r="4">
      <x v="297"/>
    </i>
    <i r="3">
      <x v="62"/>
    </i>
    <i r="4">
      <x v="93"/>
    </i>
    <i r="3">
      <x v="63"/>
    </i>
    <i r="4">
      <x v="315"/>
    </i>
    <i r="4">
      <x v="316"/>
    </i>
    <i r="2">
      <x v="22"/>
    </i>
    <i r="3">
      <x v="94"/>
    </i>
    <i r="4">
      <x v="105"/>
    </i>
    <i r="4">
      <x v="106"/>
    </i>
    <i t="grand">
      <x/>
    </i>
  </rowItems>
  <colFields count="1">
    <field x="-2"/>
  </colFields>
  <colItems count="9">
    <i>
      <x/>
    </i>
    <i i="1">
      <x v="1"/>
    </i>
    <i i="2">
      <x v="2"/>
    </i>
    <i i="3">
      <x v="3"/>
    </i>
    <i i="4">
      <x v="4"/>
    </i>
    <i i="5">
      <x v="5"/>
    </i>
    <i i="6">
      <x v="6"/>
    </i>
    <i i="7">
      <x v="7"/>
    </i>
    <i i="8">
      <x v="8"/>
    </i>
  </colItems>
  <pageFields count="1">
    <pageField fld="2" item="17" hier="-1"/>
  </pageFields>
  <dataFields count="9">
    <dataField name="PPTO INICIAL" fld="18" baseField="4" baseItem="0"/>
    <dataField name="PPTO VIGENTE" fld="20" baseField="4" baseItem="0"/>
    <dataField name="COMPROMISOS." fld="23" baseField="4" baseItem="0"/>
    <dataField name="GIROS." fld="25" baseField="4" baseItem="0"/>
    <dataField name="PAGOS " fld="28" baseField="4" baseItem="0"/>
    <dataField name=" SALDO APROPIACIÓN CDP" fld="29" baseField="4" baseItem="0" numFmtId="43"/>
    <dataField name="SALDO APROPIACIÓN RP" fld="30" baseField="4" baseItem="0" numFmtId="43"/>
    <dataField name="Suma de % CDP" fld="31" baseField="0" baseItem="0" numFmtId="43"/>
    <dataField name="Suma de % RP" fld="32" baseField="0" baseItem="0" numFmtId="43"/>
  </dataFields>
  <formats count="327">
    <format dxfId="1602">
      <pivotArea dataOnly="0" labelOnly="1" fieldPosition="0">
        <references count="1">
          <reference field="4" count="0"/>
        </references>
      </pivotArea>
    </format>
    <format dxfId="1601">
      <pivotArea dataOnly="0" labelOnly="1" fieldPosition="0">
        <references count="1">
          <reference field="4" count="1">
            <x v="0"/>
          </reference>
        </references>
      </pivotArea>
    </format>
    <format dxfId="1600">
      <pivotArea dataOnly="0" labelOnly="1" fieldPosition="0">
        <references count="1">
          <reference field="6" count="0"/>
        </references>
      </pivotArea>
    </format>
    <format dxfId="1599">
      <pivotArea dataOnly="0" labelOnly="1" fieldPosition="0">
        <references count="1">
          <reference field="7" count="0"/>
        </references>
      </pivotArea>
    </format>
    <format dxfId="1598">
      <pivotArea dataOnly="0" labelOnly="1" fieldPosition="0">
        <references count="1">
          <reference field="7" count="0"/>
        </references>
      </pivotArea>
    </format>
    <format dxfId="1597">
      <pivotArea dataOnly="0" labelOnly="1" fieldPosition="0">
        <references count="1">
          <reference field="8" count="0"/>
        </references>
      </pivotArea>
    </format>
    <format dxfId="1596">
      <pivotArea outline="0" collapsedLevelsAreSubtotals="1" fieldPosition="0"/>
    </format>
    <format dxfId="1595">
      <pivotArea dataOnly="0" labelOnly="1" outline="0" fieldPosition="0">
        <references count="1">
          <reference field="2" count="0"/>
        </references>
      </pivotArea>
    </format>
    <format dxfId="1594">
      <pivotArea dataOnly="0" labelOnly="1" outline="0" fieldPosition="0">
        <references count="1">
          <reference field="4294967294" count="9">
            <x v="0"/>
            <x v="1"/>
            <x v="2"/>
            <x v="3"/>
            <x v="4"/>
            <x v="5"/>
            <x v="6"/>
            <x v="7"/>
            <x v="8"/>
          </reference>
        </references>
      </pivotArea>
    </format>
    <format dxfId="1593">
      <pivotArea field="2" type="button" dataOnly="0" labelOnly="1" outline="0" axis="axisPage" fieldPosition="0"/>
    </format>
    <format dxfId="1592">
      <pivotArea field="4" type="button" dataOnly="0" labelOnly="1" outline="0" axis="axisRow" fieldPosition="0"/>
    </format>
    <format dxfId="1591">
      <pivotArea dataOnly="0" labelOnly="1" fieldPosition="0">
        <references count="1">
          <reference field="4" count="0"/>
        </references>
      </pivotArea>
    </format>
    <format dxfId="1590">
      <pivotArea dataOnly="0" labelOnly="1" grandRow="1" outline="0" fieldPosition="0"/>
    </format>
    <format dxfId="1589">
      <pivotArea dataOnly="0" labelOnly="1" fieldPosition="0">
        <references count="2">
          <reference field="4" count="1" selected="0">
            <x v="0"/>
          </reference>
          <reference field="6" count="2">
            <x v="0"/>
            <x v="1"/>
          </reference>
        </references>
      </pivotArea>
    </format>
    <format dxfId="1588">
      <pivotArea dataOnly="0" labelOnly="1" fieldPosition="0">
        <references count="2">
          <reference field="4" count="1" selected="0">
            <x v="1"/>
          </reference>
          <reference field="6" count="3">
            <x v="0"/>
            <x v="3"/>
            <x v="4"/>
          </reference>
        </references>
      </pivotArea>
    </format>
    <format dxfId="1587">
      <pivotArea dataOnly="0" labelOnly="1" fieldPosition="0">
        <references count="2">
          <reference field="4" count="1" selected="0">
            <x v="2"/>
          </reference>
          <reference field="6" count="3">
            <x v="2"/>
            <x v="3"/>
            <x v="4"/>
          </reference>
        </references>
      </pivotArea>
    </format>
    <format dxfId="1586">
      <pivotArea dataOnly="0" labelOnly="1" fieldPosition="0">
        <references count="2">
          <reference field="4" count="1" selected="0">
            <x v="3"/>
          </reference>
          <reference field="6" count="1">
            <x v="3"/>
          </reference>
        </references>
      </pivotArea>
    </format>
    <format dxfId="1585">
      <pivotArea dataOnly="0" labelOnly="1" fieldPosition="0">
        <references count="2">
          <reference field="4" count="1" selected="0">
            <x v="4"/>
          </reference>
          <reference field="6" count="4">
            <x v="0"/>
            <x v="1"/>
            <x v="2"/>
            <x v="3"/>
          </reference>
        </references>
      </pivotArea>
    </format>
    <format dxfId="1584">
      <pivotArea dataOnly="0" labelOnly="1" fieldPosition="0">
        <references count="2">
          <reference field="4" count="1" selected="0">
            <x v="5"/>
          </reference>
          <reference field="6" count="2">
            <x v="0"/>
            <x v="4"/>
          </reference>
        </references>
      </pivotArea>
    </format>
    <format dxfId="1583">
      <pivotArea dataOnly="0" labelOnly="1" fieldPosition="0">
        <references count="2">
          <reference field="4" count="1" selected="0">
            <x v="6"/>
          </reference>
          <reference field="6" count="1">
            <x v="1"/>
          </reference>
        </references>
      </pivotArea>
    </format>
    <format dxfId="1582">
      <pivotArea dataOnly="0" labelOnly="1" fieldPosition="0">
        <references count="2">
          <reference field="4" count="1" selected="0">
            <x v="7"/>
          </reference>
          <reference field="6" count="4">
            <x v="0"/>
            <x v="2"/>
            <x v="3"/>
            <x v="4"/>
          </reference>
        </references>
      </pivotArea>
    </format>
    <format dxfId="1581">
      <pivotArea dataOnly="0" labelOnly="1" fieldPosition="0">
        <references count="2">
          <reference field="4" count="1" selected="0">
            <x v="8"/>
          </reference>
          <reference field="6" count="4">
            <x v="0"/>
            <x v="1"/>
            <x v="2"/>
            <x v="3"/>
          </reference>
        </references>
      </pivotArea>
    </format>
    <format dxfId="1580">
      <pivotArea dataOnly="0" labelOnly="1" fieldPosition="0">
        <references count="2">
          <reference field="4" count="1" selected="0">
            <x v="9"/>
          </reference>
          <reference field="6" count="1">
            <x v="1"/>
          </reference>
        </references>
      </pivotArea>
    </format>
    <format dxfId="1579">
      <pivotArea dataOnly="0" labelOnly="1" fieldPosition="0">
        <references count="2">
          <reference field="4" count="1" selected="0">
            <x v="10"/>
          </reference>
          <reference field="6" count="1">
            <x v="3"/>
          </reference>
        </references>
      </pivotArea>
    </format>
    <format dxfId="1578">
      <pivotArea dataOnly="0" labelOnly="1" fieldPosition="0">
        <references count="2">
          <reference field="4" count="1" selected="0">
            <x v="11"/>
          </reference>
          <reference field="6" count="1">
            <x v="0"/>
          </reference>
        </references>
      </pivotArea>
    </format>
    <format dxfId="1577">
      <pivotArea dataOnly="0" labelOnly="1" fieldPosition="0">
        <references count="2">
          <reference field="4" count="1" selected="0">
            <x v="12"/>
          </reference>
          <reference field="6" count="1">
            <x v="0"/>
          </reference>
        </references>
      </pivotArea>
    </format>
    <format dxfId="1576">
      <pivotArea dataOnly="0" labelOnly="1" fieldPosition="0">
        <references count="2">
          <reference field="4" count="1" selected="0">
            <x v="13"/>
          </reference>
          <reference field="6" count="1">
            <x v="3"/>
          </reference>
        </references>
      </pivotArea>
    </format>
    <format dxfId="1575">
      <pivotArea dataOnly="0" labelOnly="1" fieldPosition="0">
        <references count="2">
          <reference field="4" count="1" selected="0">
            <x v="14"/>
          </reference>
          <reference field="6" count="1">
            <x v="1"/>
          </reference>
        </references>
      </pivotArea>
    </format>
    <format dxfId="1574">
      <pivotArea dataOnly="0" labelOnly="1" fieldPosition="0">
        <references count="2">
          <reference field="4" count="1" selected="0">
            <x v="15"/>
          </reference>
          <reference field="6" count="1">
            <x v="0"/>
          </reference>
        </references>
      </pivotArea>
    </format>
    <format dxfId="1573">
      <pivotArea dataOnly="0" labelOnly="1" fieldPosition="0">
        <references count="2">
          <reference field="4" count="1" selected="0">
            <x v="16"/>
          </reference>
          <reference field="6" count="3">
            <x v="1"/>
            <x v="3"/>
            <x v="4"/>
          </reference>
        </references>
      </pivotArea>
    </format>
    <format dxfId="1572">
      <pivotArea dataOnly="0" labelOnly="1" fieldPosition="0">
        <references count="2">
          <reference field="4" count="1" selected="0">
            <x v="17"/>
          </reference>
          <reference field="6" count="1">
            <x v="0"/>
          </reference>
        </references>
      </pivotArea>
    </format>
    <format dxfId="1571">
      <pivotArea dataOnly="0" labelOnly="1" fieldPosition="0">
        <references count="2">
          <reference field="4" count="1" selected="0">
            <x v="18"/>
          </reference>
          <reference field="6" count="1">
            <x v="3"/>
          </reference>
        </references>
      </pivotArea>
    </format>
    <format dxfId="1570">
      <pivotArea dataOnly="0" labelOnly="1" fieldPosition="0">
        <references count="2">
          <reference field="4" count="1" selected="0">
            <x v="19"/>
          </reference>
          <reference field="6" count="1">
            <x v="3"/>
          </reference>
        </references>
      </pivotArea>
    </format>
    <format dxfId="1569">
      <pivotArea dataOnly="0" labelOnly="1" fieldPosition="0">
        <references count="2">
          <reference field="4" count="1" selected="0">
            <x v="20"/>
          </reference>
          <reference field="6" count="1">
            <x v="1"/>
          </reference>
        </references>
      </pivotArea>
    </format>
    <format dxfId="1568">
      <pivotArea dataOnly="0" labelOnly="1" fieldPosition="0">
        <references count="3">
          <reference field="4" count="1" selected="0">
            <x v="0"/>
          </reference>
          <reference field="6" count="1" selected="0">
            <x v="0"/>
          </reference>
          <reference field="7" count="2">
            <x v="17"/>
            <x v="19"/>
          </reference>
        </references>
      </pivotArea>
    </format>
    <format dxfId="1567">
      <pivotArea dataOnly="0" labelOnly="1" fieldPosition="0">
        <references count="3">
          <reference field="4" count="1" selected="0">
            <x v="0"/>
          </reference>
          <reference field="6" count="1" selected="0">
            <x v="1"/>
          </reference>
          <reference field="7" count="2">
            <x v="23"/>
            <x v="26"/>
          </reference>
        </references>
      </pivotArea>
    </format>
    <format dxfId="1566">
      <pivotArea dataOnly="0" labelOnly="1" fieldPosition="0">
        <references count="3">
          <reference field="4" count="1" selected="0">
            <x v="1"/>
          </reference>
          <reference field="6" count="1" selected="0">
            <x v="0"/>
          </reference>
          <reference field="7" count="1">
            <x v="19"/>
          </reference>
        </references>
      </pivotArea>
    </format>
    <format dxfId="1565">
      <pivotArea dataOnly="0" labelOnly="1" fieldPosition="0">
        <references count="3">
          <reference field="4" count="1" selected="0">
            <x v="1"/>
          </reference>
          <reference field="6" count="1" selected="0">
            <x v="3"/>
          </reference>
          <reference field="7" count="3">
            <x v="2"/>
            <x v="3"/>
            <x v="4"/>
          </reference>
        </references>
      </pivotArea>
    </format>
    <format dxfId="1564">
      <pivotArea dataOnly="0" labelOnly="1" fieldPosition="0">
        <references count="3">
          <reference field="4" count="1" selected="0">
            <x v="1"/>
          </reference>
          <reference field="6" count="1" selected="0">
            <x v="4"/>
          </reference>
          <reference field="7" count="1">
            <x v="8"/>
          </reference>
        </references>
      </pivotArea>
    </format>
    <format dxfId="1563">
      <pivotArea dataOnly="0" labelOnly="1" fieldPosition="0">
        <references count="3">
          <reference field="4" count="1" selected="0">
            <x v="2"/>
          </reference>
          <reference field="6" count="1" selected="0">
            <x v="2"/>
          </reference>
          <reference field="7" count="2">
            <x v="29"/>
            <x v="30"/>
          </reference>
        </references>
      </pivotArea>
    </format>
    <format dxfId="1562">
      <pivotArea dataOnly="0" labelOnly="1" fieldPosition="0">
        <references count="3">
          <reference field="4" count="1" selected="0">
            <x v="2"/>
          </reference>
          <reference field="6" count="1" selected="0">
            <x v="3"/>
          </reference>
          <reference field="7" count="2">
            <x v="5"/>
            <x v="7"/>
          </reference>
        </references>
      </pivotArea>
    </format>
    <format dxfId="1561">
      <pivotArea dataOnly="0" labelOnly="1" fieldPosition="0">
        <references count="3">
          <reference field="4" count="1" selected="0">
            <x v="2"/>
          </reference>
          <reference field="6" count="1" selected="0">
            <x v="4"/>
          </reference>
          <reference field="7" count="1">
            <x v="8"/>
          </reference>
        </references>
      </pivotArea>
    </format>
    <format dxfId="1560">
      <pivotArea dataOnly="0" labelOnly="1" fieldPosition="0">
        <references count="3">
          <reference field="4" count="1" selected="0">
            <x v="3"/>
          </reference>
          <reference field="6" count="1" selected="0">
            <x v="3"/>
          </reference>
          <reference field="7" count="1">
            <x v="6"/>
          </reference>
        </references>
      </pivotArea>
    </format>
    <format dxfId="1559">
      <pivotArea dataOnly="0" labelOnly="1" fieldPosition="0">
        <references count="3">
          <reference field="4" count="1" selected="0">
            <x v="4"/>
          </reference>
          <reference field="6" count="1" selected="0">
            <x v="0"/>
          </reference>
          <reference field="7" count="1">
            <x v="21"/>
          </reference>
        </references>
      </pivotArea>
    </format>
    <format dxfId="1558">
      <pivotArea dataOnly="0" labelOnly="1" fieldPosition="0">
        <references count="3">
          <reference field="4" count="1" selected="0">
            <x v="4"/>
          </reference>
          <reference field="6" count="1" selected="0">
            <x v="1"/>
          </reference>
          <reference field="7" count="1">
            <x v="24"/>
          </reference>
        </references>
      </pivotArea>
    </format>
    <format dxfId="1557">
      <pivotArea dataOnly="0" labelOnly="1" fieldPosition="0">
        <references count="3">
          <reference field="4" count="1" selected="0">
            <x v="4"/>
          </reference>
          <reference field="6" count="1" selected="0">
            <x v="2"/>
          </reference>
          <reference field="7" count="2">
            <x v="29"/>
            <x v="31"/>
          </reference>
        </references>
      </pivotArea>
    </format>
    <format dxfId="1556">
      <pivotArea dataOnly="0" labelOnly="1" fieldPosition="0">
        <references count="3">
          <reference field="4" count="1" selected="0">
            <x v="4"/>
          </reference>
          <reference field="6" count="1" selected="0">
            <x v="3"/>
          </reference>
          <reference field="7" count="2">
            <x v="0"/>
            <x v="1"/>
          </reference>
        </references>
      </pivotArea>
    </format>
    <format dxfId="1555">
      <pivotArea dataOnly="0" labelOnly="1" fieldPosition="0">
        <references count="3">
          <reference field="4" count="1" selected="0">
            <x v="5"/>
          </reference>
          <reference field="6" count="1" selected="0">
            <x v="0"/>
          </reference>
          <reference field="7" count="2">
            <x v="18"/>
            <x v="22"/>
          </reference>
        </references>
      </pivotArea>
    </format>
    <format dxfId="1554">
      <pivotArea dataOnly="0" labelOnly="1" fieldPosition="0">
        <references count="3">
          <reference field="4" count="1" selected="0">
            <x v="5"/>
          </reference>
          <reference field="6" count="1" selected="0">
            <x v="4"/>
          </reference>
          <reference field="7" count="1">
            <x v="8"/>
          </reference>
        </references>
      </pivotArea>
    </format>
    <format dxfId="1553">
      <pivotArea dataOnly="0" labelOnly="1" fieldPosition="0">
        <references count="3">
          <reference field="4" count="1" selected="0">
            <x v="6"/>
          </reference>
          <reference field="6" count="1" selected="0">
            <x v="1"/>
          </reference>
          <reference field="7" count="1">
            <x v="24"/>
          </reference>
        </references>
      </pivotArea>
    </format>
    <format dxfId="1552">
      <pivotArea dataOnly="0" labelOnly="1" fieldPosition="0">
        <references count="3">
          <reference field="4" count="1" selected="0">
            <x v="7"/>
          </reference>
          <reference field="6" count="1" selected="0">
            <x v="0"/>
          </reference>
          <reference field="7" count="1">
            <x v="16"/>
          </reference>
        </references>
      </pivotArea>
    </format>
    <format dxfId="1551">
      <pivotArea dataOnly="0" labelOnly="1" fieldPosition="0">
        <references count="3">
          <reference field="4" count="1" selected="0">
            <x v="7"/>
          </reference>
          <reference field="6" count="1" selected="0">
            <x v="2"/>
          </reference>
          <reference field="7" count="2">
            <x v="29"/>
            <x v="30"/>
          </reference>
        </references>
      </pivotArea>
    </format>
    <format dxfId="1550">
      <pivotArea dataOnly="0" labelOnly="1" fieldPosition="0">
        <references count="3">
          <reference field="4" count="1" selected="0">
            <x v="7"/>
          </reference>
          <reference field="6" count="1" selected="0">
            <x v="3"/>
          </reference>
          <reference field="7" count="1">
            <x v="6"/>
          </reference>
        </references>
      </pivotArea>
    </format>
    <format dxfId="1549">
      <pivotArea dataOnly="0" labelOnly="1" fieldPosition="0">
        <references count="3">
          <reference field="4" count="1" selected="0">
            <x v="7"/>
          </reference>
          <reference field="6" count="1" selected="0">
            <x v="4"/>
          </reference>
          <reference field="7" count="8">
            <x v="8"/>
            <x v="9"/>
            <x v="10"/>
            <x v="11"/>
            <x v="12"/>
            <x v="13"/>
            <x v="14"/>
            <x v="15"/>
          </reference>
        </references>
      </pivotArea>
    </format>
    <format dxfId="1548">
      <pivotArea dataOnly="0" labelOnly="1" fieldPosition="0">
        <references count="3">
          <reference field="4" count="1" selected="0">
            <x v="8"/>
          </reference>
          <reference field="6" count="1" selected="0">
            <x v="0"/>
          </reference>
          <reference field="7" count="2">
            <x v="18"/>
            <x v="22"/>
          </reference>
        </references>
      </pivotArea>
    </format>
    <format dxfId="1547">
      <pivotArea dataOnly="0" labelOnly="1" fieldPosition="0">
        <references count="3">
          <reference field="4" count="1" selected="0">
            <x v="8"/>
          </reference>
          <reference field="6" count="1" selected="0">
            <x v="1"/>
          </reference>
          <reference field="7" count="1">
            <x v="28"/>
          </reference>
        </references>
      </pivotArea>
    </format>
    <format dxfId="1546">
      <pivotArea dataOnly="0" labelOnly="1" fieldPosition="0">
        <references count="3">
          <reference field="4" count="1" selected="0">
            <x v="8"/>
          </reference>
          <reference field="6" count="1" selected="0">
            <x v="2"/>
          </reference>
          <reference field="7" count="1">
            <x v="32"/>
          </reference>
        </references>
      </pivotArea>
    </format>
    <format dxfId="1545">
      <pivotArea dataOnly="0" labelOnly="1" fieldPosition="0">
        <references count="3">
          <reference field="4" count="1" selected="0">
            <x v="8"/>
          </reference>
          <reference field="6" count="1" selected="0">
            <x v="3"/>
          </reference>
          <reference field="7" count="1">
            <x v="6"/>
          </reference>
        </references>
      </pivotArea>
    </format>
    <format dxfId="1544">
      <pivotArea dataOnly="0" labelOnly="1" fieldPosition="0">
        <references count="3">
          <reference field="4" count="1" selected="0">
            <x v="9"/>
          </reference>
          <reference field="6" count="1" selected="0">
            <x v="1"/>
          </reference>
          <reference field="7" count="1">
            <x v="25"/>
          </reference>
        </references>
      </pivotArea>
    </format>
    <format dxfId="1543">
      <pivotArea dataOnly="0" labelOnly="1" fieldPosition="0">
        <references count="3">
          <reference field="4" count="1" selected="0">
            <x v="10"/>
          </reference>
          <reference field="6" count="1" selected="0">
            <x v="3"/>
          </reference>
          <reference field="7" count="1">
            <x v="6"/>
          </reference>
        </references>
      </pivotArea>
    </format>
    <format dxfId="1542">
      <pivotArea dataOnly="0" labelOnly="1" fieldPosition="0">
        <references count="3">
          <reference field="4" count="1" selected="0">
            <x v="11"/>
          </reference>
          <reference field="6" count="1" selected="0">
            <x v="0"/>
          </reference>
          <reference field="7" count="1">
            <x v="17"/>
          </reference>
        </references>
      </pivotArea>
    </format>
    <format dxfId="1541">
      <pivotArea dataOnly="0" labelOnly="1" fieldPosition="0">
        <references count="3">
          <reference field="4" count="1" selected="0">
            <x v="12"/>
          </reference>
          <reference field="6" count="1" selected="0">
            <x v="0"/>
          </reference>
          <reference field="7" count="1">
            <x v="18"/>
          </reference>
        </references>
      </pivotArea>
    </format>
    <format dxfId="1540">
      <pivotArea dataOnly="0" labelOnly="1" fieldPosition="0">
        <references count="3">
          <reference field="4" count="1" selected="0">
            <x v="13"/>
          </reference>
          <reference field="6" count="1" selected="0">
            <x v="3"/>
          </reference>
          <reference field="7" count="2">
            <x v="1"/>
            <x v="5"/>
          </reference>
        </references>
      </pivotArea>
    </format>
    <format dxfId="1539">
      <pivotArea dataOnly="0" labelOnly="1" fieldPosition="0">
        <references count="3">
          <reference field="4" count="1" selected="0">
            <x v="14"/>
          </reference>
          <reference field="6" count="1" selected="0">
            <x v="1"/>
          </reference>
          <reference field="7" count="1">
            <x v="26"/>
          </reference>
        </references>
      </pivotArea>
    </format>
    <format dxfId="1538">
      <pivotArea dataOnly="0" labelOnly="1" fieldPosition="0">
        <references count="3">
          <reference field="4" count="1" selected="0">
            <x v="15"/>
          </reference>
          <reference field="6" count="1" selected="0">
            <x v="0"/>
          </reference>
          <reference field="7" count="1">
            <x v="20"/>
          </reference>
        </references>
      </pivotArea>
    </format>
    <format dxfId="1537">
      <pivotArea dataOnly="0" labelOnly="1" fieldPosition="0">
        <references count="3">
          <reference field="4" count="1" selected="0">
            <x v="16"/>
          </reference>
          <reference field="6" count="1" selected="0">
            <x v="1"/>
          </reference>
          <reference field="7" count="1">
            <x v="27"/>
          </reference>
        </references>
      </pivotArea>
    </format>
    <format dxfId="1536">
      <pivotArea dataOnly="0" labelOnly="1" fieldPosition="0">
        <references count="3">
          <reference field="4" count="1" selected="0">
            <x v="16"/>
          </reference>
          <reference field="6" count="1" selected="0">
            <x v="3"/>
          </reference>
          <reference field="7" count="1">
            <x v="1"/>
          </reference>
        </references>
      </pivotArea>
    </format>
    <format dxfId="1535">
      <pivotArea dataOnly="0" labelOnly="1" fieldPosition="0">
        <references count="3">
          <reference field="4" count="1" selected="0">
            <x v="16"/>
          </reference>
          <reference field="6" count="1" selected="0">
            <x v="4"/>
          </reference>
          <reference field="7" count="2">
            <x v="8"/>
            <x v="11"/>
          </reference>
        </references>
      </pivotArea>
    </format>
    <format dxfId="1534">
      <pivotArea dataOnly="0" labelOnly="1" fieldPosition="0">
        <references count="3">
          <reference field="4" count="1" selected="0">
            <x v="17"/>
          </reference>
          <reference field="6" count="1" selected="0">
            <x v="0"/>
          </reference>
          <reference field="7" count="2">
            <x v="16"/>
            <x v="22"/>
          </reference>
        </references>
      </pivotArea>
    </format>
    <format dxfId="1533">
      <pivotArea dataOnly="0" labelOnly="1" fieldPosition="0">
        <references count="3">
          <reference field="4" count="1" selected="0">
            <x v="18"/>
          </reference>
          <reference field="6" count="1" selected="0">
            <x v="3"/>
          </reference>
          <reference field="7" count="1">
            <x v="2"/>
          </reference>
        </references>
      </pivotArea>
    </format>
    <format dxfId="1532">
      <pivotArea dataOnly="0" labelOnly="1" fieldPosition="0">
        <references count="3">
          <reference field="4" count="1" selected="0">
            <x v="19"/>
          </reference>
          <reference field="6" count="1" selected="0">
            <x v="3"/>
          </reference>
          <reference field="7" count="1">
            <x v="6"/>
          </reference>
        </references>
      </pivotArea>
    </format>
    <format dxfId="1531">
      <pivotArea dataOnly="0" labelOnly="1" fieldPosition="0">
        <references count="3">
          <reference field="4" count="1" selected="0">
            <x v="20"/>
          </reference>
          <reference field="6" count="1" selected="0">
            <x v="1"/>
          </reference>
          <reference field="7" count="1">
            <x v="24"/>
          </reference>
        </references>
      </pivotArea>
    </format>
    <format dxfId="1530">
      <pivotArea dataOnly="0" labelOnly="1" fieldPosition="0">
        <references count="4">
          <reference field="4" count="1" selected="0">
            <x v="0"/>
          </reference>
          <reference field="6" count="1" selected="0">
            <x v="0"/>
          </reference>
          <reference field="7" count="1" selected="0">
            <x v="17"/>
          </reference>
          <reference field="8" count="5">
            <x v="65"/>
            <x v="66"/>
            <x v="67"/>
            <x v="68"/>
            <x v="69"/>
          </reference>
        </references>
      </pivotArea>
    </format>
    <format dxfId="1529">
      <pivotArea dataOnly="0" labelOnly="1" fieldPosition="0">
        <references count="4">
          <reference field="4" count="1" selected="0">
            <x v="0"/>
          </reference>
          <reference field="6" count="1" selected="0">
            <x v="0"/>
          </reference>
          <reference field="7" count="1" selected="0">
            <x v="19"/>
          </reference>
          <reference field="8" count="3">
            <x v="78"/>
            <x v="79"/>
            <x v="80"/>
          </reference>
        </references>
      </pivotArea>
    </format>
    <format dxfId="1528">
      <pivotArea dataOnly="0" labelOnly="1" fieldPosition="0">
        <references count="4">
          <reference field="4" count="1" selected="0">
            <x v="0"/>
          </reference>
          <reference field="6" count="1" selected="0">
            <x v="1"/>
          </reference>
          <reference field="7" count="1" selected="0">
            <x v="23"/>
          </reference>
          <reference field="8" count="10">
            <x v="95"/>
            <x v="96"/>
            <x v="97"/>
            <x v="98"/>
            <x v="99"/>
            <x v="100"/>
            <x v="101"/>
            <x v="102"/>
            <x v="103"/>
            <x v="104"/>
          </reference>
        </references>
      </pivotArea>
    </format>
    <format dxfId="1527">
      <pivotArea dataOnly="0" labelOnly="1" fieldPosition="0">
        <references count="4">
          <reference field="4" count="1" selected="0">
            <x v="0"/>
          </reference>
          <reference field="6" count="1" selected="0">
            <x v="1"/>
          </reference>
          <reference field="7" count="1" selected="0">
            <x v="26"/>
          </reference>
          <reference field="8" count="1">
            <x v="131"/>
          </reference>
        </references>
      </pivotArea>
    </format>
    <format dxfId="1526">
      <pivotArea dataOnly="0" labelOnly="1" fieldPosition="0">
        <references count="4">
          <reference field="4" count="1" selected="0">
            <x v="1"/>
          </reference>
          <reference field="6" count="1" selected="0">
            <x v="0"/>
          </reference>
          <reference field="7" count="1" selected="0">
            <x v="19"/>
          </reference>
          <reference field="8" count="1">
            <x v="81"/>
          </reference>
        </references>
      </pivotArea>
    </format>
    <format dxfId="1525">
      <pivotArea dataOnly="0" labelOnly="1" fieldPosition="0">
        <references count="4">
          <reference field="4" count="1" selected="0">
            <x v="1"/>
          </reference>
          <reference field="6" count="1" selected="0">
            <x v="3"/>
          </reference>
          <reference field="7" count="1" selected="0">
            <x v="2"/>
          </reference>
          <reference field="8" count="7">
            <x v="7"/>
            <x v="10"/>
            <x v="11"/>
            <x v="12"/>
            <x v="13"/>
            <x v="14"/>
            <x v="15"/>
          </reference>
        </references>
      </pivotArea>
    </format>
    <format dxfId="1524">
      <pivotArea dataOnly="0" labelOnly="1" fieldPosition="0">
        <references count="4">
          <reference field="4" count="1" selected="0">
            <x v="1"/>
          </reference>
          <reference field="6" count="1" selected="0">
            <x v="3"/>
          </reference>
          <reference field="7" count="1" selected="0">
            <x v="3"/>
          </reference>
          <reference field="8" count="2">
            <x v="18"/>
            <x v="19"/>
          </reference>
        </references>
      </pivotArea>
    </format>
    <format dxfId="1523">
      <pivotArea dataOnly="0" labelOnly="1" fieldPosition="0">
        <references count="4">
          <reference field="4" count="1" selected="0">
            <x v="1"/>
          </reference>
          <reference field="6" count="1" selected="0">
            <x v="3"/>
          </reference>
          <reference field="7" count="1" selected="0">
            <x v="4"/>
          </reference>
          <reference field="8" count="2">
            <x v="20"/>
            <x v="21"/>
          </reference>
        </references>
      </pivotArea>
    </format>
    <format dxfId="1522">
      <pivotArea dataOnly="0" labelOnly="1" fieldPosition="0">
        <references count="4">
          <reference field="4" count="1" selected="0">
            <x v="1"/>
          </reference>
          <reference field="6" count="1" selected="0">
            <x v="4"/>
          </reference>
          <reference field="7" count="1" selected="0">
            <x v="8"/>
          </reference>
          <reference field="8" count="3">
            <x v="33"/>
            <x v="34"/>
            <x v="39"/>
          </reference>
        </references>
      </pivotArea>
    </format>
    <format dxfId="1521">
      <pivotArea dataOnly="0" labelOnly="1" fieldPosition="0">
        <references count="4">
          <reference field="4" count="1" selected="0">
            <x v="2"/>
          </reference>
          <reference field="6" count="1" selected="0">
            <x v="2"/>
          </reference>
          <reference field="7" count="1" selected="0">
            <x v="29"/>
          </reference>
          <reference field="8" count="6">
            <x v="145"/>
            <x v="146"/>
            <x v="147"/>
            <x v="148"/>
            <x v="149"/>
            <x v="150"/>
          </reference>
        </references>
      </pivotArea>
    </format>
    <format dxfId="1520">
      <pivotArea dataOnly="0" labelOnly="1" fieldPosition="0">
        <references count="4">
          <reference field="4" count="1" selected="0">
            <x v="2"/>
          </reference>
          <reference field="6" count="1" selected="0">
            <x v="2"/>
          </reference>
          <reference field="7" count="1" selected="0">
            <x v="30"/>
          </reference>
          <reference field="8" count="2">
            <x v="152"/>
            <x v="153"/>
          </reference>
        </references>
      </pivotArea>
    </format>
    <format dxfId="1519">
      <pivotArea dataOnly="0" labelOnly="1" fieldPosition="0">
        <references count="4">
          <reference field="4" count="1" selected="0">
            <x v="2"/>
          </reference>
          <reference field="6" count="1" selected="0">
            <x v="3"/>
          </reference>
          <reference field="7" count="1" selected="0">
            <x v="5"/>
          </reference>
          <reference field="8" count="1">
            <x v="24"/>
          </reference>
        </references>
      </pivotArea>
    </format>
    <format dxfId="1518">
      <pivotArea dataOnly="0" labelOnly="1" fieldPosition="0">
        <references count="4">
          <reference field="4" count="1" selected="0">
            <x v="2"/>
          </reference>
          <reference field="6" count="1" selected="0">
            <x v="3"/>
          </reference>
          <reference field="7" count="1" selected="0">
            <x v="7"/>
          </reference>
          <reference field="8" count="2">
            <x v="31"/>
            <x v="32"/>
          </reference>
        </references>
      </pivotArea>
    </format>
    <format dxfId="1517">
      <pivotArea dataOnly="0" labelOnly="1" fieldPosition="0">
        <references count="4">
          <reference field="4" count="1" selected="0">
            <x v="2"/>
          </reference>
          <reference field="6" count="1" selected="0">
            <x v="4"/>
          </reference>
          <reference field="7" count="1" selected="0">
            <x v="8"/>
          </reference>
          <reference field="8" count="2">
            <x v="36"/>
            <x v="39"/>
          </reference>
        </references>
      </pivotArea>
    </format>
    <format dxfId="1516">
      <pivotArea dataOnly="0" labelOnly="1" fieldPosition="0">
        <references count="4">
          <reference field="4" count="1" selected="0">
            <x v="3"/>
          </reference>
          <reference field="6" count="1" selected="0">
            <x v="3"/>
          </reference>
          <reference field="7" count="1" selected="0">
            <x v="6"/>
          </reference>
          <reference field="8" count="1">
            <x v="29"/>
          </reference>
        </references>
      </pivotArea>
    </format>
    <format dxfId="1515">
      <pivotArea dataOnly="0" labelOnly="1" fieldPosition="0">
        <references count="4">
          <reference field="4" count="1" selected="0">
            <x v="4"/>
          </reference>
          <reference field="6" count="1" selected="0">
            <x v="0"/>
          </reference>
          <reference field="7" count="1" selected="0">
            <x v="21"/>
          </reference>
          <reference field="8" count="5">
            <x v="87"/>
            <x v="88"/>
            <x v="89"/>
            <x v="90"/>
            <x v="91"/>
          </reference>
        </references>
      </pivotArea>
    </format>
    <format dxfId="1514">
      <pivotArea dataOnly="0" labelOnly="1" fieldPosition="0">
        <references count="4">
          <reference field="4" count="1" selected="0">
            <x v="4"/>
          </reference>
          <reference field="6" count="1" selected="0">
            <x v="1"/>
          </reference>
          <reference field="7" count="1" selected="0">
            <x v="24"/>
          </reference>
          <reference field="8" count="1">
            <x v="114"/>
          </reference>
        </references>
      </pivotArea>
    </format>
    <format dxfId="1513">
      <pivotArea dataOnly="0" labelOnly="1" fieldPosition="0">
        <references count="4">
          <reference field="4" count="1" selected="0">
            <x v="4"/>
          </reference>
          <reference field="6" count="1" selected="0">
            <x v="2"/>
          </reference>
          <reference field="7" count="1" selected="0">
            <x v="29"/>
          </reference>
          <reference field="8" count="3">
            <x v="142"/>
            <x v="143"/>
            <x v="151"/>
          </reference>
        </references>
      </pivotArea>
    </format>
    <format dxfId="1512">
      <pivotArea dataOnly="0" labelOnly="1" fieldPosition="0">
        <references count="4">
          <reference field="4" count="1" selected="0">
            <x v="4"/>
          </reference>
          <reference field="6" count="1" selected="0">
            <x v="2"/>
          </reference>
          <reference field="7" count="1" selected="0">
            <x v="31"/>
          </reference>
          <reference field="8" count="3">
            <x v="155"/>
            <x v="156"/>
            <x v="157"/>
          </reference>
        </references>
      </pivotArea>
    </format>
    <format dxfId="1511">
      <pivotArea dataOnly="0" labelOnly="1" fieldPosition="0">
        <references count="4">
          <reference field="4" count="1" selected="0">
            <x v="4"/>
          </reference>
          <reference field="6" count="1" selected="0">
            <x v="3"/>
          </reference>
          <reference field="7" count="1" selected="0">
            <x v="0"/>
          </reference>
          <reference field="8" count="2">
            <x v="0"/>
            <x v="1"/>
          </reference>
        </references>
      </pivotArea>
    </format>
    <format dxfId="1510">
      <pivotArea dataOnly="0" labelOnly="1" fieldPosition="0">
        <references count="4">
          <reference field="4" count="1" selected="0">
            <x v="4"/>
          </reference>
          <reference field="6" count="1" selected="0">
            <x v="3"/>
          </reference>
          <reference field="7" count="1" selected="0">
            <x v="1"/>
          </reference>
          <reference field="8" count="4">
            <x v="2"/>
            <x v="3"/>
            <x v="4"/>
            <x v="5"/>
          </reference>
        </references>
      </pivotArea>
    </format>
    <format dxfId="1509">
      <pivotArea dataOnly="0" labelOnly="1" fieldPosition="0">
        <references count="4">
          <reference field="4" count="1" selected="0">
            <x v="5"/>
          </reference>
          <reference field="6" count="1" selected="0">
            <x v="0"/>
          </reference>
          <reference field="7" count="1" selected="0">
            <x v="18"/>
          </reference>
          <reference field="8" count="3">
            <x v="73"/>
            <x v="74"/>
            <x v="77"/>
          </reference>
        </references>
      </pivotArea>
    </format>
    <format dxfId="1508">
      <pivotArea dataOnly="0" labelOnly="1" fieldPosition="0">
        <references count="4">
          <reference field="4" count="1" selected="0">
            <x v="5"/>
          </reference>
          <reference field="6" count="1" selected="0">
            <x v="0"/>
          </reference>
          <reference field="7" count="1" selected="0">
            <x v="22"/>
          </reference>
          <reference field="8" count="1">
            <x v="94"/>
          </reference>
        </references>
      </pivotArea>
    </format>
    <format dxfId="1507">
      <pivotArea dataOnly="0" labelOnly="1" fieldPosition="0">
        <references count="4">
          <reference field="4" count="1" selected="0">
            <x v="5"/>
          </reference>
          <reference field="6" count="1" selected="0">
            <x v="4"/>
          </reference>
          <reference field="7" count="1" selected="0">
            <x v="8"/>
          </reference>
          <reference field="8" count="1">
            <x v="37"/>
          </reference>
        </references>
      </pivotArea>
    </format>
    <format dxfId="1506">
      <pivotArea dataOnly="0" labelOnly="1" fieldPosition="0">
        <references count="4">
          <reference field="4" count="1" selected="0">
            <x v="6"/>
          </reference>
          <reference field="6" count="1" selected="0">
            <x v="1"/>
          </reference>
          <reference field="7" count="1" selected="0">
            <x v="24"/>
          </reference>
          <reference field="8" count="8">
            <x v="105"/>
            <x v="107"/>
            <x v="108"/>
            <x v="109"/>
            <x v="110"/>
            <x v="111"/>
            <x v="112"/>
            <x v="113"/>
          </reference>
        </references>
      </pivotArea>
    </format>
    <format dxfId="1505">
      <pivotArea dataOnly="0" labelOnly="1" fieldPosition="0">
        <references count="4">
          <reference field="4" count="1" selected="0">
            <x v="7"/>
          </reference>
          <reference field="6" count="1" selected="0">
            <x v="0"/>
          </reference>
          <reference field="7" count="1" selected="0">
            <x v="16"/>
          </reference>
          <reference field="8" count="1">
            <x v="64"/>
          </reference>
        </references>
      </pivotArea>
    </format>
    <format dxfId="1504">
      <pivotArea dataOnly="0" labelOnly="1" fieldPosition="0">
        <references count="4">
          <reference field="4" count="1" selected="0">
            <x v="7"/>
          </reference>
          <reference field="6" count="1" selected="0">
            <x v="2"/>
          </reference>
          <reference field="7" count="1" selected="0">
            <x v="29"/>
          </reference>
          <reference field="8" count="4">
            <x v="140"/>
            <x v="141"/>
            <x v="144"/>
            <x v="145"/>
          </reference>
        </references>
      </pivotArea>
    </format>
    <format dxfId="1503">
      <pivotArea dataOnly="0" labelOnly="1" fieldPosition="0">
        <references count="4">
          <reference field="4" count="1" selected="0">
            <x v="7"/>
          </reference>
          <reference field="6" count="1" selected="0">
            <x v="2"/>
          </reference>
          <reference field="7" count="1" selected="0">
            <x v="30"/>
          </reference>
          <reference field="8" count="1">
            <x v="154"/>
          </reference>
        </references>
      </pivotArea>
    </format>
    <format dxfId="1502">
      <pivotArea dataOnly="0" labelOnly="1" fieldPosition="0">
        <references count="4">
          <reference field="4" count="1" selected="0">
            <x v="7"/>
          </reference>
          <reference field="6" count="1" selected="0">
            <x v="3"/>
          </reference>
          <reference field="7" count="1" selected="0">
            <x v="6"/>
          </reference>
          <reference field="8" count="1">
            <x v="28"/>
          </reference>
        </references>
      </pivotArea>
    </format>
    <format dxfId="1501">
      <pivotArea dataOnly="0" labelOnly="1" fieldPosition="0">
        <references count="4">
          <reference field="4" count="1" selected="0">
            <x v="7"/>
          </reference>
          <reference field="6" count="1" selected="0">
            <x v="4"/>
          </reference>
          <reference field="7" count="1" selected="0">
            <x v="8"/>
          </reference>
          <reference field="8" count="2">
            <x v="35"/>
            <x v="36"/>
          </reference>
        </references>
      </pivotArea>
    </format>
    <format dxfId="1500">
      <pivotArea dataOnly="0" labelOnly="1" fieldPosition="0">
        <references count="4">
          <reference field="4" count="1" selected="0">
            <x v="7"/>
          </reference>
          <reference field="6" count="1" selected="0">
            <x v="4"/>
          </reference>
          <reference field="7" count="1" selected="0">
            <x v="9"/>
          </reference>
          <reference field="8" count="4">
            <x v="40"/>
            <x v="41"/>
            <x v="42"/>
            <x v="43"/>
          </reference>
        </references>
      </pivotArea>
    </format>
    <format dxfId="1499">
      <pivotArea dataOnly="0" labelOnly="1" fieldPosition="0">
        <references count="4">
          <reference field="4" count="1" selected="0">
            <x v="7"/>
          </reference>
          <reference field="6" count="1" selected="0">
            <x v="4"/>
          </reference>
          <reference field="7" count="1" selected="0">
            <x v="10"/>
          </reference>
          <reference field="8" count="4">
            <x v="44"/>
            <x v="45"/>
            <x v="46"/>
            <x v="47"/>
          </reference>
        </references>
      </pivotArea>
    </format>
    <format dxfId="1498">
      <pivotArea dataOnly="0" labelOnly="1" fieldPosition="0">
        <references count="4">
          <reference field="4" count="1" selected="0">
            <x v="7"/>
          </reference>
          <reference field="6" count="1" selected="0">
            <x v="4"/>
          </reference>
          <reference field="7" count="1" selected="0">
            <x v="11"/>
          </reference>
          <reference field="8" count="2">
            <x v="48"/>
            <x v="49"/>
          </reference>
        </references>
      </pivotArea>
    </format>
    <format dxfId="1497">
      <pivotArea dataOnly="0" labelOnly="1" fieldPosition="0">
        <references count="4">
          <reference field="4" count="1" selected="0">
            <x v="7"/>
          </reference>
          <reference field="6" count="1" selected="0">
            <x v="4"/>
          </reference>
          <reference field="7" count="1" selected="0">
            <x v="12"/>
          </reference>
          <reference field="8" count="1">
            <x v="50"/>
          </reference>
        </references>
      </pivotArea>
    </format>
    <format dxfId="1496">
      <pivotArea dataOnly="0" labelOnly="1" fieldPosition="0">
        <references count="4">
          <reference field="4" count="1" selected="0">
            <x v="7"/>
          </reference>
          <reference field="6" count="1" selected="0">
            <x v="4"/>
          </reference>
          <reference field="7" count="1" selected="0">
            <x v="13"/>
          </reference>
          <reference field="8" count="3">
            <x v="51"/>
            <x v="52"/>
            <x v="53"/>
          </reference>
        </references>
      </pivotArea>
    </format>
    <format dxfId="1495">
      <pivotArea dataOnly="0" labelOnly="1" fieldPosition="0">
        <references count="4">
          <reference field="4" count="1" selected="0">
            <x v="7"/>
          </reference>
          <reference field="6" count="1" selected="0">
            <x v="4"/>
          </reference>
          <reference field="7" count="1" selected="0">
            <x v="14"/>
          </reference>
          <reference field="8" count="2">
            <x v="54"/>
            <x v="55"/>
          </reference>
        </references>
      </pivotArea>
    </format>
    <format dxfId="1494">
      <pivotArea dataOnly="0" labelOnly="1" fieldPosition="0">
        <references count="4">
          <reference field="4" count="1" selected="0">
            <x v="7"/>
          </reference>
          <reference field="6" count="1" selected="0">
            <x v="4"/>
          </reference>
          <reference field="7" count="1" selected="0">
            <x v="15"/>
          </reference>
          <reference field="8" count="1">
            <x v="56"/>
          </reference>
        </references>
      </pivotArea>
    </format>
    <format dxfId="1493">
      <pivotArea dataOnly="0" labelOnly="1" fieldPosition="0">
        <references count="4">
          <reference field="4" count="1" selected="0">
            <x v="8"/>
          </reference>
          <reference field="6" count="1" selected="0">
            <x v="0"/>
          </reference>
          <reference field="7" count="1" selected="0">
            <x v="18"/>
          </reference>
          <reference field="8" count="1">
            <x v="77"/>
          </reference>
        </references>
      </pivotArea>
    </format>
    <format dxfId="1492">
      <pivotArea dataOnly="0" labelOnly="1" fieldPosition="0">
        <references count="4">
          <reference field="4" count="1" selected="0">
            <x v="8"/>
          </reference>
          <reference field="6" count="1" selected="0">
            <x v="0"/>
          </reference>
          <reference field="7" count="1" selected="0">
            <x v="22"/>
          </reference>
          <reference field="8" count="3">
            <x v="92"/>
            <x v="93"/>
            <x v="94"/>
          </reference>
        </references>
      </pivotArea>
    </format>
    <format dxfId="1491">
      <pivotArea dataOnly="0" labelOnly="1" fieldPosition="0">
        <references count="4">
          <reference field="4" count="1" selected="0">
            <x v="8"/>
          </reference>
          <reference field="6" count="1" selected="0">
            <x v="1"/>
          </reference>
          <reference field="7" count="1" selected="0">
            <x v="28"/>
          </reference>
          <reference field="8" count="2">
            <x v="138"/>
            <x v="139"/>
          </reference>
        </references>
      </pivotArea>
    </format>
    <format dxfId="1490">
      <pivotArea dataOnly="0" labelOnly="1" fieldPosition="0">
        <references count="4">
          <reference field="4" count="1" selected="0">
            <x v="8"/>
          </reference>
          <reference field="6" count="1" selected="0">
            <x v="2"/>
          </reference>
          <reference field="7" count="1" selected="0">
            <x v="32"/>
          </reference>
          <reference field="8" count="2">
            <x v="158"/>
            <x v="159"/>
          </reference>
        </references>
      </pivotArea>
    </format>
    <format dxfId="1489">
      <pivotArea dataOnly="0" labelOnly="1" fieldPosition="0">
        <references count="4">
          <reference field="4" count="1" selected="0">
            <x v="8"/>
          </reference>
          <reference field="6" count="1" selected="0">
            <x v="3"/>
          </reference>
          <reference field="7" count="1" selected="0">
            <x v="6"/>
          </reference>
          <reference field="8" count="2">
            <x v="29"/>
            <x v="30"/>
          </reference>
        </references>
      </pivotArea>
    </format>
    <format dxfId="1488">
      <pivotArea dataOnly="0" labelOnly="1" fieldPosition="0">
        <references count="4">
          <reference field="4" count="1" selected="0">
            <x v="9"/>
          </reference>
          <reference field="6" count="1" selected="0">
            <x v="1"/>
          </reference>
          <reference field="7" count="1" selected="0">
            <x v="25"/>
          </reference>
          <reference field="8" count="10">
            <x v="115"/>
            <x v="116"/>
            <x v="117"/>
            <x v="118"/>
            <x v="119"/>
            <x v="120"/>
            <x v="121"/>
            <x v="122"/>
            <x v="123"/>
            <x v="124"/>
          </reference>
        </references>
      </pivotArea>
    </format>
    <format dxfId="1487">
      <pivotArea dataOnly="0" labelOnly="1" fieldPosition="0">
        <references count="4">
          <reference field="4" count="1" selected="0">
            <x v="10"/>
          </reference>
          <reference field="6" count="1" selected="0">
            <x v="3"/>
          </reference>
          <reference field="7" count="1" selected="0">
            <x v="6"/>
          </reference>
          <reference field="8" count="1">
            <x v="29"/>
          </reference>
        </references>
      </pivotArea>
    </format>
    <format dxfId="1486">
      <pivotArea dataOnly="0" labelOnly="1" fieldPosition="0">
        <references count="4">
          <reference field="4" count="1" selected="0">
            <x v="11"/>
          </reference>
          <reference field="6" count="1" selected="0">
            <x v="0"/>
          </reference>
          <reference field="7" count="1" selected="0">
            <x v="17"/>
          </reference>
          <reference field="8" count="3">
            <x v="70"/>
            <x v="71"/>
            <x v="72"/>
          </reference>
        </references>
      </pivotArea>
    </format>
    <format dxfId="1485">
      <pivotArea dataOnly="0" labelOnly="1" fieldPosition="0">
        <references count="4">
          <reference field="4" count="1" selected="0">
            <x v="12"/>
          </reference>
          <reference field="6" count="1" selected="0">
            <x v="0"/>
          </reference>
          <reference field="7" count="1" selected="0">
            <x v="18"/>
          </reference>
          <reference field="8" count="3">
            <x v="74"/>
            <x v="75"/>
            <x v="76"/>
          </reference>
        </references>
      </pivotArea>
    </format>
    <format dxfId="1484">
      <pivotArea dataOnly="0" labelOnly="1" fieldPosition="0">
        <references count="4">
          <reference field="4" count="1" selected="0">
            <x v="13"/>
          </reference>
          <reference field="6" count="1" selected="0">
            <x v="3"/>
          </reference>
          <reference field="7" count="1" selected="0">
            <x v="1"/>
          </reference>
          <reference field="8" count="1">
            <x v="6"/>
          </reference>
        </references>
      </pivotArea>
    </format>
    <format dxfId="1483">
      <pivotArea dataOnly="0" labelOnly="1" fieldPosition="0">
        <references count="4">
          <reference field="4" count="1" selected="0">
            <x v="13"/>
          </reference>
          <reference field="6" count="1" selected="0">
            <x v="3"/>
          </reference>
          <reference field="7" count="1" selected="0">
            <x v="5"/>
          </reference>
          <reference field="8" count="6">
            <x v="22"/>
            <x v="23"/>
            <x v="24"/>
            <x v="25"/>
            <x v="26"/>
            <x v="27"/>
          </reference>
        </references>
      </pivotArea>
    </format>
    <format dxfId="1482">
      <pivotArea dataOnly="0" labelOnly="1" fieldPosition="0">
        <references count="4">
          <reference field="4" count="1" selected="0">
            <x v="14"/>
          </reference>
          <reference field="6" count="1" selected="0">
            <x v="1"/>
          </reference>
          <reference field="7" count="1" selected="0">
            <x v="26"/>
          </reference>
          <reference field="8" count="7">
            <x v="125"/>
            <x v="126"/>
            <x v="127"/>
            <x v="128"/>
            <x v="129"/>
            <x v="130"/>
            <x v="131"/>
          </reference>
        </references>
      </pivotArea>
    </format>
    <format dxfId="1481">
      <pivotArea dataOnly="0" labelOnly="1" fieldPosition="0">
        <references count="4">
          <reference field="4" count="1" selected="0">
            <x v="15"/>
          </reference>
          <reference field="6" count="1" selected="0">
            <x v="0"/>
          </reference>
          <reference field="7" count="1" selected="0">
            <x v="20"/>
          </reference>
          <reference field="8" count="5">
            <x v="82"/>
            <x v="83"/>
            <x v="84"/>
            <x v="85"/>
            <x v="86"/>
          </reference>
        </references>
      </pivotArea>
    </format>
    <format dxfId="1480">
      <pivotArea dataOnly="0" labelOnly="1" fieldPosition="0">
        <references count="4">
          <reference field="4" count="1" selected="0">
            <x v="16"/>
          </reference>
          <reference field="6" count="1" selected="0">
            <x v="1"/>
          </reference>
          <reference field="7" count="1" selected="0">
            <x v="27"/>
          </reference>
          <reference field="8" count="6">
            <x v="132"/>
            <x v="133"/>
            <x v="134"/>
            <x v="135"/>
            <x v="136"/>
            <x v="137"/>
          </reference>
        </references>
      </pivotArea>
    </format>
    <format dxfId="1479">
      <pivotArea dataOnly="0" labelOnly="1" fieldPosition="0">
        <references count="4">
          <reference field="4" count="1" selected="0">
            <x v="16"/>
          </reference>
          <reference field="6" count="1" selected="0">
            <x v="3"/>
          </reference>
          <reference field="7" count="1" selected="0">
            <x v="1"/>
          </reference>
          <reference field="8" count="1">
            <x v="6"/>
          </reference>
        </references>
      </pivotArea>
    </format>
    <format dxfId="1478">
      <pivotArea dataOnly="0" labelOnly="1" fieldPosition="0">
        <references count="4">
          <reference field="4" count="1" selected="0">
            <x v="16"/>
          </reference>
          <reference field="6" count="1" selected="0">
            <x v="4"/>
          </reference>
          <reference field="7" count="1" selected="0">
            <x v="8"/>
          </reference>
          <reference field="8" count="1">
            <x v="38"/>
          </reference>
        </references>
      </pivotArea>
    </format>
    <format dxfId="1477">
      <pivotArea dataOnly="0" labelOnly="1" fieldPosition="0">
        <references count="4">
          <reference field="4" count="1" selected="0">
            <x v="16"/>
          </reference>
          <reference field="6" count="1" selected="0">
            <x v="4"/>
          </reference>
          <reference field="7" count="1" selected="0">
            <x v="11"/>
          </reference>
          <reference field="8" count="1">
            <x v="48"/>
          </reference>
        </references>
      </pivotArea>
    </format>
    <format dxfId="1476">
      <pivotArea dataOnly="0" labelOnly="1" fieldPosition="0">
        <references count="4">
          <reference field="4" count="1" selected="0">
            <x v="17"/>
          </reference>
          <reference field="6" count="1" selected="0">
            <x v="0"/>
          </reference>
          <reference field="7" count="1" selected="0">
            <x v="16"/>
          </reference>
          <reference field="8" count="7">
            <x v="57"/>
            <x v="58"/>
            <x v="59"/>
            <x v="60"/>
            <x v="61"/>
            <x v="62"/>
            <x v="63"/>
          </reference>
        </references>
      </pivotArea>
    </format>
    <format dxfId="1475">
      <pivotArea dataOnly="0" labelOnly="1" fieldPosition="0">
        <references count="4">
          <reference field="4" count="1" selected="0">
            <x v="17"/>
          </reference>
          <reference field="6" count="1" selected="0">
            <x v="0"/>
          </reference>
          <reference field="7" count="1" selected="0">
            <x v="22"/>
          </reference>
          <reference field="8" count="1">
            <x v="94"/>
          </reference>
        </references>
      </pivotArea>
    </format>
    <format dxfId="1474">
      <pivotArea dataOnly="0" labelOnly="1" fieldPosition="0">
        <references count="4">
          <reference field="4" count="1" selected="0">
            <x v="18"/>
          </reference>
          <reference field="6" count="1" selected="0">
            <x v="3"/>
          </reference>
          <reference field="7" count="1" selected="0">
            <x v="2"/>
          </reference>
          <reference field="8" count="4">
            <x v="8"/>
            <x v="9"/>
            <x v="16"/>
            <x v="17"/>
          </reference>
        </references>
      </pivotArea>
    </format>
    <format dxfId="1473">
      <pivotArea dataOnly="0" labelOnly="1" fieldPosition="0">
        <references count="4">
          <reference field="4" count="1" selected="0">
            <x v="19"/>
          </reference>
          <reference field="6" count="1" selected="0">
            <x v="3"/>
          </reference>
          <reference field="7" count="1" selected="0">
            <x v="6"/>
          </reference>
          <reference field="8" count="1">
            <x v="29"/>
          </reference>
        </references>
      </pivotArea>
    </format>
    <format dxfId="1472">
      <pivotArea dataOnly="0" labelOnly="1" fieldPosition="0">
        <references count="4">
          <reference field="4" count="1" selected="0">
            <x v="20"/>
          </reference>
          <reference field="6" count="1" selected="0">
            <x v="1"/>
          </reference>
          <reference field="7" count="1" selected="0">
            <x v="24"/>
          </reference>
          <reference field="8" count="1">
            <x v="106"/>
          </reference>
        </references>
      </pivotArea>
    </format>
    <format dxfId="1471">
      <pivotArea dataOnly="0" labelOnly="1" fieldPosition="0">
        <references count="5">
          <reference field="4" count="1" selected="0">
            <x v="0"/>
          </reference>
          <reference field="6" count="1" selected="0">
            <x v="0"/>
          </reference>
          <reference field="7" count="1" selected="0">
            <x v="17"/>
          </reference>
          <reference field="8" count="1" selected="0">
            <x v="65"/>
          </reference>
          <reference field="15" count="1">
            <x v="108"/>
          </reference>
        </references>
      </pivotArea>
    </format>
    <format dxfId="1470">
      <pivotArea dataOnly="0" labelOnly="1" fieldPosition="0">
        <references count="5">
          <reference field="4" count="1" selected="0">
            <x v="0"/>
          </reference>
          <reference field="6" count="1" selected="0">
            <x v="0"/>
          </reference>
          <reference field="7" count="1" selected="0">
            <x v="17"/>
          </reference>
          <reference field="8" count="1" selected="0">
            <x v="66"/>
          </reference>
          <reference field="15" count="2">
            <x v="365"/>
            <x v="366"/>
          </reference>
        </references>
      </pivotArea>
    </format>
    <format dxfId="1469">
      <pivotArea dataOnly="0" labelOnly="1" fieldPosition="0">
        <references count="5">
          <reference field="4" count="1" selected="0">
            <x v="0"/>
          </reference>
          <reference field="6" count="1" selected="0">
            <x v="0"/>
          </reference>
          <reference field="7" count="1" selected="0">
            <x v="17"/>
          </reference>
          <reference field="8" count="1" selected="0">
            <x v="67"/>
          </reference>
          <reference field="15" count="2">
            <x v="364"/>
            <x v="370"/>
          </reference>
        </references>
      </pivotArea>
    </format>
    <format dxfId="1468">
      <pivotArea dataOnly="0" labelOnly="1" fieldPosition="0">
        <references count="5">
          <reference field="4" count="1" selected="0">
            <x v="0"/>
          </reference>
          <reference field="6" count="1" selected="0">
            <x v="0"/>
          </reference>
          <reference field="7" count="1" selected="0">
            <x v="17"/>
          </reference>
          <reference field="8" count="1" selected="0">
            <x v="68"/>
          </reference>
          <reference field="15" count="1">
            <x v="79"/>
          </reference>
        </references>
      </pivotArea>
    </format>
    <format dxfId="1467">
      <pivotArea dataOnly="0" labelOnly="1" fieldPosition="0">
        <references count="5">
          <reference field="4" count="1" selected="0">
            <x v="0"/>
          </reference>
          <reference field="6" count="1" selected="0">
            <x v="0"/>
          </reference>
          <reference field="7" count="1" selected="0">
            <x v="17"/>
          </reference>
          <reference field="8" count="1" selected="0">
            <x v="69"/>
          </reference>
          <reference field="15" count="1">
            <x v="42"/>
          </reference>
        </references>
      </pivotArea>
    </format>
    <format dxfId="1466">
      <pivotArea dataOnly="0" labelOnly="1" fieldPosition="0">
        <references count="5">
          <reference field="4" count="1" selected="0">
            <x v="0"/>
          </reference>
          <reference field="6" count="1" selected="0">
            <x v="0"/>
          </reference>
          <reference field="7" count="1" selected="0">
            <x v="19"/>
          </reference>
          <reference field="8" count="1" selected="0">
            <x v="78"/>
          </reference>
          <reference field="15" count="1">
            <x v="236"/>
          </reference>
        </references>
      </pivotArea>
    </format>
    <format dxfId="1465">
      <pivotArea dataOnly="0" labelOnly="1" fieldPosition="0">
        <references count="5">
          <reference field="4" count="1" selected="0">
            <x v="0"/>
          </reference>
          <reference field="6" count="1" selected="0">
            <x v="0"/>
          </reference>
          <reference field="7" count="1" selected="0">
            <x v="19"/>
          </reference>
          <reference field="8" count="1" selected="0">
            <x v="79"/>
          </reference>
          <reference field="15" count="1">
            <x v="12"/>
          </reference>
        </references>
      </pivotArea>
    </format>
    <format dxfId="1464">
      <pivotArea dataOnly="0" labelOnly="1" fieldPosition="0">
        <references count="5">
          <reference field="4" count="1" selected="0">
            <x v="0"/>
          </reference>
          <reference field="6" count="1" selected="0">
            <x v="0"/>
          </reference>
          <reference field="7" count="1" selected="0">
            <x v="19"/>
          </reference>
          <reference field="8" count="1" selected="0">
            <x v="80"/>
          </reference>
          <reference field="15" count="2">
            <x v="10"/>
            <x v="11"/>
          </reference>
        </references>
      </pivotArea>
    </format>
    <format dxfId="1463">
      <pivotArea dataOnly="0" labelOnly="1" fieldPosition="0">
        <references count="5">
          <reference field="4" count="1" selected="0">
            <x v="0"/>
          </reference>
          <reference field="6" count="1" selected="0">
            <x v="1"/>
          </reference>
          <reference field="7" count="1" selected="0">
            <x v="23"/>
          </reference>
          <reference field="8" count="1" selected="0">
            <x v="95"/>
          </reference>
          <reference field="15" count="1">
            <x v="250"/>
          </reference>
        </references>
      </pivotArea>
    </format>
    <format dxfId="1462">
      <pivotArea dataOnly="0" labelOnly="1" fieldPosition="0">
        <references count="5">
          <reference field="4" count="1" selected="0">
            <x v="0"/>
          </reference>
          <reference field="6" count="1" selected="0">
            <x v="1"/>
          </reference>
          <reference field="7" count="1" selected="0">
            <x v="23"/>
          </reference>
          <reference field="8" count="1" selected="0">
            <x v="96"/>
          </reference>
          <reference field="15" count="2">
            <x v="251"/>
            <x v="358"/>
          </reference>
        </references>
      </pivotArea>
    </format>
    <format dxfId="1461">
      <pivotArea dataOnly="0" labelOnly="1" fieldPosition="0">
        <references count="5">
          <reference field="4" count="1" selected="0">
            <x v="0"/>
          </reference>
          <reference field="6" count="1" selected="0">
            <x v="1"/>
          </reference>
          <reference field="7" count="1" selected="0">
            <x v="23"/>
          </reference>
          <reference field="8" count="1" selected="0">
            <x v="97"/>
          </reference>
          <reference field="15" count="1">
            <x v="257"/>
          </reference>
        </references>
      </pivotArea>
    </format>
    <format dxfId="1460">
      <pivotArea dataOnly="0" labelOnly="1" fieldPosition="0">
        <references count="5">
          <reference field="4" count="1" selected="0">
            <x v="0"/>
          </reference>
          <reference field="6" count="1" selected="0">
            <x v="1"/>
          </reference>
          <reference field="7" count="1" selected="0">
            <x v="23"/>
          </reference>
          <reference field="8" count="1" selected="0">
            <x v="98"/>
          </reference>
          <reference field="15" count="1">
            <x v="43"/>
          </reference>
        </references>
      </pivotArea>
    </format>
    <format dxfId="1459">
      <pivotArea dataOnly="0" labelOnly="1" fieldPosition="0">
        <references count="5">
          <reference field="4" count="1" selected="0">
            <x v="0"/>
          </reference>
          <reference field="6" count="1" selected="0">
            <x v="1"/>
          </reference>
          <reference field="7" count="1" selected="0">
            <x v="23"/>
          </reference>
          <reference field="8" count="1" selected="0">
            <x v="99"/>
          </reference>
          <reference field="15" count="1">
            <x v="254"/>
          </reference>
        </references>
      </pivotArea>
    </format>
    <format dxfId="1458">
      <pivotArea dataOnly="0" labelOnly="1" fieldPosition="0">
        <references count="5">
          <reference field="4" count="1" selected="0">
            <x v="0"/>
          </reference>
          <reference field="6" count="1" selected="0">
            <x v="1"/>
          </reference>
          <reference field="7" count="1" selected="0">
            <x v="23"/>
          </reference>
          <reference field="8" count="1" selected="0">
            <x v="100"/>
          </reference>
          <reference field="15" count="1">
            <x v="253"/>
          </reference>
        </references>
      </pivotArea>
    </format>
    <format dxfId="1457">
      <pivotArea dataOnly="0" labelOnly="1" fieldPosition="0">
        <references count="5">
          <reference field="4" count="1" selected="0">
            <x v="0"/>
          </reference>
          <reference field="6" count="1" selected="0">
            <x v="1"/>
          </reference>
          <reference field="7" count="1" selected="0">
            <x v="23"/>
          </reference>
          <reference field="8" count="1" selected="0">
            <x v="101"/>
          </reference>
          <reference field="15" count="1">
            <x v="255"/>
          </reference>
        </references>
      </pivotArea>
    </format>
    <format dxfId="1456">
      <pivotArea dataOnly="0" labelOnly="1" fieldPosition="0">
        <references count="5">
          <reference field="4" count="1" selected="0">
            <x v="0"/>
          </reference>
          <reference field="6" count="1" selected="0">
            <x v="1"/>
          </reference>
          <reference field="7" count="1" selected="0">
            <x v="23"/>
          </reference>
          <reference field="8" count="1" selected="0">
            <x v="102"/>
          </reference>
          <reference field="15" count="1">
            <x v="40"/>
          </reference>
        </references>
      </pivotArea>
    </format>
    <format dxfId="1455">
      <pivotArea dataOnly="0" labelOnly="1" fieldPosition="0">
        <references count="5">
          <reference field="4" count="1" selected="0">
            <x v="0"/>
          </reference>
          <reference field="6" count="1" selected="0">
            <x v="1"/>
          </reference>
          <reference field="7" count="1" selected="0">
            <x v="23"/>
          </reference>
          <reference field="8" count="1" selected="0">
            <x v="103"/>
          </reference>
          <reference field="15" count="1">
            <x v="252"/>
          </reference>
        </references>
      </pivotArea>
    </format>
    <format dxfId="1454">
      <pivotArea dataOnly="0" labelOnly="1" fieldPosition="0">
        <references count="5">
          <reference field="4" count="1" selected="0">
            <x v="0"/>
          </reference>
          <reference field="6" count="1" selected="0">
            <x v="1"/>
          </reference>
          <reference field="7" count="1" selected="0">
            <x v="23"/>
          </reference>
          <reference field="8" count="1" selected="0">
            <x v="104"/>
          </reference>
          <reference field="15" count="1">
            <x v="256"/>
          </reference>
        </references>
      </pivotArea>
    </format>
    <format dxfId="1453">
      <pivotArea dataOnly="0" labelOnly="1" fieldPosition="0">
        <references count="5">
          <reference field="4" count="1" selected="0">
            <x v="0"/>
          </reference>
          <reference field="6" count="1" selected="0">
            <x v="1"/>
          </reference>
          <reference field="7" count="1" selected="0">
            <x v="26"/>
          </reference>
          <reference field="8" count="1" selected="0">
            <x v="131"/>
          </reference>
          <reference field="15" count="1">
            <x v="13"/>
          </reference>
        </references>
      </pivotArea>
    </format>
    <format dxfId="1452">
      <pivotArea dataOnly="0" labelOnly="1" fieldPosition="0">
        <references count="5">
          <reference field="4" count="1" selected="0">
            <x v="1"/>
          </reference>
          <reference field="6" count="1" selected="0">
            <x v="0"/>
          </reference>
          <reference field="7" count="1" selected="0">
            <x v="19"/>
          </reference>
          <reference field="8" count="1" selected="0">
            <x v="81"/>
          </reference>
          <reference field="15" count="1">
            <x v="231"/>
          </reference>
        </references>
      </pivotArea>
    </format>
    <format dxfId="1451">
      <pivotArea dataOnly="0" labelOnly="1" fieldPosition="0">
        <references count="5">
          <reference field="4" count="1" selected="0">
            <x v="1"/>
          </reference>
          <reference field="6" count="1" selected="0">
            <x v="3"/>
          </reference>
          <reference field="7" count="1" selected="0">
            <x v="2"/>
          </reference>
          <reference field="8" count="1" selected="0">
            <x v="7"/>
          </reference>
          <reference field="15" count="5">
            <x v="117"/>
            <x v="124"/>
            <x v="131"/>
            <x v="380"/>
            <x v="400"/>
          </reference>
        </references>
      </pivotArea>
    </format>
    <format dxfId="1450">
      <pivotArea dataOnly="0" labelOnly="1" fieldPosition="0">
        <references count="5">
          <reference field="4" count="1" selected="0">
            <x v="1"/>
          </reference>
          <reference field="6" count="1" selected="0">
            <x v="3"/>
          </reference>
          <reference field="7" count="1" selected="0">
            <x v="2"/>
          </reference>
          <reference field="8" count="1" selected="0">
            <x v="10"/>
          </reference>
          <reference field="15" count="2">
            <x v="17"/>
            <x v="18"/>
          </reference>
        </references>
      </pivotArea>
    </format>
    <format dxfId="1449">
      <pivotArea dataOnly="0" labelOnly="1" fieldPosition="0">
        <references count="5">
          <reference field="4" count="1" selected="0">
            <x v="1"/>
          </reference>
          <reference field="6" count="1" selected="0">
            <x v="3"/>
          </reference>
          <reference field="7" count="1" selected="0">
            <x v="2"/>
          </reference>
          <reference field="8" count="1" selected="0">
            <x v="11"/>
          </reference>
          <reference field="15" count="2">
            <x v="7"/>
            <x v="8"/>
          </reference>
        </references>
      </pivotArea>
    </format>
    <format dxfId="1448">
      <pivotArea dataOnly="0" labelOnly="1" fieldPosition="0">
        <references count="5">
          <reference field="4" count="1" selected="0">
            <x v="1"/>
          </reference>
          <reference field="6" count="1" selected="0">
            <x v="3"/>
          </reference>
          <reference field="7" count="1" selected="0">
            <x v="2"/>
          </reference>
          <reference field="8" count="1" selected="0">
            <x v="12"/>
          </reference>
          <reference field="15" count="1">
            <x v="107"/>
          </reference>
        </references>
      </pivotArea>
    </format>
    <format dxfId="1447">
      <pivotArea dataOnly="0" labelOnly="1" fieldPosition="0">
        <references count="5">
          <reference field="4" count="1" selected="0">
            <x v="1"/>
          </reference>
          <reference field="6" count="1" selected="0">
            <x v="3"/>
          </reference>
          <reference field="7" count="1" selected="0">
            <x v="2"/>
          </reference>
          <reference field="8" count="1" selected="0">
            <x v="13"/>
          </reference>
          <reference field="15" count="1">
            <x v="6"/>
          </reference>
        </references>
      </pivotArea>
    </format>
    <format dxfId="1446">
      <pivotArea dataOnly="0" labelOnly="1" fieldPosition="0">
        <references count="5">
          <reference field="4" count="1" selected="0">
            <x v="1"/>
          </reference>
          <reference field="6" count="1" selected="0">
            <x v="3"/>
          </reference>
          <reference field="7" count="1" selected="0">
            <x v="2"/>
          </reference>
          <reference field="8" count="1" selected="0">
            <x v="14"/>
          </reference>
          <reference field="15" count="2">
            <x v="46"/>
            <x v="47"/>
          </reference>
        </references>
      </pivotArea>
    </format>
    <format dxfId="1445">
      <pivotArea dataOnly="0" labelOnly="1" fieldPosition="0">
        <references count="5">
          <reference field="4" count="1" selected="0">
            <x v="1"/>
          </reference>
          <reference field="6" count="1" selected="0">
            <x v="3"/>
          </reference>
          <reference field="7" count="1" selected="0">
            <x v="2"/>
          </reference>
          <reference field="8" count="1" selected="0">
            <x v="15"/>
          </reference>
          <reference field="15" count="1">
            <x v="372"/>
          </reference>
        </references>
      </pivotArea>
    </format>
    <format dxfId="1444">
      <pivotArea dataOnly="0" labelOnly="1" fieldPosition="0">
        <references count="5">
          <reference field="4" count="1" selected="0">
            <x v="1"/>
          </reference>
          <reference field="6" count="1" selected="0">
            <x v="3"/>
          </reference>
          <reference field="7" count="1" selected="0">
            <x v="3"/>
          </reference>
          <reference field="8" count="1" selected="0">
            <x v="18"/>
          </reference>
          <reference field="15" count="1">
            <x v="232"/>
          </reference>
        </references>
      </pivotArea>
    </format>
    <format dxfId="1443">
      <pivotArea dataOnly="0" labelOnly="1" fieldPosition="0">
        <references count="5">
          <reference field="4" count="1" selected="0">
            <x v="1"/>
          </reference>
          <reference field="6" count="1" selected="0">
            <x v="3"/>
          </reference>
          <reference field="7" count="1" selected="0">
            <x v="3"/>
          </reference>
          <reference field="8" count="1" selected="0">
            <x v="19"/>
          </reference>
          <reference field="15" count="1">
            <x v="9"/>
          </reference>
        </references>
      </pivotArea>
    </format>
    <format dxfId="1442">
      <pivotArea dataOnly="0" labelOnly="1" fieldPosition="0">
        <references count="5">
          <reference field="4" count="1" selected="0">
            <x v="1"/>
          </reference>
          <reference field="6" count="1" selected="0">
            <x v="3"/>
          </reference>
          <reference field="7" count="1" selected="0">
            <x v="4"/>
          </reference>
          <reference field="8" count="1" selected="0">
            <x v="20"/>
          </reference>
          <reference field="15" count="1">
            <x v="34"/>
          </reference>
        </references>
      </pivotArea>
    </format>
    <format dxfId="1441">
      <pivotArea dataOnly="0" labelOnly="1" fieldPosition="0">
        <references count="5">
          <reference field="4" count="1" selected="0">
            <x v="1"/>
          </reference>
          <reference field="6" count="1" selected="0">
            <x v="3"/>
          </reference>
          <reference field="7" count="1" selected="0">
            <x v="4"/>
          </reference>
          <reference field="8" count="1" selected="0">
            <x v="21"/>
          </reference>
          <reference field="15" count="1">
            <x v="98"/>
          </reference>
        </references>
      </pivotArea>
    </format>
    <format dxfId="1440">
      <pivotArea dataOnly="0" labelOnly="1" fieldPosition="0">
        <references count="5">
          <reference field="4" count="1" selected="0">
            <x v="1"/>
          </reference>
          <reference field="6" count="1" selected="0">
            <x v="4"/>
          </reference>
          <reference field="7" count="1" selected="0">
            <x v="8"/>
          </reference>
          <reference field="8" count="1" selected="0">
            <x v="33"/>
          </reference>
          <reference field="15" count="1">
            <x v="237"/>
          </reference>
        </references>
      </pivotArea>
    </format>
    <format dxfId="1439">
      <pivotArea dataOnly="0" labelOnly="1" fieldPosition="0">
        <references count="5">
          <reference field="4" count="1" selected="0">
            <x v="1"/>
          </reference>
          <reference field="6" count="1" selected="0">
            <x v="4"/>
          </reference>
          <reference field="7" count="1" selected="0">
            <x v="8"/>
          </reference>
          <reference field="8" count="1" selected="0">
            <x v="34"/>
          </reference>
          <reference field="15" count="1">
            <x v="373"/>
          </reference>
        </references>
      </pivotArea>
    </format>
    <format dxfId="1438">
      <pivotArea dataOnly="0" labelOnly="1" fieldPosition="0">
        <references count="5">
          <reference field="4" count="1" selected="0">
            <x v="1"/>
          </reference>
          <reference field="6" count="1" selected="0">
            <x v="4"/>
          </reference>
          <reference field="7" count="1" selected="0">
            <x v="8"/>
          </reference>
          <reference field="8" count="1" selected="0">
            <x v="39"/>
          </reference>
          <reference field="15" count="2">
            <x v="233"/>
            <x v="234"/>
          </reference>
        </references>
      </pivotArea>
    </format>
    <format dxfId="1437">
      <pivotArea dataOnly="0" labelOnly="1" fieldPosition="0">
        <references count="5">
          <reference field="4" count="1" selected="0">
            <x v="2"/>
          </reference>
          <reference field="6" count="1" selected="0">
            <x v="2"/>
          </reference>
          <reference field="7" count="1" selected="0">
            <x v="29"/>
          </reference>
          <reference field="8" count="1" selected="0">
            <x v="145"/>
          </reference>
          <reference field="15" count="1">
            <x v="377"/>
          </reference>
        </references>
      </pivotArea>
    </format>
    <format dxfId="1436">
      <pivotArea dataOnly="0" labelOnly="1" fieldPosition="0">
        <references count="5">
          <reference field="4" count="1" selected="0">
            <x v="2"/>
          </reference>
          <reference field="6" count="1" selected="0">
            <x v="2"/>
          </reference>
          <reference field="7" count="1" selected="0">
            <x v="29"/>
          </reference>
          <reference field="8" count="1" selected="0">
            <x v="146"/>
          </reference>
          <reference field="15" count="1">
            <x v="139"/>
          </reference>
        </references>
      </pivotArea>
    </format>
    <format dxfId="1435">
      <pivotArea dataOnly="0" labelOnly="1" fieldPosition="0">
        <references count="5">
          <reference field="4" count="1" selected="0">
            <x v="2"/>
          </reference>
          <reference field="6" count="1" selected="0">
            <x v="2"/>
          </reference>
          <reference field="7" count="1" selected="0">
            <x v="29"/>
          </reference>
          <reference field="8" count="1" selected="0">
            <x v="147"/>
          </reference>
          <reference field="15" count="1">
            <x v="127"/>
          </reference>
        </references>
      </pivotArea>
    </format>
    <format dxfId="1434">
      <pivotArea dataOnly="0" labelOnly="1" fieldPosition="0">
        <references count="5">
          <reference field="4" count="1" selected="0">
            <x v="2"/>
          </reference>
          <reference field="6" count="1" selected="0">
            <x v="2"/>
          </reference>
          <reference field="7" count="1" selected="0">
            <x v="29"/>
          </reference>
          <reference field="8" count="1" selected="0">
            <x v="148"/>
          </reference>
          <reference field="15" count="1">
            <x v="142"/>
          </reference>
        </references>
      </pivotArea>
    </format>
    <format dxfId="1433">
      <pivotArea dataOnly="0" labelOnly="1" fieldPosition="0">
        <references count="5">
          <reference field="4" count="1" selected="0">
            <x v="2"/>
          </reference>
          <reference field="6" count="1" selected="0">
            <x v="2"/>
          </reference>
          <reference field="7" count="1" selected="0">
            <x v="29"/>
          </reference>
          <reference field="8" count="1" selected="0">
            <x v="149"/>
          </reference>
          <reference field="15" count="1">
            <x v="140"/>
          </reference>
        </references>
      </pivotArea>
    </format>
    <format dxfId="1432">
      <pivotArea dataOnly="0" labelOnly="1" fieldPosition="0">
        <references count="5">
          <reference field="4" count="1" selected="0">
            <x v="2"/>
          </reference>
          <reference field="6" count="1" selected="0">
            <x v="2"/>
          </reference>
          <reference field="7" count="1" selected="0">
            <x v="29"/>
          </reference>
          <reference field="8" count="1" selected="0">
            <x v="150"/>
          </reference>
          <reference field="15" count="1">
            <x v="144"/>
          </reference>
        </references>
      </pivotArea>
    </format>
    <format dxfId="1431">
      <pivotArea dataOnly="0" labelOnly="1" fieldPosition="0">
        <references count="5">
          <reference field="4" count="1" selected="0">
            <x v="2"/>
          </reference>
          <reference field="6" count="1" selected="0">
            <x v="2"/>
          </reference>
          <reference field="7" count="1" selected="0">
            <x v="30"/>
          </reference>
          <reference field="8" count="1" selected="0">
            <x v="152"/>
          </reference>
          <reference field="15" count="2">
            <x v="128"/>
            <x v="129"/>
          </reference>
        </references>
      </pivotArea>
    </format>
    <format dxfId="1430">
      <pivotArea dataOnly="0" labelOnly="1" fieldPosition="0">
        <references count="5">
          <reference field="4" count="1" selected="0">
            <x v="2"/>
          </reference>
          <reference field="6" count="1" selected="0">
            <x v="2"/>
          </reference>
          <reference field="7" count="1" selected="0">
            <x v="30"/>
          </reference>
          <reference field="8" count="1" selected="0">
            <x v="153"/>
          </reference>
          <reference field="15" count="1">
            <x v="141"/>
          </reference>
        </references>
      </pivotArea>
    </format>
    <format dxfId="1429">
      <pivotArea dataOnly="0" labelOnly="1" fieldPosition="0">
        <references count="5">
          <reference field="4" count="1" selected="0">
            <x v="2"/>
          </reference>
          <reference field="6" count="1" selected="0">
            <x v="3"/>
          </reference>
          <reference field="7" count="1" selected="0">
            <x v="5"/>
          </reference>
          <reference field="8" count="1" selected="0">
            <x v="24"/>
          </reference>
          <reference field="15" count="1">
            <x v="339"/>
          </reference>
        </references>
      </pivotArea>
    </format>
    <format dxfId="1428">
      <pivotArea dataOnly="0" labelOnly="1" fieldPosition="0">
        <references count="5">
          <reference field="4" count="1" selected="0">
            <x v="2"/>
          </reference>
          <reference field="6" count="1" selected="0">
            <x v="3"/>
          </reference>
          <reference field="7" count="1" selected="0">
            <x v="7"/>
          </reference>
          <reference field="8" count="1" selected="0">
            <x v="31"/>
          </reference>
          <reference field="15" count="2">
            <x v="391"/>
            <x v="392"/>
          </reference>
        </references>
      </pivotArea>
    </format>
    <format dxfId="1427">
      <pivotArea dataOnly="0" labelOnly="1" fieldPosition="0">
        <references count="5">
          <reference field="4" count="1" selected="0">
            <x v="2"/>
          </reference>
          <reference field="6" count="1" selected="0">
            <x v="3"/>
          </reference>
          <reference field="7" count="1" selected="0">
            <x v="7"/>
          </reference>
          <reference field="8" count="1" selected="0">
            <x v="32"/>
          </reference>
          <reference field="15" count="1">
            <x v="371"/>
          </reference>
        </references>
      </pivotArea>
    </format>
    <format dxfId="1426">
      <pivotArea dataOnly="0" labelOnly="1" fieldPosition="0">
        <references count="5">
          <reference field="4" count="1" selected="0">
            <x v="2"/>
          </reference>
          <reference field="6" count="1" selected="0">
            <x v="4"/>
          </reference>
          <reference field="7" count="1" selected="0">
            <x v="8"/>
          </reference>
          <reference field="8" count="1" selected="0">
            <x v="36"/>
          </reference>
          <reference field="15" count="1">
            <x v="379"/>
          </reference>
        </references>
      </pivotArea>
    </format>
    <format dxfId="1425">
      <pivotArea dataOnly="0" labelOnly="1" fieldPosition="0">
        <references count="5">
          <reference field="4" count="1" selected="0">
            <x v="2"/>
          </reference>
          <reference field="6" count="1" selected="0">
            <x v="4"/>
          </reference>
          <reference field="7" count="1" selected="0">
            <x v="8"/>
          </reference>
          <reference field="8" count="1" selected="0">
            <x v="39"/>
          </reference>
          <reference field="15" count="1">
            <x v="378"/>
          </reference>
        </references>
      </pivotArea>
    </format>
    <format dxfId="1424">
      <pivotArea dataOnly="0" labelOnly="1" fieldPosition="0">
        <references count="5">
          <reference field="4" count="1" selected="0">
            <x v="3"/>
          </reference>
          <reference field="6" count="1" selected="0">
            <x v="3"/>
          </reference>
          <reference field="7" count="1" selected="0">
            <x v="6"/>
          </reference>
          <reference field="8" count="1" selected="0">
            <x v="29"/>
          </reference>
          <reference field="15" count="41">
            <x v="0"/>
            <x v="1"/>
            <x v="167"/>
            <x v="175"/>
            <x v="176"/>
            <x v="177"/>
            <x v="178"/>
            <x v="179"/>
            <x v="180"/>
            <x v="181"/>
            <x v="182"/>
            <x v="201"/>
            <x v="202"/>
            <x v="205"/>
            <x v="206"/>
            <x v="207"/>
            <x v="208"/>
            <x v="209"/>
            <x v="210"/>
            <x v="211"/>
            <x v="212"/>
            <x v="213"/>
            <x v="214"/>
            <x v="215"/>
            <x v="216"/>
            <x v="217"/>
            <x v="218"/>
            <x v="219"/>
            <x v="220"/>
            <x v="221"/>
            <x v="224"/>
            <x v="225"/>
            <x v="226"/>
            <x v="227"/>
            <x v="228"/>
            <x v="393"/>
            <x v="394"/>
            <x v="396"/>
            <x v="397"/>
            <x v="398"/>
            <x v="399"/>
          </reference>
        </references>
      </pivotArea>
    </format>
    <format dxfId="1423">
      <pivotArea dataOnly="0" labelOnly="1" fieldPosition="0">
        <references count="5">
          <reference field="4" count="1" selected="0">
            <x v="4"/>
          </reference>
          <reference field="6" count="1" selected="0">
            <x v="0"/>
          </reference>
          <reference field="7" count="1" selected="0">
            <x v="21"/>
          </reference>
          <reference field="8" count="1" selected="0">
            <x v="87"/>
          </reference>
          <reference field="15" count="8">
            <x v="126"/>
            <x v="293"/>
            <x v="305"/>
            <x v="306"/>
            <x v="317"/>
            <x v="388"/>
            <x v="389"/>
            <x v="390"/>
          </reference>
        </references>
      </pivotArea>
    </format>
    <format dxfId="1422">
      <pivotArea dataOnly="0" labelOnly="1" fieldPosition="0">
        <references count="5">
          <reference field="4" count="1" selected="0">
            <x v="4"/>
          </reference>
          <reference field="6" count="1" selected="0">
            <x v="0"/>
          </reference>
          <reference field="7" count="1" selected="0">
            <x v="21"/>
          </reference>
          <reference field="8" count="1" selected="0">
            <x v="88"/>
          </reference>
          <reference field="15" count="3">
            <x v="291"/>
            <x v="292"/>
            <x v="301"/>
          </reference>
        </references>
      </pivotArea>
    </format>
    <format dxfId="1421">
      <pivotArea dataOnly="0" labelOnly="1" fieldPosition="0">
        <references count="5">
          <reference field="4" count="1" selected="0">
            <x v="4"/>
          </reference>
          <reference field="6" count="1" selected="0">
            <x v="0"/>
          </reference>
          <reference field="7" count="1" selected="0">
            <x v="21"/>
          </reference>
          <reference field="8" count="1" selected="0">
            <x v="89"/>
          </reference>
          <reference field="15" count="1">
            <x v="310"/>
          </reference>
        </references>
      </pivotArea>
    </format>
    <format dxfId="1420">
      <pivotArea dataOnly="0" labelOnly="1" fieldPosition="0">
        <references count="5">
          <reference field="4" count="1" selected="0">
            <x v="4"/>
          </reference>
          <reference field="6" count="1" selected="0">
            <x v="0"/>
          </reference>
          <reference field="7" count="1" selected="0">
            <x v="21"/>
          </reference>
          <reference field="8" count="1" selected="0">
            <x v="90"/>
          </reference>
          <reference field="15" count="1">
            <x v="385"/>
          </reference>
        </references>
      </pivotArea>
    </format>
    <format dxfId="1419">
      <pivotArea dataOnly="0" labelOnly="1" fieldPosition="0">
        <references count="5">
          <reference field="4" count="1" selected="0">
            <x v="4"/>
          </reference>
          <reference field="6" count="1" selected="0">
            <x v="0"/>
          </reference>
          <reference field="7" count="1" selected="0">
            <x v="21"/>
          </reference>
          <reference field="8" count="1" selected="0">
            <x v="91"/>
          </reference>
          <reference field="15" count="2">
            <x v="264"/>
            <x v="265"/>
          </reference>
        </references>
      </pivotArea>
    </format>
    <format dxfId="1418">
      <pivotArea dataOnly="0" labelOnly="1" fieldPosition="0">
        <references count="5">
          <reference field="4" count="1" selected="0">
            <x v="4"/>
          </reference>
          <reference field="6" count="1" selected="0">
            <x v="1"/>
          </reference>
          <reference field="7" count="1" selected="0">
            <x v="24"/>
          </reference>
          <reference field="8" count="1" selected="0">
            <x v="114"/>
          </reference>
          <reference field="15" count="1">
            <x v="263"/>
          </reference>
        </references>
      </pivotArea>
    </format>
    <format dxfId="1417">
      <pivotArea dataOnly="0" labelOnly="1" fieldPosition="0">
        <references count="5">
          <reference field="4" count="1" selected="0">
            <x v="4"/>
          </reference>
          <reference field="6" count="1" selected="0">
            <x v="2"/>
          </reference>
          <reference field="7" count="1" selected="0">
            <x v="29"/>
          </reference>
          <reference field="8" count="1" selected="0">
            <x v="142"/>
          </reference>
          <reference field="15" count="1">
            <x v="283"/>
          </reference>
        </references>
      </pivotArea>
    </format>
    <format dxfId="1416">
      <pivotArea dataOnly="0" labelOnly="1" fieldPosition="0">
        <references count="5">
          <reference field="4" count="1" selected="0">
            <x v="4"/>
          </reference>
          <reference field="6" count="1" selected="0">
            <x v="2"/>
          </reference>
          <reference field="7" count="1" selected="0">
            <x v="29"/>
          </reference>
          <reference field="8" count="1" selected="0">
            <x v="143"/>
          </reference>
          <reference field="15" count="2">
            <x v="289"/>
            <x v="314"/>
          </reference>
        </references>
      </pivotArea>
    </format>
    <format dxfId="1415">
      <pivotArea dataOnly="0" labelOnly="1" fieldPosition="0">
        <references count="5">
          <reference field="4" count="1" selected="0">
            <x v="4"/>
          </reference>
          <reference field="6" count="1" selected="0">
            <x v="2"/>
          </reference>
          <reference field="7" count="1" selected="0">
            <x v="29"/>
          </reference>
          <reference field="8" count="1" selected="0">
            <x v="151"/>
          </reference>
          <reference field="15" count="1">
            <x v="387"/>
          </reference>
        </references>
      </pivotArea>
    </format>
    <format dxfId="1414">
      <pivotArea dataOnly="0" labelOnly="1" fieldPosition="0">
        <references count="5">
          <reference field="4" count="1" selected="0">
            <x v="4"/>
          </reference>
          <reference field="6" count="1" selected="0">
            <x v="2"/>
          </reference>
          <reference field="7" count="1" selected="0">
            <x v="31"/>
          </reference>
          <reference field="8" count="1" selected="0">
            <x v="155"/>
          </reference>
          <reference field="15" count="4">
            <x v="235"/>
            <x v="303"/>
            <x v="374"/>
            <x v="386"/>
          </reference>
        </references>
      </pivotArea>
    </format>
    <format dxfId="1413">
      <pivotArea dataOnly="0" labelOnly="1" fieldPosition="0">
        <references count="5">
          <reference field="4" count="1" selected="0">
            <x v="4"/>
          </reference>
          <reference field="6" count="1" selected="0">
            <x v="2"/>
          </reference>
          <reference field="7" count="1" selected="0">
            <x v="31"/>
          </reference>
          <reference field="8" count="1" selected="0">
            <x v="156"/>
          </reference>
          <reference field="15" count="1">
            <x v="304"/>
          </reference>
        </references>
      </pivotArea>
    </format>
    <format dxfId="1412">
      <pivotArea dataOnly="0" labelOnly="1" fieldPosition="0">
        <references count="5">
          <reference field="4" count="1" selected="0">
            <x v="4"/>
          </reference>
          <reference field="6" count="1" selected="0">
            <x v="2"/>
          </reference>
          <reference field="7" count="1" selected="0">
            <x v="31"/>
          </reference>
          <reference field="8" count="1" selected="0">
            <x v="157"/>
          </reference>
          <reference field="15" count="1">
            <x v="302"/>
          </reference>
        </references>
      </pivotArea>
    </format>
    <format dxfId="1411">
      <pivotArea dataOnly="0" labelOnly="1" fieldPosition="0">
        <references count="5">
          <reference field="4" count="1" selected="0">
            <x v="4"/>
          </reference>
          <reference field="6" count="1" selected="0">
            <x v="3"/>
          </reference>
          <reference field="7" count="1" selected="0">
            <x v="0"/>
          </reference>
          <reference field="8" count="1" selected="0">
            <x v="0"/>
          </reference>
          <reference field="15" count="2">
            <x v="125"/>
            <x v="269"/>
          </reference>
        </references>
      </pivotArea>
    </format>
    <format dxfId="1410">
      <pivotArea dataOnly="0" labelOnly="1" fieldPosition="0">
        <references count="5">
          <reference field="4" count="1" selected="0">
            <x v="4"/>
          </reference>
          <reference field="6" count="1" selected="0">
            <x v="3"/>
          </reference>
          <reference field="7" count="1" selected="0">
            <x v="0"/>
          </reference>
          <reference field="8" count="1" selected="0">
            <x v="1"/>
          </reference>
          <reference field="15" count="1">
            <x v="382"/>
          </reference>
        </references>
      </pivotArea>
    </format>
    <format dxfId="1409">
      <pivotArea dataOnly="0" labelOnly="1" fieldPosition="0">
        <references count="5">
          <reference field="4" count="1" selected="0">
            <x v="4"/>
          </reference>
          <reference field="6" count="1" selected="0">
            <x v="3"/>
          </reference>
          <reference field="7" count="1" selected="0">
            <x v="1"/>
          </reference>
          <reference field="8" count="1" selected="0">
            <x v="2"/>
          </reference>
          <reference field="15" count="1">
            <x v="282"/>
          </reference>
        </references>
      </pivotArea>
    </format>
    <format dxfId="1408">
      <pivotArea dataOnly="0" labelOnly="1" fieldPosition="0">
        <references count="5">
          <reference field="4" count="1" selected="0">
            <x v="4"/>
          </reference>
          <reference field="6" count="1" selected="0">
            <x v="3"/>
          </reference>
          <reference field="7" count="1" selected="0">
            <x v="1"/>
          </reference>
          <reference field="8" count="1" selected="0">
            <x v="3"/>
          </reference>
          <reference field="15" count="1">
            <x v="384"/>
          </reference>
        </references>
      </pivotArea>
    </format>
    <format dxfId="1407">
      <pivotArea dataOnly="0" labelOnly="1" fieldPosition="0">
        <references count="5">
          <reference field="4" count="1" selected="0">
            <x v="4"/>
          </reference>
          <reference field="6" count="1" selected="0">
            <x v="3"/>
          </reference>
          <reference field="7" count="1" selected="0">
            <x v="1"/>
          </reference>
          <reference field="8" count="1" selected="0">
            <x v="4"/>
          </reference>
          <reference field="15" count="1">
            <x v="298"/>
          </reference>
        </references>
      </pivotArea>
    </format>
    <format dxfId="1406">
      <pivotArea dataOnly="0" labelOnly="1" fieldPosition="0">
        <references count="5">
          <reference field="4" count="1" selected="0">
            <x v="4"/>
          </reference>
          <reference field="6" count="1" selected="0">
            <x v="3"/>
          </reference>
          <reference field="7" count="1" selected="0">
            <x v="1"/>
          </reference>
          <reference field="8" count="1" selected="0">
            <x v="5"/>
          </reference>
          <reference field="15" count="2">
            <x v="381"/>
            <x v="383"/>
          </reference>
        </references>
      </pivotArea>
    </format>
    <format dxfId="1405">
      <pivotArea dataOnly="0" labelOnly="1" fieldPosition="0">
        <references count="5">
          <reference field="4" count="1" selected="0">
            <x v="5"/>
          </reference>
          <reference field="6" count="1" selected="0">
            <x v="0"/>
          </reference>
          <reference field="7" count="1" selected="0">
            <x v="18"/>
          </reference>
          <reference field="8" count="1" selected="0">
            <x v="73"/>
          </reference>
          <reference field="15" count="3">
            <x v="245"/>
            <x v="246"/>
            <x v="313"/>
          </reference>
        </references>
      </pivotArea>
    </format>
    <format dxfId="1404">
      <pivotArea dataOnly="0" labelOnly="1" fieldPosition="0">
        <references count="5">
          <reference field="4" count="1" selected="0">
            <x v="5"/>
          </reference>
          <reference field="6" count="1" selected="0">
            <x v="0"/>
          </reference>
          <reference field="7" count="1" selected="0">
            <x v="18"/>
          </reference>
          <reference field="8" count="1" selected="0">
            <x v="74"/>
          </reference>
          <reference field="15" count="1">
            <x v="230"/>
          </reference>
        </references>
      </pivotArea>
    </format>
    <format dxfId="1403">
      <pivotArea dataOnly="0" labelOnly="1" fieldPosition="0">
        <references count="5">
          <reference field="4" count="1" selected="0">
            <x v="5"/>
          </reference>
          <reference field="6" count="1" selected="0">
            <x v="0"/>
          </reference>
          <reference field="7" count="1" selected="0">
            <x v="18"/>
          </reference>
          <reference field="8" count="1" selected="0">
            <x v="77"/>
          </reference>
          <reference field="15" count="2">
            <x v="276"/>
            <x v="277"/>
          </reference>
        </references>
      </pivotArea>
    </format>
    <format dxfId="1402">
      <pivotArea dataOnly="0" labelOnly="1" fieldPosition="0">
        <references count="5">
          <reference field="4" count="1" selected="0">
            <x v="5"/>
          </reference>
          <reference field="6" count="1" selected="0">
            <x v="0"/>
          </reference>
          <reference field="7" count="1" selected="0">
            <x v="22"/>
          </reference>
          <reference field="8" count="1" selected="0">
            <x v="94"/>
          </reference>
          <reference field="15" count="1">
            <x v="164"/>
          </reference>
        </references>
      </pivotArea>
    </format>
    <format dxfId="1401">
      <pivotArea dataOnly="0" labelOnly="1" fieldPosition="0">
        <references count="5">
          <reference field="4" count="1" selected="0">
            <x v="5"/>
          </reference>
          <reference field="6" count="1" selected="0">
            <x v="4"/>
          </reference>
          <reference field="7" count="1" selected="0">
            <x v="8"/>
          </reference>
          <reference field="8" count="1" selected="0">
            <x v="37"/>
          </reference>
          <reference field="15" count="1">
            <x v="222"/>
          </reference>
        </references>
      </pivotArea>
    </format>
    <format dxfId="1400">
      <pivotArea dataOnly="0" labelOnly="1" fieldPosition="0">
        <references count="5">
          <reference field="4" count="1" selected="0">
            <x v="6"/>
          </reference>
          <reference field="6" count="1" selected="0">
            <x v="1"/>
          </reference>
          <reference field="7" count="1" selected="0">
            <x v="24"/>
          </reference>
          <reference field="8" count="1" selected="0">
            <x v="105"/>
          </reference>
          <reference field="15" count="13">
            <x v="24"/>
            <x v="25"/>
            <x v="31"/>
            <x v="37"/>
            <x v="44"/>
            <x v="45"/>
            <x v="48"/>
            <x v="49"/>
            <x v="50"/>
            <x v="56"/>
            <x v="66"/>
            <x v="100"/>
            <x v="101"/>
          </reference>
        </references>
      </pivotArea>
    </format>
    <format dxfId="1399">
      <pivotArea dataOnly="0" labelOnly="1" fieldPosition="0">
        <references count="5">
          <reference field="4" count="1" selected="0">
            <x v="6"/>
          </reference>
          <reference field="6" count="1" selected="0">
            <x v="1"/>
          </reference>
          <reference field="7" count="1" selected="0">
            <x v="24"/>
          </reference>
          <reference field="8" count="1" selected="0">
            <x v="107"/>
          </reference>
          <reference field="15" count="3">
            <x v="118"/>
            <x v="123"/>
            <x v="165"/>
          </reference>
        </references>
      </pivotArea>
    </format>
    <format dxfId="1398">
      <pivotArea dataOnly="0" labelOnly="1" fieldPosition="0">
        <references count="5">
          <reference field="4" count="1" selected="0">
            <x v="6"/>
          </reference>
          <reference field="6" count="1" selected="0">
            <x v="1"/>
          </reference>
          <reference field="7" count="1" selected="0">
            <x v="24"/>
          </reference>
          <reference field="8" count="1" selected="0">
            <x v="108"/>
          </reference>
          <reference field="15" count="2">
            <x v="97"/>
            <x v="119"/>
          </reference>
        </references>
      </pivotArea>
    </format>
    <format dxfId="1397">
      <pivotArea dataOnly="0" labelOnly="1" fieldPosition="0">
        <references count="5">
          <reference field="4" count="1" selected="0">
            <x v="6"/>
          </reference>
          <reference field="6" count="1" selected="0">
            <x v="1"/>
          </reference>
          <reference field="7" count="1" selected="0">
            <x v="24"/>
          </reference>
          <reference field="8" count="1" selected="0">
            <x v="109"/>
          </reference>
          <reference field="15" count="2">
            <x v="96"/>
            <x v="327"/>
          </reference>
        </references>
      </pivotArea>
    </format>
    <format dxfId="1396">
      <pivotArea dataOnly="0" labelOnly="1" fieldPosition="0">
        <references count="5">
          <reference field="4" count="1" selected="0">
            <x v="6"/>
          </reference>
          <reference field="6" count="1" selected="0">
            <x v="1"/>
          </reference>
          <reference field="7" count="1" selected="0">
            <x v="24"/>
          </reference>
          <reference field="8" count="1" selected="0">
            <x v="110"/>
          </reference>
          <reference field="15" count="2">
            <x v="115"/>
            <x v="324"/>
          </reference>
        </references>
      </pivotArea>
    </format>
    <format dxfId="1395">
      <pivotArea dataOnly="0" labelOnly="1" fieldPosition="0">
        <references count="5">
          <reference field="4" count="1" selected="0">
            <x v="6"/>
          </reference>
          <reference field="6" count="1" selected="0">
            <x v="1"/>
          </reference>
          <reference field="7" count="1" selected="0">
            <x v="24"/>
          </reference>
          <reference field="8" count="1" selected="0">
            <x v="111"/>
          </reference>
          <reference field="15" count="1">
            <x v="326"/>
          </reference>
        </references>
      </pivotArea>
    </format>
    <format dxfId="1394">
      <pivotArea dataOnly="0" labelOnly="1" fieldPosition="0">
        <references count="5">
          <reference field="4" count="1" selected="0">
            <x v="6"/>
          </reference>
          <reference field="6" count="1" selected="0">
            <x v="1"/>
          </reference>
          <reference field="7" count="1" selected="0">
            <x v="24"/>
          </reference>
          <reference field="8" count="1" selected="0">
            <x v="112"/>
          </reference>
          <reference field="15" count="5">
            <x v="80"/>
            <x v="120"/>
            <x v="121"/>
            <x v="122"/>
            <x v="135"/>
          </reference>
        </references>
      </pivotArea>
    </format>
    <format dxfId="1393">
      <pivotArea dataOnly="0" labelOnly="1" fieldPosition="0">
        <references count="5">
          <reference field="4" count="1" selected="0">
            <x v="6"/>
          </reference>
          <reference field="6" count="1" selected="0">
            <x v="1"/>
          </reference>
          <reference field="7" count="1" selected="0">
            <x v="24"/>
          </reference>
          <reference field="8" count="1" selected="0">
            <x v="113"/>
          </reference>
          <reference field="15" count="3">
            <x v="67"/>
            <x v="84"/>
            <x v="166"/>
          </reference>
        </references>
      </pivotArea>
    </format>
    <format dxfId="1392">
      <pivotArea dataOnly="0" labelOnly="1" fieldPosition="0">
        <references count="5">
          <reference field="4" count="1" selected="0">
            <x v="7"/>
          </reference>
          <reference field="6" count="1" selected="0">
            <x v="0"/>
          </reference>
          <reference field="7" count="1" selected="0">
            <x v="16"/>
          </reference>
          <reference field="8" count="1" selected="0">
            <x v="64"/>
          </reference>
          <reference field="15" count="3">
            <x v="274"/>
            <x v="278"/>
            <x v="325"/>
          </reference>
        </references>
      </pivotArea>
    </format>
    <format dxfId="1391">
      <pivotArea dataOnly="0" labelOnly="1" fieldPosition="0">
        <references count="5">
          <reference field="4" count="1" selected="0">
            <x v="7"/>
          </reference>
          <reference field="6" count="1" selected="0">
            <x v="2"/>
          </reference>
          <reference field="7" count="1" selected="0">
            <x v="29"/>
          </reference>
          <reference field="8" count="1" selected="0">
            <x v="140"/>
          </reference>
          <reference field="15" count="1">
            <x v="53"/>
          </reference>
        </references>
      </pivotArea>
    </format>
    <format dxfId="1390">
      <pivotArea dataOnly="0" labelOnly="1" fieldPosition="0">
        <references count="5">
          <reference field="4" count="1" selected="0">
            <x v="7"/>
          </reference>
          <reference field="6" count="1" selected="0">
            <x v="2"/>
          </reference>
          <reference field="7" count="1" selected="0">
            <x v="29"/>
          </reference>
          <reference field="8" count="1" selected="0">
            <x v="141"/>
          </reference>
          <reference field="15" count="1">
            <x v="279"/>
          </reference>
        </references>
      </pivotArea>
    </format>
    <format dxfId="1389">
      <pivotArea dataOnly="0" labelOnly="1" fieldPosition="0">
        <references count="5">
          <reference field="4" count="1" selected="0">
            <x v="7"/>
          </reference>
          <reference field="6" count="1" selected="0">
            <x v="2"/>
          </reference>
          <reference field="7" count="1" selected="0">
            <x v="29"/>
          </reference>
          <reference field="8" count="1" selected="0">
            <x v="144"/>
          </reference>
          <reference field="15" count="1">
            <x v="52"/>
          </reference>
        </references>
      </pivotArea>
    </format>
    <format dxfId="1388">
      <pivotArea dataOnly="0" labelOnly="1" fieldPosition="0">
        <references count="5">
          <reference field="4" count="1" selected="0">
            <x v="7"/>
          </reference>
          <reference field="6" count="1" selected="0">
            <x v="2"/>
          </reference>
          <reference field="7" count="1" selected="0">
            <x v="29"/>
          </reference>
          <reference field="8" count="1" selected="0">
            <x v="145"/>
          </reference>
          <reference field="15" count="1">
            <x v="51"/>
          </reference>
        </references>
      </pivotArea>
    </format>
    <format dxfId="1387">
      <pivotArea dataOnly="0" labelOnly="1" fieldPosition="0">
        <references count="5">
          <reference field="4" count="1" selected="0">
            <x v="7"/>
          </reference>
          <reference field="6" count="1" selected="0">
            <x v="2"/>
          </reference>
          <reference field="7" count="1" selected="0">
            <x v="30"/>
          </reference>
          <reference field="8" count="1" selected="0">
            <x v="154"/>
          </reference>
          <reference field="15" count="1">
            <x v="275"/>
          </reference>
        </references>
      </pivotArea>
    </format>
    <format dxfId="1386">
      <pivotArea dataOnly="0" labelOnly="1" fieldPosition="0">
        <references count="5">
          <reference field="4" count="1" selected="0">
            <x v="7"/>
          </reference>
          <reference field="6" count="1" selected="0">
            <x v="3"/>
          </reference>
          <reference field="7" count="1" selected="0">
            <x v="6"/>
          </reference>
          <reference field="8" count="1" selected="0">
            <x v="28"/>
          </reference>
          <reference field="15" count="3">
            <x v="318"/>
            <x v="319"/>
            <x v="320"/>
          </reference>
        </references>
      </pivotArea>
    </format>
    <format dxfId="1385">
      <pivotArea dataOnly="0" labelOnly="1" fieldPosition="0">
        <references count="5">
          <reference field="4" count="1" selected="0">
            <x v="7"/>
          </reference>
          <reference field="6" count="1" selected="0">
            <x v="4"/>
          </reference>
          <reference field="7" count="1" selected="0">
            <x v="8"/>
          </reference>
          <reference field="8" count="1" selected="0">
            <x v="35"/>
          </reference>
          <reference field="15" count="1">
            <x v="337"/>
          </reference>
        </references>
      </pivotArea>
    </format>
    <format dxfId="1384">
      <pivotArea dataOnly="0" labelOnly="1" fieldPosition="0">
        <references count="5">
          <reference field="4" count="1" selected="0">
            <x v="7"/>
          </reference>
          <reference field="6" count="1" selected="0">
            <x v="4"/>
          </reference>
          <reference field="7" count="1" selected="0">
            <x v="8"/>
          </reference>
          <reference field="8" count="1" selected="0">
            <x v="36"/>
          </reference>
          <reference field="15" count="1">
            <x v="280"/>
          </reference>
        </references>
      </pivotArea>
    </format>
    <format dxfId="1383">
      <pivotArea dataOnly="0" labelOnly="1" fieldPosition="0">
        <references count="5">
          <reference field="4" count="1" selected="0">
            <x v="7"/>
          </reference>
          <reference field="6" count="1" selected="0">
            <x v="4"/>
          </reference>
          <reference field="7" count="1" selected="0">
            <x v="9"/>
          </reference>
          <reference field="8" count="1" selected="0">
            <x v="40"/>
          </reference>
          <reference field="15" count="3">
            <x v="311"/>
            <x v="312"/>
            <x v="334"/>
          </reference>
        </references>
      </pivotArea>
    </format>
    <format dxfId="1382">
      <pivotArea dataOnly="0" labelOnly="1" fieldPosition="0">
        <references count="5">
          <reference field="4" count="1" selected="0">
            <x v="7"/>
          </reference>
          <reference field="6" count="1" selected="0">
            <x v="4"/>
          </reference>
          <reference field="7" count="1" selected="0">
            <x v="9"/>
          </reference>
          <reference field="8" count="1" selected="0">
            <x v="41"/>
          </reference>
          <reference field="15" count="1">
            <x v="328"/>
          </reference>
        </references>
      </pivotArea>
    </format>
    <format dxfId="1381">
      <pivotArea dataOnly="0" labelOnly="1" fieldPosition="0">
        <references count="5">
          <reference field="4" count="1" selected="0">
            <x v="7"/>
          </reference>
          <reference field="6" count="1" selected="0">
            <x v="4"/>
          </reference>
          <reference field="7" count="1" selected="0">
            <x v="9"/>
          </reference>
          <reference field="8" count="1" selected="0">
            <x v="42"/>
          </reference>
          <reference field="15" count="1">
            <x v="329"/>
          </reference>
        </references>
      </pivotArea>
    </format>
    <format dxfId="1380">
      <pivotArea dataOnly="0" labelOnly="1" fieldPosition="0">
        <references count="5">
          <reference field="4" count="1" selected="0">
            <x v="7"/>
          </reference>
          <reference field="6" count="1" selected="0">
            <x v="4"/>
          </reference>
          <reference field="7" count="1" selected="0">
            <x v="9"/>
          </reference>
          <reference field="8" count="1" selected="0">
            <x v="43"/>
          </reference>
          <reference field="15" count="1">
            <x v="321"/>
          </reference>
        </references>
      </pivotArea>
    </format>
    <format dxfId="1379">
      <pivotArea dataOnly="0" labelOnly="1" fieldPosition="0">
        <references count="5">
          <reference field="4" count="1" selected="0">
            <x v="7"/>
          </reference>
          <reference field="6" count="1" selected="0">
            <x v="4"/>
          </reference>
          <reference field="7" count="1" selected="0">
            <x v="10"/>
          </reference>
          <reference field="8" count="1" selected="0">
            <x v="44"/>
          </reference>
          <reference field="15" count="2">
            <x v="57"/>
            <x v="58"/>
          </reference>
        </references>
      </pivotArea>
    </format>
    <format dxfId="1378">
      <pivotArea dataOnly="0" labelOnly="1" fieldPosition="0">
        <references count="5">
          <reference field="4" count="1" selected="0">
            <x v="7"/>
          </reference>
          <reference field="6" count="1" selected="0">
            <x v="4"/>
          </reference>
          <reference field="7" count="1" selected="0">
            <x v="10"/>
          </reference>
          <reference field="8" count="1" selected="0">
            <x v="45"/>
          </reference>
          <reference field="15" count="1">
            <x v="55"/>
          </reference>
        </references>
      </pivotArea>
    </format>
    <format dxfId="1377">
      <pivotArea dataOnly="0" labelOnly="1" fieldPosition="0">
        <references count="5">
          <reference field="4" count="1" selected="0">
            <x v="7"/>
          </reference>
          <reference field="6" count="1" selected="0">
            <x v="4"/>
          </reference>
          <reference field="7" count="1" selected="0">
            <x v="10"/>
          </reference>
          <reference field="8" count="1" selected="0">
            <x v="46"/>
          </reference>
          <reference field="15" count="1">
            <x v="59"/>
          </reference>
        </references>
      </pivotArea>
    </format>
    <format dxfId="1376">
      <pivotArea dataOnly="0" labelOnly="1" fieldPosition="0">
        <references count="5">
          <reference field="4" count="1" selected="0">
            <x v="7"/>
          </reference>
          <reference field="6" count="1" selected="0">
            <x v="4"/>
          </reference>
          <reference field="7" count="1" selected="0">
            <x v="10"/>
          </reference>
          <reference field="8" count="1" selected="0">
            <x v="47"/>
          </reference>
          <reference field="15" count="1">
            <x v="54"/>
          </reference>
        </references>
      </pivotArea>
    </format>
    <format dxfId="1375">
      <pivotArea dataOnly="0" labelOnly="1" fieldPosition="0">
        <references count="5">
          <reference field="4" count="1" selected="0">
            <x v="7"/>
          </reference>
          <reference field="6" count="1" selected="0">
            <x v="4"/>
          </reference>
          <reference field="7" count="1" selected="0">
            <x v="11"/>
          </reference>
          <reference field="8" count="1" selected="0">
            <x v="48"/>
          </reference>
          <reference field="15" count="1">
            <x v="88"/>
          </reference>
        </references>
      </pivotArea>
    </format>
    <format dxfId="1374">
      <pivotArea dataOnly="0" labelOnly="1" fieldPosition="0">
        <references count="5">
          <reference field="4" count="1" selected="0">
            <x v="7"/>
          </reference>
          <reference field="6" count="1" selected="0">
            <x v="4"/>
          </reference>
          <reference field="7" count="1" selected="0">
            <x v="11"/>
          </reference>
          <reference field="8" count="1" selected="0">
            <x v="49"/>
          </reference>
          <reference field="15" count="1">
            <x v="86"/>
          </reference>
        </references>
      </pivotArea>
    </format>
    <format dxfId="1373">
      <pivotArea dataOnly="0" labelOnly="1" fieldPosition="0">
        <references count="5">
          <reference field="4" count="1" selected="0">
            <x v="7"/>
          </reference>
          <reference field="6" count="1" selected="0">
            <x v="4"/>
          </reference>
          <reference field="7" count="1" selected="0">
            <x v="12"/>
          </reference>
          <reference field="8" count="1" selected="0">
            <x v="50"/>
          </reference>
          <reference field="15" count="3">
            <x v="64"/>
            <x v="65"/>
            <x v="136"/>
          </reference>
        </references>
      </pivotArea>
    </format>
    <format dxfId="1372">
      <pivotArea dataOnly="0" labelOnly="1" fieldPosition="0">
        <references count="5">
          <reference field="4" count="1" selected="0">
            <x v="7"/>
          </reference>
          <reference field="6" count="1" selected="0">
            <x v="4"/>
          </reference>
          <reference field="7" count="1" selected="0">
            <x v="13"/>
          </reference>
          <reference field="8" count="1" selected="0">
            <x v="51"/>
          </reference>
          <reference field="15" count="1">
            <x v="307"/>
          </reference>
        </references>
      </pivotArea>
    </format>
    <format dxfId="1371">
      <pivotArea dataOnly="0" labelOnly="1" fieldPosition="0">
        <references count="5">
          <reference field="4" count="1" selected="0">
            <x v="7"/>
          </reference>
          <reference field="6" count="1" selected="0">
            <x v="4"/>
          </reference>
          <reference field="7" count="1" selected="0">
            <x v="13"/>
          </reference>
          <reference field="8" count="1" selected="0">
            <x v="52"/>
          </reference>
          <reference field="15" count="1">
            <x v="309"/>
          </reference>
        </references>
      </pivotArea>
    </format>
    <format dxfId="1370">
      <pivotArea dataOnly="0" labelOnly="1" fieldPosition="0">
        <references count="5">
          <reference field="4" count="1" selected="0">
            <x v="7"/>
          </reference>
          <reference field="6" count="1" selected="0">
            <x v="4"/>
          </reference>
          <reference field="7" count="1" selected="0">
            <x v="13"/>
          </reference>
          <reference field="8" count="1" selected="0">
            <x v="53"/>
          </reference>
          <reference field="15" count="1">
            <x v="308"/>
          </reference>
        </references>
      </pivotArea>
    </format>
    <format dxfId="1369">
      <pivotArea dataOnly="0" labelOnly="1" fieldPosition="0">
        <references count="5">
          <reference field="4" count="1" selected="0">
            <x v="7"/>
          </reference>
          <reference field="6" count="1" selected="0">
            <x v="4"/>
          </reference>
          <reference field="7" count="1" selected="0">
            <x v="14"/>
          </reference>
          <reference field="8" count="1" selected="0">
            <x v="54"/>
          </reference>
          <reference field="15" count="1">
            <x v="281"/>
          </reference>
        </references>
      </pivotArea>
    </format>
    <format dxfId="1368">
      <pivotArea dataOnly="0" labelOnly="1" fieldPosition="0">
        <references count="5">
          <reference field="4" count="1" selected="0">
            <x v="7"/>
          </reference>
          <reference field="6" count="1" selected="0">
            <x v="4"/>
          </reference>
          <reference field="7" count="1" selected="0">
            <x v="14"/>
          </reference>
          <reference field="8" count="1" selected="0">
            <x v="55"/>
          </reference>
          <reference field="15" count="1">
            <x v="138"/>
          </reference>
        </references>
      </pivotArea>
    </format>
    <format dxfId="1367">
      <pivotArea dataOnly="0" labelOnly="1" fieldPosition="0">
        <references count="5">
          <reference field="4" count="1" selected="0">
            <x v="7"/>
          </reference>
          <reference field="6" count="1" selected="0">
            <x v="4"/>
          </reference>
          <reference field="7" count="1" selected="0">
            <x v="15"/>
          </reference>
          <reference field="8" count="1" selected="0">
            <x v="56"/>
          </reference>
          <reference field="15" count="2">
            <x v="335"/>
            <x v="336"/>
          </reference>
        </references>
      </pivotArea>
    </format>
    <format dxfId="1366">
      <pivotArea dataOnly="0" labelOnly="1" fieldPosition="0">
        <references count="5">
          <reference field="4" count="1" selected="0">
            <x v="8"/>
          </reference>
          <reference field="6" count="1" selected="0">
            <x v="0"/>
          </reference>
          <reference field="7" count="1" selected="0">
            <x v="18"/>
          </reference>
          <reference field="8" count="1" selected="0">
            <x v="77"/>
          </reference>
          <reference field="15" count="1">
            <x v="290"/>
          </reference>
        </references>
      </pivotArea>
    </format>
    <format dxfId="1365">
      <pivotArea dataOnly="0" labelOnly="1" fieldPosition="0">
        <references count="5">
          <reference field="4" count="1" selected="0">
            <x v="8"/>
          </reference>
          <reference field="6" count="1" selected="0">
            <x v="0"/>
          </reference>
          <reference field="7" count="1" selected="0">
            <x v="22"/>
          </reference>
          <reference field="8" count="1" selected="0">
            <x v="92"/>
          </reference>
          <reference field="15" count="4">
            <x v="130"/>
            <x v="359"/>
            <x v="360"/>
            <x v="361"/>
          </reference>
        </references>
      </pivotArea>
    </format>
    <format dxfId="1364">
      <pivotArea dataOnly="0" labelOnly="1" fieldPosition="0">
        <references count="5">
          <reference field="4" count="1" selected="0">
            <x v="8"/>
          </reference>
          <reference field="6" count="1" selected="0">
            <x v="0"/>
          </reference>
          <reference field="7" count="1" selected="0">
            <x v="22"/>
          </reference>
          <reference field="8" count="1" selected="0">
            <x v="93"/>
          </reference>
          <reference field="15" count="1">
            <x v="369"/>
          </reference>
        </references>
      </pivotArea>
    </format>
    <format dxfId="1363">
      <pivotArea dataOnly="0" labelOnly="1" fieldPosition="0">
        <references count="5">
          <reference field="4" count="1" selected="0">
            <x v="8"/>
          </reference>
          <reference field="6" count="1" selected="0">
            <x v="0"/>
          </reference>
          <reference field="7" count="1" selected="0">
            <x v="22"/>
          </reference>
          <reference field="8" count="1" selected="0">
            <x v="94"/>
          </reference>
          <reference field="15" count="1">
            <x v="273"/>
          </reference>
        </references>
      </pivotArea>
    </format>
    <format dxfId="1362">
      <pivotArea dataOnly="0" labelOnly="1" fieldPosition="0">
        <references count="5">
          <reference field="4" count="1" selected="0">
            <x v="8"/>
          </reference>
          <reference field="6" count="1" selected="0">
            <x v="1"/>
          </reference>
          <reference field="7" count="1" selected="0">
            <x v="28"/>
          </reference>
          <reference field="8" count="1" selected="0">
            <x v="138"/>
          </reference>
          <reference field="15" count="3">
            <x v="270"/>
            <x v="343"/>
            <x v="355"/>
          </reference>
        </references>
      </pivotArea>
    </format>
    <format dxfId="1361">
      <pivotArea dataOnly="0" labelOnly="1" fieldPosition="0">
        <references count="5">
          <reference field="4" count="1" selected="0">
            <x v="8"/>
          </reference>
          <reference field="6" count="1" selected="0">
            <x v="1"/>
          </reference>
          <reference field="7" count="1" selected="0">
            <x v="28"/>
          </reference>
          <reference field="8" count="1" selected="0">
            <x v="139"/>
          </reference>
          <reference field="15" count="1">
            <x v="147"/>
          </reference>
        </references>
      </pivotArea>
    </format>
    <format dxfId="1360">
      <pivotArea dataOnly="0" labelOnly="1" fieldPosition="0">
        <references count="5">
          <reference field="4" count="1" selected="0">
            <x v="8"/>
          </reference>
          <reference field="6" count="1" selected="0">
            <x v="2"/>
          </reference>
          <reference field="7" count="1" selected="0">
            <x v="32"/>
          </reference>
          <reference field="8" count="1" selected="0">
            <x v="158"/>
          </reference>
          <reference field="15" count="1">
            <x v="344"/>
          </reference>
        </references>
      </pivotArea>
    </format>
    <format dxfId="1359">
      <pivotArea dataOnly="0" labelOnly="1" fieldPosition="0">
        <references count="5">
          <reference field="4" count="1" selected="0">
            <x v="8"/>
          </reference>
          <reference field="6" count="1" selected="0">
            <x v="2"/>
          </reference>
          <reference field="7" count="1" selected="0">
            <x v="32"/>
          </reference>
          <reference field="8" count="1" selected="0">
            <x v="159"/>
          </reference>
          <reference field="15" count="1">
            <x v="137"/>
          </reference>
        </references>
      </pivotArea>
    </format>
    <format dxfId="1358">
      <pivotArea dataOnly="0" labelOnly="1" fieldPosition="0">
        <references count="5">
          <reference field="4" count="1" selected="0">
            <x v="8"/>
          </reference>
          <reference field="6" count="1" selected="0">
            <x v="3"/>
          </reference>
          <reference field="7" count="1" selected="0">
            <x v="6"/>
          </reference>
          <reference field="8" count="1" selected="0">
            <x v="29"/>
          </reference>
          <reference field="15" count="4">
            <x v="145"/>
            <x v="146"/>
            <x v="356"/>
            <x v="357"/>
          </reference>
        </references>
      </pivotArea>
    </format>
    <format dxfId="1357">
      <pivotArea dataOnly="0" labelOnly="1" fieldPosition="0">
        <references count="5">
          <reference field="4" count="1" selected="0">
            <x v="8"/>
          </reference>
          <reference field="6" count="1" selected="0">
            <x v="3"/>
          </reference>
          <reference field="7" count="1" selected="0">
            <x v="6"/>
          </reference>
          <reference field="8" count="1" selected="0">
            <x v="30"/>
          </reference>
          <reference field="15" count="2">
            <x v="267"/>
            <x v="268"/>
          </reference>
        </references>
      </pivotArea>
    </format>
    <format dxfId="1356">
      <pivotArea dataOnly="0" labelOnly="1" fieldPosition="0">
        <references count="5">
          <reference field="4" count="1" selected="0">
            <x v="9"/>
          </reference>
          <reference field="6" count="1" selected="0">
            <x v="1"/>
          </reference>
          <reference field="7" count="1" selected="0">
            <x v="25"/>
          </reference>
          <reference field="8" count="1" selected="0">
            <x v="115"/>
          </reference>
          <reference field="15" count="13">
            <x v="35"/>
            <x v="36"/>
            <x v="63"/>
            <x v="72"/>
            <x v="77"/>
            <x v="238"/>
            <x v="241"/>
            <x v="242"/>
            <x v="243"/>
            <x v="247"/>
            <x v="248"/>
            <x v="260"/>
            <x v="262"/>
          </reference>
        </references>
      </pivotArea>
    </format>
    <format dxfId="1355">
      <pivotArea dataOnly="0" labelOnly="1" fieldPosition="0">
        <references count="5">
          <reference field="4" count="1" selected="0">
            <x v="9"/>
          </reference>
          <reference field="6" count="1" selected="0">
            <x v="1"/>
          </reference>
          <reference field="7" count="1" selected="0">
            <x v="25"/>
          </reference>
          <reference field="8" count="1" selected="0">
            <x v="116"/>
          </reference>
          <reference field="15" count="1">
            <x v="61"/>
          </reference>
        </references>
      </pivotArea>
    </format>
    <format dxfId="1354">
      <pivotArea dataOnly="0" labelOnly="1" fieldPosition="0">
        <references count="5">
          <reference field="4" count="1" selected="0">
            <x v="9"/>
          </reference>
          <reference field="6" count="1" selected="0">
            <x v="1"/>
          </reference>
          <reference field="7" count="1" selected="0">
            <x v="25"/>
          </reference>
          <reference field="8" count="1" selected="0">
            <x v="117"/>
          </reference>
          <reference field="15" count="2">
            <x v="92"/>
            <x v="249"/>
          </reference>
        </references>
      </pivotArea>
    </format>
    <format dxfId="1353">
      <pivotArea dataOnly="0" labelOnly="1" fieldPosition="0">
        <references count="5">
          <reference field="4" count="1" selected="0">
            <x v="9"/>
          </reference>
          <reference field="6" count="1" selected="0">
            <x v="1"/>
          </reference>
          <reference field="7" count="1" selected="0">
            <x v="25"/>
          </reference>
          <reference field="8" count="1" selected="0">
            <x v="118"/>
          </reference>
          <reference field="15" count="3">
            <x v="71"/>
            <x v="87"/>
            <x v="91"/>
          </reference>
        </references>
      </pivotArea>
    </format>
    <format dxfId="1352">
      <pivotArea dataOnly="0" labelOnly="1" fieldPosition="0">
        <references count="5">
          <reference field="4" count="1" selected="0">
            <x v="9"/>
          </reference>
          <reference field="6" count="1" selected="0">
            <x v="1"/>
          </reference>
          <reference field="7" count="1" selected="0">
            <x v="25"/>
          </reference>
          <reference field="8" count="1" selected="0">
            <x v="119"/>
          </reference>
          <reference field="15" count="4">
            <x v="62"/>
            <x v="68"/>
            <x v="69"/>
            <x v="70"/>
          </reference>
        </references>
      </pivotArea>
    </format>
    <format dxfId="1351">
      <pivotArea dataOnly="0" labelOnly="1" fieldPosition="0">
        <references count="5">
          <reference field="4" count="1" selected="0">
            <x v="9"/>
          </reference>
          <reference field="6" count="1" selected="0">
            <x v="1"/>
          </reference>
          <reference field="7" count="1" selected="0">
            <x v="25"/>
          </reference>
          <reference field="8" count="1" selected="0">
            <x v="120"/>
          </reference>
          <reference field="15" count="1">
            <x v="85"/>
          </reference>
        </references>
      </pivotArea>
    </format>
    <format dxfId="1350">
      <pivotArea dataOnly="0" labelOnly="1" fieldPosition="0">
        <references count="5">
          <reference field="4" count="1" selected="0">
            <x v="9"/>
          </reference>
          <reference field="6" count="1" selected="0">
            <x v="1"/>
          </reference>
          <reference field="7" count="1" selected="0">
            <x v="25"/>
          </reference>
          <reference field="8" count="1" selected="0">
            <x v="121"/>
          </reference>
          <reference field="15" count="2">
            <x v="41"/>
            <x v="78"/>
          </reference>
        </references>
      </pivotArea>
    </format>
    <format dxfId="1349">
      <pivotArea dataOnly="0" labelOnly="1" fieldPosition="0">
        <references count="5">
          <reference field="4" count="1" selected="0">
            <x v="9"/>
          </reference>
          <reference field="6" count="1" selected="0">
            <x v="1"/>
          </reference>
          <reference field="7" count="1" selected="0">
            <x v="25"/>
          </reference>
          <reference field="8" count="1" selected="0">
            <x v="122"/>
          </reference>
          <reference field="15" count="2">
            <x v="38"/>
            <x v="39"/>
          </reference>
        </references>
      </pivotArea>
    </format>
    <format dxfId="1348">
      <pivotArea dataOnly="0" labelOnly="1" fieldPosition="0">
        <references count="5">
          <reference field="4" count="1" selected="0">
            <x v="9"/>
          </reference>
          <reference field="6" count="1" selected="0">
            <x v="1"/>
          </reference>
          <reference field="7" count="1" selected="0">
            <x v="25"/>
          </reference>
          <reference field="8" count="1" selected="0">
            <x v="123"/>
          </reference>
          <reference field="15" count="7">
            <x v="32"/>
            <x v="33"/>
            <x v="60"/>
            <x v="82"/>
            <x v="83"/>
            <x v="89"/>
            <x v="90"/>
          </reference>
        </references>
      </pivotArea>
    </format>
    <format dxfId="1347">
      <pivotArea dataOnly="0" labelOnly="1" fieldPosition="0">
        <references count="5">
          <reference field="4" count="1" selected="0">
            <x v="9"/>
          </reference>
          <reference field="6" count="1" selected="0">
            <x v="1"/>
          </reference>
          <reference field="7" count="1" selected="0">
            <x v="25"/>
          </reference>
          <reference field="8" count="1" selected="0">
            <x v="124"/>
          </reference>
          <reference field="15" count="1">
            <x v="261"/>
          </reference>
        </references>
      </pivotArea>
    </format>
    <format dxfId="1346">
      <pivotArea dataOnly="0" labelOnly="1" fieldPosition="0">
        <references count="5">
          <reference field="4" count="1" selected="0">
            <x v="10"/>
          </reference>
          <reference field="6" count="1" selected="0">
            <x v="3"/>
          </reference>
          <reference field="7" count="1" selected="0">
            <x v="6"/>
          </reference>
          <reference field="8" count="1" selected="0">
            <x v="29"/>
          </reference>
          <reference field="15" count="21">
            <x v="2"/>
            <x v="3"/>
            <x v="5"/>
            <x v="152"/>
            <x v="153"/>
            <x v="154"/>
            <x v="155"/>
            <x v="156"/>
            <x v="157"/>
            <x v="158"/>
            <x v="159"/>
            <x v="160"/>
            <x v="161"/>
            <x v="162"/>
            <x v="163"/>
            <x v="189"/>
            <x v="190"/>
            <x v="191"/>
            <x v="192"/>
            <x v="193"/>
            <x v="395"/>
          </reference>
        </references>
      </pivotArea>
    </format>
    <format dxfId="1345">
      <pivotArea dataOnly="0" labelOnly="1" fieldPosition="0">
        <references count="5">
          <reference field="4" count="1" selected="0">
            <x v="11"/>
          </reference>
          <reference field="6" count="1" selected="0">
            <x v="0"/>
          </reference>
          <reference field="7" count="1" selected="0">
            <x v="17"/>
          </reference>
          <reference field="8" count="1" selected="0">
            <x v="70"/>
          </reference>
          <reference field="15" count="4">
            <x v="345"/>
            <x v="346"/>
            <x v="347"/>
            <x v="351"/>
          </reference>
        </references>
      </pivotArea>
    </format>
    <format dxfId="1344">
      <pivotArea dataOnly="0" labelOnly="1" fieldPosition="0">
        <references count="5">
          <reference field="4" count="1" selected="0">
            <x v="11"/>
          </reference>
          <reference field="6" count="1" selected="0">
            <x v="0"/>
          </reference>
          <reference field="7" count="1" selected="0">
            <x v="17"/>
          </reference>
          <reference field="8" count="1" selected="0">
            <x v="71"/>
          </reference>
          <reference field="15" count="3">
            <x v="348"/>
            <x v="352"/>
            <x v="353"/>
          </reference>
        </references>
      </pivotArea>
    </format>
    <format dxfId="1343">
      <pivotArea dataOnly="0" labelOnly="1" fieldPosition="0">
        <references count="5">
          <reference field="4" count="1" selected="0">
            <x v="11"/>
          </reference>
          <reference field="6" count="1" selected="0">
            <x v="0"/>
          </reference>
          <reference field="7" count="1" selected="0">
            <x v="17"/>
          </reference>
          <reference field="8" count="1" selected="0">
            <x v="72"/>
          </reference>
          <reference field="15" count="3">
            <x v="143"/>
            <x v="349"/>
            <x v="350"/>
          </reference>
        </references>
      </pivotArea>
    </format>
    <format dxfId="1342">
      <pivotArea dataOnly="0" labelOnly="1" fieldPosition="0">
        <references count="5">
          <reference field="4" count="1" selected="0">
            <x v="12"/>
          </reference>
          <reference field="6" count="1" selected="0">
            <x v="0"/>
          </reference>
          <reference field="7" count="1" selected="0">
            <x v="18"/>
          </reference>
          <reference field="8" count="1" selected="0">
            <x v="74"/>
          </reference>
          <reference field="15" count="2">
            <x v="113"/>
            <x v="114"/>
          </reference>
        </references>
      </pivotArea>
    </format>
    <format dxfId="1341">
      <pivotArea dataOnly="0" labelOnly="1" fieldPosition="0">
        <references count="5">
          <reference field="4" count="1" selected="0">
            <x v="12"/>
          </reference>
          <reference field="6" count="1" selected="0">
            <x v="0"/>
          </reference>
          <reference field="7" count="1" selected="0">
            <x v="18"/>
          </reference>
          <reference field="8" count="1" selected="0">
            <x v="75"/>
          </reference>
          <reference field="15" count="1">
            <x v="116"/>
          </reference>
        </references>
      </pivotArea>
    </format>
    <format dxfId="1340">
      <pivotArea dataOnly="0" labelOnly="1" fieldPosition="0">
        <references count="5">
          <reference field="4" count="1" selected="0">
            <x v="12"/>
          </reference>
          <reference field="6" count="1" selected="0">
            <x v="0"/>
          </reference>
          <reference field="7" count="1" selected="0">
            <x v="18"/>
          </reference>
          <reference field="8" count="1" selected="0">
            <x v="76"/>
          </reference>
          <reference field="15" count="1">
            <x v="244"/>
          </reference>
        </references>
      </pivotArea>
    </format>
    <format dxfId="1339">
      <pivotArea dataOnly="0" labelOnly="1" fieldPosition="0">
        <references count="5">
          <reference field="4" count="1" selected="0">
            <x v="13"/>
          </reference>
          <reference field="6" count="1" selected="0">
            <x v="3"/>
          </reference>
          <reference field="7" count="1" selected="0">
            <x v="1"/>
          </reference>
          <reference field="8" count="1" selected="0">
            <x v="6"/>
          </reference>
          <reference field="15" count="1">
            <x v="340"/>
          </reference>
        </references>
      </pivotArea>
    </format>
    <format dxfId="1338">
      <pivotArea dataOnly="0" labelOnly="1" fieldPosition="0">
        <references count="5">
          <reference field="4" count="1" selected="0">
            <x v="13"/>
          </reference>
          <reference field="6" count="1" selected="0">
            <x v="3"/>
          </reference>
          <reference field="7" count="1" selected="0">
            <x v="5"/>
          </reference>
          <reference field="8" count="1" selected="0">
            <x v="22"/>
          </reference>
          <reference field="15" count="1">
            <x v="333"/>
          </reference>
        </references>
      </pivotArea>
    </format>
    <format dxfId="1337">
      <pivotArea dataOnly="0" labelOnly="1" fieldPosition="0">
        <references count="5">
          <reference field="4" count="1" selected="0">
            <x v="13"/>
          </reference>
          <reference field="6" count="1" selected="0">
            <x v="3"/>
          </reference>
          <reference field="7" count="1" selected="0">
            <x v="5"/>
          </reference>
          <reference field="8" count="1" selected="0">
            <x v="23"/>
          </reference>
          <reference field="15" count="1">
            <x v="332"/>
          </reference>
        </references>
      </pivotArea>
    </format>
    <format dxfId="1336">
      <pivotArea dataOnly="0" labelOnly="1" fieldPosition="0">
        <references count="5">
          <reference field="4" count="1" selected="0">
            <x v="13"/>
          </reference>
          <reference field="6" count="1" selected="0">
            <x v="3"/>
          </reference>
          <reference field="7" count="1" selected="0">
            <x v="5"/>
          </reference>
          <reference field="8" count="1" selected="0">
            <x v="24"/>
          </reference>
          <reference field="15" count="1">
            <x v="339"/>
          </reference>
        </references>
      </pivotArea>
    </format>
    <format dxfId="1335">
      <pivotArea dataOnly="0" labelOnly="1" fieldPosition="0">
        <references count="5">
          <reference field="4" count="1" selected="0">
            <x v="13"/>
          </reference>
          <reference field="6" count="1" selected="0">
            <x v="3"/>
          </reference>
          <reference field="7" count="1" selected="0">
            <x v="5"/>
          </reference>
          <reference field="8" count="1" selected="0">
            <x v="25"/>
          </reference>
          <reference field="15" count="1">
            <x v="342"/>
          </reference>
        </references>
      </pivotArea>
    </format>
    <format dxfId="1334">
      <pivotArea dataOnly="0" labelOnly="1" fieldPosition="0">
        <references count="5">
          <reference field="4" count="1" selected="0">
            <x v="13"/>
          </reference>
          <reference field="6" count="1" selected="0">
            <x v="3"/>
          </reference>
          <reference field="7" count="1" selected="0">
            <x v="5"/>
          </reference>
          <reference field="8" count="1" selected="0">
            <x v="26"/>
          </reference>
          <reference field="15" count="1">
            <x v="338"/>
          </reference>
        </references>
      </pivotArea>
    </format>
    <format dxfId="1333">
      <pivotArea dataOnly="0" labelOnly="1" fieldPosition="0">
        <references count="5">
          <reference field="4" count="1" selected="0">
            <x v="13"/>
          </reference>
          <reference field="6" count="1" selected="0">
            <x v="3"/>
          </reference>
          <reference field="7" count="1" selected="0">
            <x v="5"/>
          </reference>
          <reference field="8" count="1" selected="0">
            <x v="27"/>
          </reference>
          <reference field="15" count="1">
            <x v="341"/>
          </reference>
        </references>
      </pivotArea>
    </format>
    <format dxfId="1332">
      <pivotArea dataOnly="0" labelOnly="1" fieldPosition="0">
        <references count="5">
          <reference field="4" count="1" selected="0">
            <x v="14"/>
          </reference>
          <reference field="6" count="1" selected="0">
            <x v="1"/>
          </reference>
          <reference field="7" count="1" selected="0">
            <x v="26"/>
          </reference>
          <reference field="8" count="1" selected="0">
            <x v="125"/>
          </reference>
          <reference field="15" count="4">
            <x v="26"/>
            <x v="27"/>
            <x v="28"/>
            <x v="99"/>
          </reference>
        </references>
      </pivotArea>
    </format>
    <format dxfId="1331">
      <pivotArea dataOnly="0" labelOnly="1" fieldPosition="0">
        <references count="5">
          <reference field="4" count="1" selected="0">
            <x v="14"/>
          </reference>
          <reference field="6" count="1" selected="0">
            <x v="1"/>
          </reference>
          <reference field="7" count="1" selected="0">
            <x v="26"/>
          </reference>
          <reference field="8" count="1" selected="0">
            <x v="126"/>
          </reference>
          <reference field="15" count="1">
            <x v="19"/>
          </reference>
        </references>
      </pivotArea>
    </format>
    <format dxfId="1330">
      <pivotArea dataOnly="0" labelOnly="1" fieldPosition="0">
        <references count="5">
          <reference field="4" count="1" selected="0">
            <x v="14"/>
          </reference>
          <reference field="6" count="1" selected="0">
            <x v="1"/>
          </reference>
          <reference field="7" count="1" selected="0">
            <x v="26"/>
          </reference>
          <reference field="8" count="1" selected="0">
            <x v="127"/>
          </reference>
          <reference field="15" count="2">
            <x v="150"/>
            <x v="151"/>
          </reference>
        </references>
      </pivotArea>
    </format>
    <format dxfId="1329">
      <pivotArea dataOnly="0" labelOnly="1" fieldPosition="0">
        <references count="5">
          <reference field="4" count="1" selected="0">
            <x v="14"/>
          </reference>
          <reference field="6" count="1" selected="0">
            <x v="1"/>
          </reference>
          <reference field="7" count="1" selected="0">
            <x v="26"/>
          </reference>
          <reference field="8" count="1" selected="0">
            <x v="128"/>
          </reference>
          <reference field="15" count="2">
            <x v="29"/>
            <x v="30"/>
          </reference>
        </references>
      </pivotArea>
    </format>
    <format dxfId="1328">
      <pivotArea dataOnly="0" labelOnly="1" fieldPosition="0">
        <references count="5">
          <reference field="4" count="1" selected="0">
            <x v="14"/>
          </reference>
          <reference field="6" count="1" selected="0">
            <x v="1"/>
          </reference>
          <reference field="7" count="1" selected="0">
            <x v="26"/>
          </reference>
          <reference field="8" count="1" selected="0">
            <x v="129"/>
          </reference>
          <reference field="15" count="2">
            <x v="330"/>
            <x v="331"/>
          </reference>
        </references>
      </pivotArea>
    </format>
    <format dxfId="1327">
      <pivotArea dataOnly="0" labelOnly="1" fieldPosition="0">
        <references count="5">
          <reference field="4" count="1" selected="0">
            <x v="14"/>
          </reference>
          <reference field="6" count="1" selected="0">
            <x v="1"/>
          </reference>
          <reference field="7" count="1" selected="0">
            <x v="26"/>
          </reference>
          <reference field="8" count="1" selected="0">
            <x v="130"/>
          </reference>
          <reference field="15" count="2">
            <x v="367"/>
            <x v="368"/>
          </reference>
        </references>
      </pivotArea>
    </format>
    <format dxfId="1326">
      <pivotArea dataOnly="0" labelOnly="1" fieldPosition="0">
        <references count="5">
          <reference field="4" count="1" selected="0">
            <x v="14"/>
          </reference>
          <reference field="6" count="1" selected="0">
            <x v="1"/>
          </reference>
          <reference field="7" count="1" selected="0">
            <x v="26"/>
          </reference>
          <reference field="8" count="1" selected="0">
            <x v="131"/>
          </reference>
          <reference field="15" count="3">
            <x v="14"/>
            <x v="15"/>
            <x v="16"/>
          </reference>
        </references>
      </pivotArea>
    </format>
    <format dxfId="1325">
      <pivotArea dataOnly="0" labelOnly="1" fieldPosition="0">
        <references count="5">
          <reference field="4" count="1" selected="0">
            <x v="15"/>
          </reference>
          <reference field="6" count="1" selected="0">
            <x v="0"/>
          </reference>
          <reference field="7" count="1" selected="0">
            <x v="20"/>
          </reference>
          <reference field="8" count="1" selected="0">
            <x v="82"/>
          </reference>
          <reference field="15" count="2">
            <x v="73"/>
            <x v="74"/>
          </reference>
        </references>
      </pivotArea>
    </format>
    <format dxfId="1324">
      <pivotArea dataOnly="0" labelOnly="1" fieldPosition="0">
        <references count="5">
          <reference field="4" count="1" selected="0">
            <x v="15"/>
          </reference>
          <reference field="6" count="1" selected="0">
            <x v="0"/>
          </reference>
          <reference field="7" count="1" selected="0">
            <x v="20"/>
          </reference>
          <reference field="8" count="1" selected="0">
            <x v="83"/>
          </reference>
          <reference field="15" count="1">
            <x v="75"/>
          </reference>
        </references>
      </pivotArea>
    </format>
    <format dxfId="1323">
      <pivotArea dataOnly="0" labelOnly="1" fieldPosition="0">
        <references count="5">
          <reference field="4" count="1" selected="0">
            <x v="15"/>
          </reference>
          <reference field="6" count="1" selected="0">
            <x v="0"/>
          </reference>
          <reference field="7" count="1" selected="0">
            <x v="20"/>
          </reference>
          <reference field="8" count="1" selected="0">
            <x v="84"/>
          </reference>
          <reference field="15" count="1">
            <x v="76"/>
          </reference>
        </references>
      </pivotArea>
    </format>
    <format dxfId="1322">
      <pivotArea dataOnly="0" labelOnly="1" fieldPosition="0">
        <references count="5">
          <reference field="4" count="1" selected="0">
            <x v="15"/>
          </reference>
          <reference field="6" count="1" selected="0">
            <x v="0"/>
          </reference>
          <reference field="7" count="1" selected="0">
            <x v="20"/>
          </reference>
          <reference field="8" count="1" selected="0">
            <x v="85"/>
          </reference>
          <reference field="15" count="1">
            <x v="259"/>
          </reference>
        </references>
      </pivotArea>
    </format>
    <format dxfId="1321">
      <pivotArea dataOnly="0" labelOnly="1" fieldPosition="0">
        <references count="5">
          <reference field="4" count="1" selected="0">
            <x v="15"/>
          </reference>
          <reference field="6" count="1" selected="0">
            <x v="0"/>
          </reference>
          <reference field="7" count="1" selected="0">
            <x v="20"/>
          </reference>
          <reference field="8" count="1" selected="0">
            <x v="86"/>
          </reference>
          <reference field="15" count="3">
            <x v="132"/>
            <x v="133"/>
            <x v="134"/>
          </reference>
        </references>
      </pivotArea>
    </format>
    <format dxfId="1320">
      <pivotArea dataOnly="0" labelOnly="1" fieldPosition="0">
        <references count="5">
          <reference field="4" count="1" selected="0">
            <x v="16"/>
          </reference>
          <reference field="6" count="1" selected="0">
            <x v="1"/>
          </reference>
          <reference field="7" count="1" selected="0">
            <x v="27"/>
          </reference>
          <reference field="8" count="1" selected="0">
            <x v="132"/>
          </reference>
          <reference field="15" count="1">
            <x v="20"/>
          </reference>
        </references>
      </pivotArea>
    </format>
    <format dxfId="1319">
      <pivotArea dataOnly="0" labelOnly="1" fieldPosition="0">
        <references count="5">
          <reference field="4" count="1" selected="0">
            <x v="16"/>
          </reference>
          <reference field="6" count="1" selected="0">
            <x v="1"/>
          </reference>
          <reference field="7" count="1" selected="0">
            <x v="27"/>
          </reference>
          <reference field="8" count="1" selected="0">
            <x v="133"/>
          </reference>
          <reference field="15" count="3">
            <x v="21"/>
            <x v="22"/>
            <x v="23"/>
          </reference>
        </references>
      </pivotArea>
    </format>
    <format dxfId="1318">
      <pivotArea dataOnly="0" labelOnly="1" fieldPosition="0">
        <references count="5">
          <reference field="4" count="1" selected="0">
            <x v="16"/>
          </reference>
          <reference field="6" count="1" selected="0">
            <x v="1"/>
          </reference>
          <reference field="7" count="1" selected="0">
            <x v="27"/>
          </reference>
          <reference field="8" count="1" selected="0">
            <x v="134"/>
          </reference>
          <reference field="15" count="2">
            <x v="149"/>
            <x v="354"/>
          </reference>
        </references>
      </pivotArea>
    </format>
    <format dxfId="1317">
      <pivotArea dataOnly="0" labelOnly="1" fieldPosition="0">
        <references count="5">
          <reference field="4" count="1" selected="0">
            <x v="16"/>
          </reference>
          <reference field="6" count="1" selected="0">
            <x v="1"/>
          </reference>
          <reference field="7" count="1" selected="0">
            <x v="27"/>
          </reference>
          <reference field="8" count="1" selected="0">
            <x v="135"/>
          </reference>
          <reference field="15" count="2">
            <x v="109"/>
            <x v="363"/>
          </reference>
        </references>
      </pivotArea>
    </format>
    <format dxfId="1316">
      <pivotArea dataOnly="0" labelOnly="1" fieldPosition="0">
        <references count="5">
          <reference field="4" count="1" selected="0">
            <x v="16"/>
          </reference>
          <reference field="6" count="1" selected="0">
            <x v="1"/>
          </reference>
          <reference field="7" count="1" selected="0">
            <x v="27"/>
          </reference>
          <reference field="8" count="1" selected="0">
            <x v="136"/>
          </reference>
          <reference field="15" count="2">
            <x v="81"/>
            <x v="148"/>
          </reference>
        </references>
      </pivotArea>
    </format>
    <format dxfId="1315">
      <pivotArea dataOnly="0" labelOnly="1" fieldPosition="0">
        <references count="5">
          <reference field="4" count="1" selected="0">
            <x v="16"/>
          </reference>
          <reference field="6" count="1" selected="0">
            <x v="1"/>
          </reference>
          <reference field="7" count="1" selected="0">
            <x v="27"/>
          </reference>
          <reference field="8" count="1" selected="0">
            <x v="137"/>
          </reference>
          <reference field="15" count="2">
            <x v="111"/>
            <x v="112"/>
          </reference>
        </references>
      </pivotArea>
    </format>
    <format dxfId="1314">
      <pivotArea dataOnly="0" labelOnly="1" fieldPosition="0">
        <references count="5">
          <reference field="4" count="1" selected="0">
            <x v="16"/>
          </reference>
          <reference field="6" count="1" selected="0">
            <x v="3"/>
          </reference>
          <reference field="7" count="1" selected="0">
            <x v="1"/>
          </reference>
          <reference field="8" count="1" selected="0">
            <x v="6"/>
          </reference>
          <reference field="15" count="1">
            <x v="362"/>
          </reference>
        </references>
      </pivotArea>
    </format>
    <format dxfId="1313">
      <pivotArea dataOnly="0" labelOnly="1" fieldPosition="0">
        <references count="5">
          <reference field="4" count="1" selected="0">
            <x v="16"/>
          </reference>
          <reference field="6" count="1" selected="0">
            <x v="4"/>
          </reference>
          <reference field="7" count="1" selected="0">
            <x v="8"/>
          </reference>
          <reference field="8" count="1" selected="0">
            <x v="38"/>
          </reference>
          <reference field="15" count="1">
            <x v="229"/>
          </reference>
        </references>
      </pivotArea>
    </format>
    <format dxfId="1312">
      <pivotArea dataOnly="0" labelOnly="1" fieldPosition="0">
        <references count="5">
          <reference field="4" count="1" selected="0">
            <x v="16"/>
          </reference>
          <reference field="6" count="1" selected="0">
            <x v="4"/>
          </reference>
          <reference field="7" count="1" selected="0">
            <x v="11"/>
          </reference>
          <reference field="8" count="1" selected="0">
            <x v="48"/>
          </reference>
          <reference field="15" count="1">
            <x v="200"/>
          </reference>
        </references>
      </pivotArea>
    </format>
    <format dxfId="1311">
      <pivotArea dataOnly="0" labelOnly="1" fieldPosition="0">
        <references count="5">
          <reference field="4" count="1" selected="0">
            <x v="17"/>
          </reference>
          <reference field="6" count="1" selected="0">
            <x v="0"/>
          </reference>
          <reference field="7" count="1" selected="0">
            <x v="16"/>
          </reference>
          <reference field="8" count="1" selected="0">
            <x v="57"/>
          </reference>
          <reference field="15" count="5">
            <x v="110"/>
            <x v="284"/>
            <x v="285"/>
            <x v="294"/>
            <x v="295"/>
          </reference>
        </references>
      </pivotArea>
    </format>
    <format dxfId="1310">
      <pivotArea dataOnly="0" labelOnly="1" fieldPosition="0">
        <references count="5">
          <reference field="4" count="1" selected="0">
            <x v="17"/>
          </reference>
          <reference field="6" count="1" selected="0">
            <x v="0"/>
          </reference>
          <reference field="7" count="1" selected="0">
            <x v="16"/>
          </reference>
          <reference field="8" count="1" selected="0">
            <x v="58"/>
          </reference>
          <reference field="15" count="2">
            <x v="299"/>
            <x v="300"/>
          </reference>
        </references>
      </pivotArea>
    </format>
    <format dxfId="1309">
      <pivotArea dataOnly="0" labelOnly="1" fieldPosition="0">
        <references count="5">
          <reference field="4" count="1" selected="0">
            <x v="17"/>
          </reference>
          <reference field="6" count="1" selected="0">
            <x v="0"/>
          </reference>
          <reference field="7" count="1" selected="0">
            <x v="16"/>
          </reference>
          <reference field="8" count="1" selected="0">
            <x v="59"/>
          </reference>
          <reference field="15" count="2">
            <x v="94"/>
            <x v="95"/>
          </reference>
        </references>
      </pivotArea>
    </format>
    <format dxfId="1308">
      <pivotArea dataOnly="0" labelOnly="1" fieldPosition="0">
        <references count="5">
          <reference field="4" count="1" selected="0">
            <x v="17"/>
          </reference>
          <reference field="6" count="1" selected="0">
            <x v="0"/>
          </reference>
          <reference field="7" count="1" selected="0">
            <x v="16"/>
          </reference>
          <reference field="8" count="1" selected="0">
            <x v="60"/>
          </reference>
          <reference field="15" count="5">
            <x v="102"/>
            <x v="103"/>
            <x v="104"/>
            <x v="322"/>
            <x v="323"/>
          </reference>
        </references>
      </pivotArea>
    </format>
    <format dxfId="1307">
      <pivotArea dataOnly="0" labelOnly="1" fieldPosition="0">
        <references count="5">
          <reference field="4" count="1" selected="0">
            <x v="17"/>
          </reference>
          <reference field="6" count="1" selected="0">
            <x v="0"/>
          </reference>
          <reference field="7" count="1" selected="0">
            <x v="16"/>
          </reference>
          <reference field="8" count="1" selected="0">
            <x v="61"/>
          </reference>
          <reference field="15" count="2">
            <x v="296"/>
            <x v="297"/>
          </reference>
        </references>
      </pivotArea>
    </format>
    <format dxfId="1306">
      <pivotArea dataOnly="0" labelOnly="1" fieldPosition="0">
        <references count="5">
          <reference field="4" count="1" selected="0">
            <x v="17"/>
          </reference>
          <reference field="6" count="1" selected="0">
            <x v="0"/>
          </reference>
          <reference field="7" count="1" selected="0">
            <x v="16"/>
          </reference>
          <reference field="8" count="1" selected="0">
            <x v="62"/>
          </reference>
          <reference field="15" count="1">
            <x v="93"/>
          </reference>
        </references>
      </pivotArea>
    </format>
    <format dxfId="1305">
      <pivotArea dataOnly="0" labelOnly="1" fieldPosition="0">
        <references count="5">
          <reference field="4" count="1" selected="0">
            <x v="17"/>
          </reference>
          <reference field="6" count="1" selected="0">
            <x v="0"/>
          </reference>
          <reference field="7" count="1" selected="0">
            <x v="16"/>
          </reference>
          <reference field="8" count="1" selected="0">
            <x v="63"/>
          </reference>
          <reference field="15" count="2">
            <x v="315"/>
            <x v="316"/>
          </reference>
        </references>
      </pivotArea>
    </format>
    <format dxfId="1304">
      <pivotArea dataOnly="0" labelOnly="1" fieldPosition="0">
        <references count="5">
          <reference field="4" count="1" selected="0">
            <x v="17"/>
          </reference>
          <reference field="6" count="1" selected="0">
            <x v="0"/>
          </reference>
          <reference field="7" count="1" selected="0">
            <x v="22"/>
          </reference>
          <reference field="8" count="1" selected="0">
            <x v="94"/>
          </reference>
          <reference field="15" count="2">
            <x v="105"/>
            <x v="106"/>
          </reference>
        </references>
      </pivotArea>
    </format>
    <format dxfId="1303">
      <pivotArea dataOnly="0" labelOnly="1" fieldPosition="0">
        <references count="5">
          <reference field="4" count="1" selected="0">
            <x v="18"/>
          </reference>
          <reference field="6" count="1" selected="0">
            <x v="3"/>
          </reference>
          <reference field="7" count="1" selected="0">
            <x v="2"/>
          </reference>
          <reference field="8" count="1" selected="0">
            <x v="8"/>
          </reference>
          <reference field="15" count="2">
            <x v="375"/>
            <x v="376"/>
          </reference>
        </references>
      </pivotArea>
    </format>
    <format dxfId="1302">
      <pivotArea dataOnly="0" labelOnly="1" fieldPosition="0">
        <references count="5">
          <reference field="4" count="1" selected="0">
            <x v="18"/>
          </reference>
          <reference field="6" count="1" selected="0">
            <x v="3"/>
          </reference>
          <reference field="7" count="1" selected="0">
            <x v="2"/>
          </reference>
          <reference field="8" count="1" selected="0">
            <x v="9"/>
          </reference>
          <reference field="15" count="1">
            <x v="266"/>
          </reference>
        </references>
      </pivotArea>
    </format>
    <format dxfId="1301">
      <pivotArea dataOnly="0" labelOnly="1" fieldPosition="0">
        <references count="5">
          <reference field="4" count="1" selected="0">
            <x v="18"/>
          </reference>
          <reference field="6" count="1" selected="0">
            <x v="3"/>
          </reference>
          <reference field="7" count="1" selected="0">
            <x v="2"/>
          </reference>
          <reference field="8" count="1" selected="0">
            <x v="16"/>
          </reference>
          <reference field="15" count="2">
            <x v="271"/>
            <x v="272"/>
          </reference>
        </references>
      </pivotArea>
    </format>
    <format dxfId="1300">
      <pivotArea dataOnly="0" labelOnly="1" fieldPosition="0">
        <references count="5">
          <reference field="4" count="1" selected="0">
            <x v="18"/>
          </reference>
          <reference field="6" count="1" selected="0">
            <x v="3"/>
          </reference>
          <reference field="7" count="1" selected="0">
            <x v="2"/>
          </reference>
          <reference field="8" count="1" selected="0">
            <x v="17"/>
          </reference>
          <reference field="15" count="3">
            <x v="286"/>
            <x v="287"/>
            <x v="288"/>
          </reference>
        </references>
      </pivotArea>
    </format>
    <format dxfId="1299">
      <pivotArea dataOnly="0" labelOnly="1" fieldPosition="0">
        <references count="5">
          <reference field="4" count="1" selected="0">
            <x v="19"/>
          </reference>
          <reference field="6" count="1" selected="0">
            <x v="3"/>
          </reference>
          <reference field="7" count="1" selected="0">
            <x v="6"/>
          </reference>
          <reference field="8" count="1" selected="0">
            <x v="29"/>
          </reference>
          <reference field="15" count="24">
            <x v="4"/>
            <x v="168"/>
            <x v="169"/>
            <x v="170"/>
            <x v="171"/>
            <x v="172"/>
            <x v="173"/>
            <x v="174"/>
            <x v="183"/>
            <x v="184"/>
            <x v="185"/>
            <x v="186"/>
            <x v="187"/>
            <x v="188"/>
            <x v="194"/>
            <x v="195"/>
            <x v="196"/>
            <x v="197"/>
            <x v="198"/>
            <x v="199"/>
            <x v="203"/>
            <x v="204"/>
            <x v="223"/>
            <x v="258"/>
          </reference>
        </references>
      </pivotArea>
    </format>
    <format dxfId="1298">
      <pivotArea dataOnly="0" labelOnly="1" fieldPosition="0">
        <references count="5">
          <reference field="4" count="1" selected="0">
            <x v="20"/>
          </reference>
          <reference field="6" count="1" selected="0">
            <x v="1"/>
          </reference>
          <reference field="7" count="1" selected="0">
            <x v="24"/>
          </reference>
          <reference field="8" count="1" selected="0">
            <x v="106"/>
          </reference>
          <reference field="15" count="2">
            <x v="239"/>
            <x v="240"/>
          </reference>
        </references>
      </pivotArea>
    </format>
    <format dxfId="1297">
      <pivotArea dataOnly="0" labelOnly="1" outline="0" fieldPosition="0">
        <references count="1">
          <reference field="4294967294" count="2">
            <x v="7"/>
            <x v="8"/>
          </reference>
        </references>
      </pivotArea>
    </format>
    <format dxfId="1296">
      <pivotArea outline="0" collapsedLevelsAreSubtotals="1" fieldPosition="0"/>
    </format>
    <format dxfId="1295">
      <pivotArea dataOnly="0" labelOnly="1" outline="0" fieldPosition="0">
        <references count="1">
          <reference field="2" count="0"/>
        </references>
      </pivotArea>
    </format>
    <format dxfId="1294">
      <pivotArea dataOnly="0" labelOnly="1" outline="0" fieldPosition="0">
        <references count="1">
          <reference field="4294967294" count="9">
            <x v="0"/>
            <x v="1"/>
            <x v="2"/>
            <x v="3"/>
            <x v="4"/>
            <x v="5"/>
            <x v="6"/>
            <x v="7"/>
            <x v="8"/>
          </reference>
        </references>
      </pivotArea>
    </format>
    <format dxfId="1293">
      <pivotArea outline="0" collapsedLevelsAreSubtotals="1" fieldPosition="0">
        <references count="1">
          <reference field="4294967294" count="2" selected="0">
            <x v="7"/>
            <x v="8"/>
          </reference>
        </references>
      </pivotArea>
    </format>
    <format dxfId="1292">
      <pivotArea dataOnly="0" labelOnly="1" outline="0" fieldPosition="0">
        <references count="1">
          <reference field="4294967294" count="2">
            <x v="7"/>
            <x v="8"/>
          </reference>
        </references>
      </pivotArea>
    </format>
    <format dxfId="1291">
      <pivotArea field="2" type="button" dataOnly="0" labelOnly="1" outline="0" axis="axisPage" fieldPosition="0"/>
    </format>
    <format dxfId="1290">
      <pivotArea field="4" type="button" dataOnly="0" labelOnly="1" outline="0" axis="axisRow" fieldPosition="0"/>
    </format>
    <format dxfId="1289">
      <pivotArea dataOnly="0" labelOnly="1" fieldPosition="0">
        <references count="1">
          <reference field="4" count="1">
            <x v="17"/>
          </reference>
        </references>
      </pivotArea>
    </format>
    <format dxfId="1288">
      <pivotArea dataOnly="0" labelOnly="1" grandRow="1" outline="0" fieldPosition="0"/>
    </format>
    <format dxfId="1287">
      <pivotArea dataOnly="0" labelOnly="1" fieldPosition="0">
        <references count="2">
          <reference field="4" count="1" selected="0">
            <x v="17"/>
          </reference>
          <reference field="6" count="1">
            <x v="0"/>
          </reference>
        </references>
      </pivotArea>
    </format>
    <format dxfId="1286">
      <pivotArea dataOnly="0" labelOnly="1" fieldPosition="0">
        <references count="3">
          <reference field="4" count="1" selected="0">
            <x v="17"/>
          </reference>
          <reference field="6" count="1" selected="0">
            <x v="0"/>
          </reference>
          <reference field="7" count="2">
            <x v="16"/>
            <x v="22"/>
          </reference>
        </references>
      </pivotArea>
    </format>
    <format dxfId="1285">
      <pivotArea dataOnly="0" labelOnly="1" fieldPosition="0">
        <references count="4">
          <reference field="4" count="1" selected="0">
            <x v="17"/>
          </reference>
          <reference field="6" count="1" selected="0">
            <x v="0"/>
          </reference>
          <reference field="7" count="1" selected="0">
            <x v="16"/>
          </reference>
          <reference field="8" count="7">
            <x v="57"/>
            <x v="58"/>
            <x v="59"/>
            <x v="60"/>
            <x v="61"/>
            <x v="62"/>
            <x v="63"/>
          </reference>
        </references>
      </pivotArea>
    </format>
    <format dxfId="1284">
      <pivotArea dataOnly="0" labelOnly="1" fieldPosition="0">
        <references count="4">
          <reference field="4" count="1" selected="0">
            <x v="17"/>
          </reference>
          <reference field="6" count="1" selected="0">
            <x v="0"/>
          </reference>
          <reference field="7" count="1" selected="0">
            <x v="22"/>
          </reference>
          <reference field="8" count="1">
            <x v="94"/>
          </reference>
        </references>
      </pivotArea>
    </format>
    <format dxfId="1283">
      <pivotArea dataOnly="0" labelOnly="1" fieldPosition="0">
        <references count="5">
          <reference field="4" count="1" selected="0">
            <x v="17"/>
          </reference>
          <reference field="6" count="1" selected="0">
            <x v="0"/>
          </reference>
          <reference field="7" count="1" selected="0">
            <x v="16"/>
          </reference>
          <reference field="8" count="1" selected="0">
            <x v="57"/>
          </reference>
          <reference field="15" count="5">
            <x v="110"/>
            <x v="284"/>
            <x v="285"/>
            <x v="294"/>
            <x v="295"/>
          </reference>
        </references>
      </pivotArea>
    </format>
    <format dxfId="1282">
      <pivotArea dataOnly="0" labelOnly="1" fieldPosition="0">
        <references count="5">
          <reference field="4" count="1" selected="0">
            <x v="17"/>
          </reference>
          <reference field="6" count="1" selected="0">
            <x v="0"/>
          </reference>
          <reference field="7" count="1" selected="0">
            <x v="16"/>
          </reference>
          <reference field="8" count="1" selected="0">
            <x v="58"/>
          </reference>
          <reference field="15" count="2">
            <x v="299"/>
            <x v="300"/>
          </reference>
        </references>
      </pivotArea>
    </format>
    <format dxfId="1281">
      <pivotArea dataOnly="0" labelOnly="1" fieldPosition="0">
        <references count="5">
          <reference field="4" count="1" selected="0">
            <x v="17"/>
          </reference>
          <reference field="6" count="1" selected="0">
            <x v="0"/>
          </reference>
          <reference field="7" count="1" selected="0">
            <x v="16"/>
          </reference>
          <reference field="8" count="1" selected="0">
            <x v="59"/>
          </reference>
          <reference field="15" count="2">
            <x v="94"/>
            <x v="95"/>
          </reference>
        </references>
      </pivotArea>
    </format>
    <format dxfId="1280">
      <pivotArea dataOnly="0" labelOnly="1" fieldPosition="0">
        <references count="5">
          <reference field="4" count="1" selected="0">
            <x v="17"/>
          </reference>
          <reference field="6" count="1" selected="0">
            <x v="0"/>
          </reference>
          <reference field="7" count="1" selected="0">
            <x v="16"/>
          </reference>
          <reference field="8" count="1" selected="0">
            <x v="60"/>
          </reference>
          <reference field="15" count="5">
            <x v="102"/>
            <x v="103"/>
            <x v="104"/>
            <x v="322"/>
            <x v="323"/>
          </reference>
        </references>
      </pivotArea>
    </format>
    <format dxfId="1279">
      <pivotArea dataOnly="0" labelOnly="1" fieldPosition="0">
        <references count="5">
          <reference field="4" count="1" selected="0">
            <x v="17"/>
          </reference>
          <reference field="6" count="1" selected="0">
            <x v="0"/>
          </reference>
          <reference field="7" count="1" selected="0">
            <x v="16"/>
          </reference>
          <reference field="8" count="1" selected="0">
            <x v="61"/>
          </reference>
          <reference field="15" count="2">
            <x v="296"/>
            <x v="297"/>
          </reference>
        </references>
      </pivotArea>
    </format>
    <format dxfId="1278">
      <pivotArea dataOnly="0" labelOnly="1" fieldPosition="0">
        <references count="5">
          <reference field="4" count="1" selected="0">
            <x v="17"/>
          </reference>
          <reference field="6" count="1" selected="0">
            <x v="0"/>
          </reference>
          <reference field="7" count="1" selected="0">
            <x v="16"/>
          </reference>
          <reference field="8" count="1" selected="0">
            <x v="62"/>
          </reference>
          <reference field="15" count="1">
            <x v="93"/>
          </reference>
        </references>
      </pivotArea>
    </format>
    <format dxfId="1277">
      <pivotArea dataOnly="0" labelOnly="1" fieldPosition="0">
        <references count="5">
          <reference field="4" count="1" selected="0">
            <x v="17"/>
          </reference>
          <reference field="6" count="1" selected="0">
            <x v="0"/>
          </reference>
          <reference field="7" count="1" selected="0">
            <x v="16"/>
          </reference>
          <reference field="8" count="1" selected="0">
            <x v="63"/>
          </reference>
          <reference field="15" count="2">
            <x v="315"/>
            <x v="316"/>
          </reference>
        </references>
      </pivotArea>
    </format>
    <format dxfId="1276">
      <pivotArea dataOnly="0" labelOnly="1" fieldPosition="0">
        <references count="5">
          <reference field="4" count="1" selected="0">
            <x v="17"/>
          </reference>
          <reference field="6" count="1" selected="0">
            <x v="0"/>
          </reference>
          <reference field="7" count="1" selected="0">
            <x v="22"/>
          </reference>
          <reference field="8" count="1" selected="0">
            <x v="94"/>
          </reference>
          <reference field="15" count="2">
            <x v="105"/>
            <x v="10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3" cacheId="2" applyNumberFormats="0" applyBorderFormats="0" applyFontFormats="0" applyPatternFormats="0" applyAlignmentFormats="0" applyWidthHeightFormats="1" dataCaption="Valores" grandTotalCaption="TOTAL " updatedVersion="8" minRefreshableVersion="3" useAutoFormatting="1" itemPrintTitles="1" createdVersion="8" indent="0" outline="1" outlineData="1" multipleFieldFilters="0" rowHeaderCaption="UNIDAD EJECUTORA">
  <location ref="A3:J19" firstHeaderRow="0" firstDataRow="1" firstDataCol="1" rowPageCount="1" colPageCount="1"/>
  <pivotFields count="33">
    <pivotField showAll="0"/>
    <pivotField showAll="0"/>
    <pivotField axis="axisPage" showAll="0">
      <items count="22">
        <item x="4"/>
        <item x="3"/>
        <item x="14"/>
        <item x="0"/>
        <item x="13"/>
        <item x="17"/>
        <item x="7"/>
        <item x="9"/>
        <item x="15"/>
        <item x="8"/>
        <item x="1"/>
        <item x="16"/>
        <item x="12"/>
        <item x="20"/>
        <item x="5"/>
        <item x="10"/>
        <item x="6"/>
        <item x="11"/>
        <item x="19"/>
        <item x="2"/>
        <item x="18"/>
        <item t="default"/>
      </items>
    </pivotField>
    <pivotField showAll="0"/>
    <pivotField axis="axisRow" showAll="0">
      <items count="22">
        <item x="4"/>
        <item x="3"/>
        <item x="14"/>
        <item x="0"/>
        <item x="13"/>
        <item x="17"/>
        <item x="7"/>
        <item x="9"/>
        <item x="15"/>
        <item x="8"/>
        <item x="1"/>
        <item x="16"/>
        <item x="12"/>
        <item x="20"/>
        <item x="5"/>
        <item x="10"/>
        <item x="6"/>
        <item x="11"/>
        <item x="19"/>
        <item x="2"/>
        <item x="18"/>
        <item t="default"/>
      </items>
    </pivotField>
    <pivotField numFmtId="1" showAll="0"/>
    <pivotField axis="axisRow" showAll="0">
      <items count="6">
        <item x="1"/>
        <item x="2"/>
        <item x="3"/>
        <item x="0"/>
        <item x="4"/>
        <item t="default"/>
      </items>
    </pivotField>
    <pivotField axis="axisRow" showAll="0">
      <items count="34">
        <item x="19"/>
        <item x="27"/>
        <item x="1"/>
        <item x="2"/>
        <item x="8"/>
        <item x="30"/>
        <item x="0"/>
        <item x="32"/>
        <item x="25"/>
        <item x="29"/>
        <item x="12"/>
        <item x="15"/>
        <item x="13"/>
        <item x="28"/>
        <item x="23"/>
        <item x="31"/>
        <item x="16"/>
        <item x="10"/>
        <item x="18"/>
        <item x="3"/>
        <item x="14"/>
        <item x="20"/>
        <item x="17"/>
        <item x="9"/>
        <item x="6"/>
        <item x="7"/>
        <item x="4"/>
        <item x="5"/>
        <item x="24"/>
        <item x="11"/>
        <item x="21"/>
        <item x="26"/>
        <item x="22"/>
        <item t="default"/>
      </items>
    </pivotField>
    <pivotField axis="axisRow" showAll="0">
      <items count="161">
        <item x="62"/>
        <item x="155"/>
        <item x="112"/>
        <item x="156"/>
        <item x="118"/>
        <item x="154"/>
        <item x="140"/>
        <item x="60"/>
        <item x="153"/>
        <item x="102"/>
        <item x="7"/>
        <item x="2"/>
        <item x="52"/>
        <item x="1"/>
        <item x="22"/>
        <item x="151"/>
        <item x="105"/>
        <item x="114"/>
        <item x="82"/>
        <item x="3"/>
        <item x="15"/>
        <item x="49"/>
        <item x="135"/>
        <item x="134"/>
        <item x="139"/>
        <item x="142"/>
        <item x="138"/>
        <item x="141"/>
        <item x="128"/>
        <item x="0"/>
        <item x="103"/>
        <item x="159"/>
        <item x="150"/>
        <item x="86"/>
        <item x="152"/>
        <item x="137"/>
        <item x="110"/>
        <item x="79"/>
        <item x="80"/>
        <item x="83"/>
        <item x="126"/>
        <item x="131"/>
        <item x="132"/>
        <item x="129"/>
        <item x="28"/>
        <item x="27"/>
        <item x="29"/>
        <item x="26"/>
        <item x="43"/>
        <item x="42"/>
        <item x="32"/>
        <item x="122"/>
        <item x="124"/>
        <item x="123"/>
        <item x="111"/>
        <item x="69"/>
        <item x="136"/>
        <item x="55"/>
        <item x="119"/>
        <item x="46"/>
        <item x="50"/>
        <item x="117"/>
        <item x="45"/>
        <item x="127"/>
        <item x="106"/>
        <item x="53"/>
        <item x="147"/>
        <item x="146"/>
        <item x="38"/>
        <item x="20"/>
        <item x="144"/>
        <item x="145"/>
        <item x="74"/>
        <item x="89"/>
        <item x="57"/>
        <item x="59"/>
        <item x="88"/>
        <item x="108"/>
        <item x="85"/>
        <item x="5"/>
        <item x="4"/>
        <item x="81"/>
        <item x="35"/>
        <item x="36"/>
        <item x="37"/>
        <item x="98"/>
        <item x="67"/>
        <item x="63"/>
        <item x="116"/>
        <item x="125"/>
        <item x="157"/>
        <item x="101"/>
        <item x="66"/>
        <item x="149"/>
        <item x="51"/>
        <item x="90"/>
        <item x="91"/>
        <item x="97"/>
        <item x="21"/>
        <item x="94"/>
        <item x="93"/>
        <item x="95"/>
        <item x="18"/>
        <item x="92"/>
        <item x="96"/>
        <item x="11"/>
        <item x="87"/>
        <item x="61"/>
        <item x="48"/>
        <item x="47"/>
        <item x="58"/>
        <item x="130"/>
        <item x="39"/>
        <item x="33"/>
        <item x="100"/>
        <item x="16"/>
        <item x="30"/>
        <item x="44"/>
        <item x="34"/>
        <item x="31"/>
        <item x="41"/>
        <item x="19"/>
        <item x="17"/>
        <item x="14"/>
        <item x="99"/>
        <item x="12"/>
        <item x="8"/>
        <item x="78"/>
        <item x="13"/>
        <item x="133"/>
        <item x="148"/>
        <item x="6"/>
        <item x="9"/>
        <item x="10"/>
        <item x="77"/>
        <item x="54"/>
        <item x="40"/>
        <item x="56"/>
        <item x="104"/>
        <item x="76"/>
        <item x="25"/>
        <item x="109"/>
        <item x="113"/>
        <item x="115"/>
        <item x="24"/>
        <item x="23"/>
        <item x="70"/>
        <item x="64"/>
        <item x="73"/>
        <item x="71"/>
        <item x="75"/>
        <item x="158"/>
        <item x="65"/>
        <item x="72"/>
        <item x="107"/>
        <item x="84"/>
        <item x="121"/>
        <item x="120"/>
        <item x="143"/>
        <item x="68"/>
        <item t="default"/>
      </items>
    </pivotField>
    <pivotField showAll="0"/>
    <pivotField showAll="0"/>
    <pivotField showAll="0"/>
    <pivotField showAll="0"/>
    <pivotField showAll="0"/>
    <pivotField showAll="0"/>
    <pivotField axis="axisRow" showAll="0">
      <items count="402">
        <item x="1"/>
        <item x="0"/>
        <item x="3"/>
        <item x="2"/>
        <item x="4"/>
        <item x="5"/>
        <item x="6"/>
        <item x="8"/>
        <item x="7"/>
        <item x="9"/>
        <item x="11"/>
        <item x="10"/>
        <item x="12"/>
        <item x="13"/>
        <item x="16"/>
        <item x="15"/>
        <item x="14"/>
        <item x="18"/>
        <item x="17"/>
        <item x="19"/>
        <item x="20"/>
        <item x="21"/>
        <item x="22"/>
        <item x="23"/>
        <item x="25"/>
        <item x="24"/>
        <item x="27"/>
        <item x="26"/>
        <item x="28"/>
        <item x="29"/>
        <item x="30"/>
        <item x="31"/>
        <item x="32"/>
        <item x="33"/>
        <item x="34"/>
        <item x="35"/>
        <item x="36"/>
        <item x="37"/>
        <item x="38"/>
        <item x="39"/>
        <item x="40"/>
        <item x="41"/>
        <item x="42"/>
        <item x="43"/>
        <item x="44"/>
        <item x="45"/>
        <item x="46"/>
        <item x="47"/>
        <item x="48"/>
        <item x="49"/>
        <item x="50"/>
        <item x="51"/>
        <item x="52"/>
        <item x="53"/>
        <item x="54"/>
        <item x="55"/>
        <item x="56"/>
        <item x="58"/>
        <item x="57"/>
        <item x="59"/>
        <item x="60"/>
        <item x="61"/>
        <item x="62"/>
        <item x="63"/>
        <item x="65"/>
        <item x="64"/>
        <item x="66"/>
        <item x="67"/>
        <item x="68"/>
        <item x="69"/>
        <item x="70"/>
        <item x="71"/>
        <item x="72"/>
        <item x="74"/>
        <item x="73"/>
        <item x="75"/>
        <item x="76"/>
        <item x="77"/>
        <item x="78"/>
        <item x="79"/>
        <item x="80"/>
        <item x="81"/>
        <item x="82"/>
        <item x="83"/>
        <item x="84"/>
        <item x="85"/>
        <item x="86"/>
        <item x="87"/>
        <item x="88"/>
        <item x="89"/>
        <item x="90"/>
        <item x="91"/>
        <item x="92"/>
        <item x="93"/>
        <item x="95"/>
        <item x="94"/>
        <item x="96"/>
        <item x="97"/>
        <item x="98"/>
        <item x="99"/>
        <item x="101"/>
        <item x="100"/>
        <item x="103"/>
        <item x="102"/>
        <item x="104"/>
        <item x="105"/>
        <item x="106"/>
        <item x="107"/>
        <item x="108"/>
        <item x="109"/>
        <item x="110"/>
        <item x="111"/>
        <item x="112"/>
        <item x="114"/>
        <item x="113"/>
        <item x="115"/>
        <item x="116"/>
        <item x="117"/>
        <item x="118"/>
        <item x="119"/>
        <item x="122"/>
        <item x="120"/>
        <item x="121"/>
        <item x="123"/>
        <item x="124"/>
        <item x="125"/>
        <item x="126"/>
        <item x="127"/>
        <item x="129"/>
        <item x="128"/>
        <item x="130"/>
        <item x="131"/>
        <item x="132"/>
        <item x="133"/>
        <item x="134"/>
        <item x="135"/>
        <item x="136"/>
        <item x="137"/>
        <item x="138"/>
        <item x="139"/>
        <item x="140"/>
        <item x="141"/>
        <item x="142"/>
        <item x="143"/>
        <item x="144"/>
        <item x="145"/>
        <item x="146"/>
        <item x="147"/>
        <item x="148"/>
        <item x="149"/>
        <item x="151"/>
        <item x="150"/>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3"/>
        <item x="192"/>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4"/>
        <item x="233"/>
        <item x="235"/>
        <item x="236"/>
        <item x="237"/>
        <item x="238"/>
        <item x="239"/>
        <item x="240"/>
        <item x="241"/>
        <item x="242"/>
        <item x="243"/>
        <item x="244"/>
        <item x="246"/>
        <item x="245"/>
        <item x="247"/>
        <item x="248"/>
        <item x="249"/>
        <item x="250"/>
        <item x="251"/>
        <item x="252"/>
        <item x="253"/>
        <item x="254"/>
        <item x="255"/>
        <item x="256"/>
        <item x="257"/>
        <item x="258"/>
        <item x="259"/>
        <item x="260"/>
        <item x="261"/>
        <item x="262"/>
        <item x="263"/>
        <item x="264"/>
        <item x="265"/>
        <item x="266"/>
        <item x="268"/>
        <item x="267"/>
        <item x="269"/>
        <item x="270"/>
        <item x="271"/>
        <item x="272"/>
        <item x="273"/>
        <item x="274"/>
        <item x="275"/>
        <item x="277"/>
        <item x="276"/>
        <item x="278"/>
        <item x="279"/>
        <item x="280"/>
        <item x="281"/>
        <item x="282"/>
        <item x="283"/>
        <item x="285"/>
        <item x="284"/>
        <item x="288"/>
        <item x="286"/>
        <item x="287"/>
        <item x="289"/>
        <item x="290"/>
        <item x="291"/>
        <item x="292"/>
        <item x="293"/>
        <item x="294"/>
        <item x="295"/>
        <item x="297"/>
        <item x="296"/>
        <item x="298"/>
        <item x="299"/>
        <item x="300"/>
        <item x="301"/>
        <item x="302"/>
        <item x="303"/>
        <item x="304"/>
        <item x="305"/>
        <item x="306"/>
        <item x="307"/>
        <item x="308"/>
        <item x="309"/>
        <item x="310"/>
        <item x="311"/>
        <item x="312"/>
        <item x="313"/>
        <item x="314"/>
        <item x="316"/>
        <item x="315"/>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7"/>
        <item x="346"/>
        <item x="348"/>
        <item x="349"/>
        <item x="350"/>
        <item x="351"/>
        <item x="352"/>
        <item x="353"/>
        <item x="354"/>
        <item x="355"/>
        <item x="357"/>
        <item x="356"/>
        <item x="358"/>
        <item x="360"/>
        <item x="359"/>
        <item x="361"/>
        <item x="362"/>
        <item x="363"/>
        <item x="364"/>
        <item x="365"/>
        <item x="366"/>
        <item x="368"/>
        <item x="367"/>
        <item x="369"/>
        <item x="370"/>
        <item x="371"/>
        <item x="372"/>
        <item x="373"/>
        <item x="374"/>
        <item x="376"/>
        <item x="375"/>
        <item x="377"/>
        <item x="378"/>
        <item x="379"/>
        <item x="380"/>
        <item x="381"/>
        <item x="382"/>
        <item x="383"/>
        <item x="384"/>
        <item x="385"/>
        <item x="386"/>
        <item x="387"/>
        <item x="389"/>
        <item x="388"/>
        <item x="390"/>
        <item x="391"/>
        <item x="392"/>
        <item x="393"/>
        <item x="394"/>
        <item x="395"/>
        <item x="396"/>
        <item x="397"/>
        <item x="398"/>
        <item x="399"/>
        <item x="400"/>
        <item t="default"/>
      </items>
    </pivotField>
    <pivotField showAll="0"/>
    <pivotField showAll="0"/>
    <pivotField dataField="1" numFmtId="43" showAll="0"/>
    <pivotField numFmtId="43" showAll="0"/>
    <pivotField dataField="1" numFmtId="43" showAll="0"/>
    <pivotField numFmtId="43" showAll="0"/>
    <pivotField numFmtId="43" showAll="0"/>
    <pivotField dataField="1" numFmtId="43" showAll="0"/>
    <pivotField numFmtId="43" showAll="0"/>
    <pivotField dataField="1" numFmtId="43" showAll="0"/>
    <pivotField numFmtId="43" showAll="0"/>
    <pivotField numFmtId="43" showAll="0"/>
    <pivotField dataField="1" numFmtId="43" showAl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5">
    <field x="4"/>
    <field x="6"/>
    <field x="7"/>
    <field x="8"/>
    <field x="15"/>
  </rowFields>
  <rowItems count="16">
    <i>
      <x v="18"/>
    </i>
    <i r="1">
      <x v="3"/>
    </i>
    <i r="2">
      <x v="2"/>
    </i>
    <i r="3">
      <x v="8"/>
    </i>
    <i r="4">
      <x v="375"/>
    </i>
    <i r="4">
      <x v="376"/>
    </i>
    <i r="3">
      <x v="9"/>
    </i>
    <i r="4">
      <x v="266"/>
    </i>
    <i r="3">
      <x v="16"/>
    </i>
    <i r="4">
      <x v="271"/>
    </i>
    <i r="4">
      <x v="272"/>
    </i>
    <i r="3">
      <x v="17"/>
    </i>
    <i r="4">
      <x v="286"/>
    </i>
    <i r="4">
      <x v="287"/>
    </i>
    <i r="4">
      <x v="288"/>
    </i>
    <i t="grand">
      <x/>
    </i>
  </rowItems>
  <colFields count="1">
    <field x="-2"/>
  </colFields>
  <colItems count="9">
    <i>
      <x/>
    </i>
    <i i="1">
      <x v="1"/>
    </i>
    <i i="2">
      <x v="2"/>
    </i>
    <i i="3">
      <x v="3"/>
    </i>
    <i i="4">
      <x v="4"/>
    </i>
    <i i="5">
      <x v="5"/>
    </i>
    <i i="6">
      <x v="6"/>
    </i>
    <i i="7">
      <x v="7"/>
    </i>
    <i i="8">
      <x v="8"/>
    </i>
  </colItems>
  <pageFields count="1">
    <pageField fld="2" item="18" hier="-1"/>
  </pageFields>
  <dataFields count="9">
    <dataField name="PPTO INICIAL" fld="18" baseField="4" baseItem="0" numFmtId="164"/>
    <dataField name="PPTO VIGENTE" fld="20" baseField="4" baseItem="0" numFmtId="164"/>
    <dataField name="COMPROMISOS." fld="23" baseField="4" baseItem="0" numFmtId="164"/>
    <dataField name="GIROS." fld="25" baseField="4" baseItem="0" numFmtId="164"/>
    <dataField name="PAGOS " fld="28" baseField="4" baseItem="0" numFmtId="164"/>
    <dataField name=" SALDO APROPIACIÓN CDP" fld="29" baseField="4" baseItem="0" numFmtId="164"/>
    <dataField name="SALDO APROPIACIÓN RP" fld="30" baseField="4" baseItem="0" numFmtId="164"/>
    <dataField name="Suma de % CDP" fld="31" baseField="0" baseItem="0" numFmtId="43"/>
    <dataField name="Suma de % RP" fld="32" baseField="0" baseItem="0" numFmtId="43"/>
  </dataFields>
  <formats count="326">
    <format dxfId="1275">
      <pivotArea dataOnly="0" labelOnly="1" fieldPosition="0">
        <references count="1">
          <reference field="4" count="0"/>
        </references>
      </pivotArea>
    </format>
    <format dxfId="1274">
      <pivotArea dataOnly="0" labelOnly="1" fieldPosition="0">
        <references count="1">
          <reference field="4" count="1">
            <x v="0"/>
          </reference>
        </references>
      </pivotArea>
    </format>
    <format dxfId="1273">
      <pivotArea dataOnly="0" labelOnly="1" fieldPosition="0">
        <references count="1">
          <reference field="6" count="0"/>
        </references>
      </pivotArea>
    </format>
    <format dxfId="1272">
      <pivotArea dataOnly="0" labelOnly="1" fieldPosition="0">
        <references count="1">
          <reference field="7" count="0"/>
        </references>
      </pivotArea>
    </format>
    <format dxfId="1271">
      <pivotArea dataOnly="0" labelOnly="1" fieldPosition="0">
        <references count="1">
          <reference field="7" count="0"/>
        </references>
      </pivotArea>
    </format>
    <format dxfId="1270">
      <pivotArea dataOnly="0" labelOnly="1" fieldPosition="0">
        <references count="1">
          <reference field="8" count="0"/>
        </references>
      </pivotArea>
    </format>
    <format dxfId="1269">
      <pivotArea outline="0" collapsedLevelsAreSubtotals="1" fieldPosition="0"/>
    </format>
    <format dxfId="1268">
      <pivotArea dataOnly="0" labelOnly="1" outline="0" fieldPosition="0">
        <references count="1">
          <reference field="2" count="0"/>
        </references>
      </pivotArea>
    </format>
    <format dxfId="1267">
      <pivotArea dataOnly="0" labelOnly="1" outline="0" fieldPosition="0">
        <references count="1">
          <reference field="4294967294" count="9">
            <x v="0"/>
            <x v="1"/>
            <x v="2"/>
            <x v="3"/>
            <x v="4"/>
            <x v="5"/>
            <x v="6"/>
            <x v="7"/>
            <x v="8"/>
          </reference>
        </references>
      </pivotArea>
    </format>
    <format dxfId="1266">
      <pivotArea field="2" type="button" dataOnly="0" labelOnly="1" outline="0" axis="axisPage" fieldPosition="0"/>
    </format>
    <format dxfId="1265">
      <pivotArea field="4" type="button" dataOnly="0" labelOnly="1" outline="0" axis="axisRow" fieldPosition="0"/>
    </format>
    <format dxfId="1264">
      <pivotArea dataOnly="0" labelOnly="1" fieldPosition="0">
        <references count="1">
          <reference field="4" count="0"/>
        </references>
      </pivotArea>
    </format>
    <format dxfId="1263">
      <pivotArea dataOnly="0" labelOnly="1" grandRow="1" outline="0" fieldPosition="0"/>
    </format>
    <format dxfId="1262">
      <pivotArea dataOnly="0" labelOnly="1" fieldPosition="0">
        <references count="2">
          <reference field="4" count="1" selected="0">
            <x v="0"/>
          </reference>
          <reference field="6" count="2">
            <x v="0"/>
            <x v="1"/>
          </reference>
        </references>
      </pivotArea>
    </format>
    <format dxfId="1261">
      <pivotArea dataOnly="0" labelOnly="1" fieldPosition="0">
        <references count="2">
          <reference field="4" count="1" selected="0">
            <x v="1"/>
          </reference>
          <reference field="6" count="3">
            <x v="0"/>
            <x v="3"/>
            <x v="4"/>
          </reference>
        </references>
      </pivotArea>
    </format>
    <format dxfId="1260">
      <pivotArea dataOnly="0" labelOnly="1" fieldPosition="0">
        <references count="2">
          <reference field="4" count="1" selected="0">
            <x v="2"/>
          </reference>
          <reference field="6" count="3">
            <x v="2"/>
            <x v="3"/>
            <x v="4"/>
          </reference>
        </references>
      </pivotArea>
    </format>
    <format dxfId="1259">
      <pivotArea dataOnly="0" labelOnly="1" fieldPosition="0">
        <references count="2">
          <reference field="4" count="1" selected="0">
            <x v="3"/>
          </reference>
          <reference field="6" count="1">
            <x v="3"/>
          </reference>
        </references>
      </pivotArea>
    </format>
    <format dxfId="1258">
      <pivotArea dataOnly="0" labelOnly="1" fieldPosition="0">
        <references count="2">
          <reference field="4" count="1" selected="0">
            <x v="4"/>
          </reference>
          <reference field="6" count="4">
            <x v="0"/>
            <x v="1"/>
            <x v="2"/>
            <x v="3"/>
          </reference>
        </references>
      </pivotArea>
    </format>
    <format dxfId="1257">
      <pivotArea dataOnly="0" labelOnly="1" fieldPosition="0">
        <references count="2">
          <reference field="4" count="1" selected="0">
            <x v="5"/>
          </reference>
          <reference field="6" count="2">
            <x v="0"/>
            <x v="4"/>
          </reference>
        </references>
      </pivotArea>
    </format>
    <format dxfId="1256">
      <pivotArea dataOnly="0" labelOnly="1" fieldPosition="0">
        <references count="2">
          <reference field="4" count="1" selected="0">
            <x v="6"/>
          </reference>
          <reference field="6" count="1">
            <x v="1"/>
          </reference>
        </references>
      </pivotArea>
    </format>
    <format dxfId="1255">
      <pivotArea dataOnly="0" labelOnly="1" fieldPosition="0">
        <references count="2">
          <reference field="4" count="1" selected="0">
            <x v="7"/>
          </reference>
          <reference field="6" count="4">
            <x v="0"/>
            <x v="2"/>
            <x v="3"/>
            <x v="4"/>
          </reference>
        </references>
      </pivotArea>
    </format>
    <format dxfId="1254">
      <pivotArea dataOnly="0" labelOnly="1" fieldPosition="0">
        <references count="2">
          <reference field="4" count="1" selected="0">
            <x v="8"/>
          </reference>
          <reference field="6" count="4">
            <x v="0"/>
            <x v="1"/>
            <x v="2"/>
            <x v="3"/>
          </reference>
        </references>
      </pivotArea>
    </format>
    <format dxfId="1253">
      <pivotArea dataOnly="0" labelOnly="1" fieldPosition="0">
        <references count="2">
          <reference field="4" count="1" selected="0">
            <x v="9"/>
          </reference>
          <reference field="6" count="1">
            <x v="1"/>
          </reference>
        </references>
      </pivotArea>
    </format>
    <format dxfId="1252">
      <pivotArea dataOnly="0" labelOnly="1" fieldPosition="0">
        <references count="2">
          <reference field="4" count="1" selected="0">
            <x v="10"/>
          </reference>
          <reference field="6" count="1">
            <x v="3"/>
          </reference>
        </references>
      </pivotArea>
    </format>
    <format dxfId="1251">
      <pivotArea dataOnly="0" labelOnly="1" fieldPosition="0">
        <references count="2">
          <reference field="4" count="1" selected="0">
            <x v="11"/>
          </reference>
          <reference field="6" count="1">
            <x v="0"/>
          </reference>
        </references>
      </pivotArea>
    </format>
    <format dxfId="1250">
      <pivotArea dataOnly="0" labelOnly="1" fieldPosition="0">
        <references count="2">
          <reference field="4" count="1" selected="0">
            <x v="12"/>
          </reference>
          <reference field="6" count="1">
            <x v="0"/>
          </reference>
        </references>
      </pivotArea>
    </format>
    <format dxfId="1249">
      <pivotArea dataOnly="0" labelOnly="1" fieldPosition="0">
        <references count="2">
          <reference field="4" count="1" selected="0">
            <x v="13"/>
          </reference>
          <reference field="6" count="1">
            <x v="3"/>
          </reference>
        </references>
      </pivotArea>
    </format>
    <format dxfId="1248">
      <pivotArea dataOnly="0" labelOnly="1" fieldPosition="0">
        <references count="2">
          <reference field="4" count="1" selected="0">
            <x v="14"/>
          </reference>
          <reference field="6" count="1">
            <x v="1"/>
          </reference>
        </references>
      </pivotArea>
    </format>
    <format dxfId="1247">
      <pivotArea dataOnly="0" labelOnly="1" fieldPosition="0">
        <references count="2">
          <reference field="4" count="1" selected="0">
            <x v="15"/>
          </reference>
          <reference field="6" count="1">
            <x v="0"/>
          </reference>
        </references>
      </pivotArea>
    </format>
    <format dxfId="1246">
      <pivotArea dataOnly="0" labelOnly="1" fieldPosition="0">
        <references count="2">
          <reference field="4" count="1" selected="0">
            <x v="16"/>
          </reference>
          <reference field="6" count="3">
            <x v="1"/>
            <x v="3"/>
            <x v="4"/>
          </reference>
        </references>
      </pivotArea>
    </format>
    <format dxfId="1245">
      <pivotArea dataOnly="0" labelOnly="1" fieldPosition="0">
        <references count="2">
          <reference field="4" count="1" selected="0">
            <x v="17"/>
          </reference>
          <reference field="6" count="1">
            <x v="0"/>
          </reference>
        </references>
      </pivotArea>
    </format>
    <format dxfId="1244">
      <pivotArea dataOnly="0" labelOnly="1" fieldPosition="0">
        <references count="2">
          <reference field="4" count="1" selected="0">
            <x v="18"/>
          </reference>
          <reference field="6" count="1">
            <x v="3"/>
          </reference>
        </references>
      </pivotArea>
    </format>
    <format dxfId="1243">
      <pivotArea dataOnly="0" labelOnly="1" fieldPosition="0">
        <references count="2">
          <reference field="4" count="1" selected="0">
            <x v="19"/>
          </reference>
          <reference field="6" count="1">
            <x v="3"/>
          </reference>
        </references>
      </pivotArea>
    </format>
    <format dxfId="1242">
      <pivotArea dataOnly="0" labelOnly="1" fieldPosition="0">
        <references count="2">
          <reference field="4" count="1" selected="0">
            <x v="20"/>
          </reference>
          <reference field="6" count="1">
            <x v="1"/>
          </reference>
        </references>
      </pivotArea>
    </format>
    <format dxfId="1241">
      <pivotArea dataOnly="0" labelOnly="1" fieldPosition="0">
        <references count="3">
          <reference field="4" count="1" selected="0">
            <x v="0"/>
          </reference>
          <reference field="6" count="1" selected="0">
            <x v="0"/>
          </reference>
          <reference field="7" count="2">
            <x v="17"/>
            <x v="19"/>
          </reference>
        </references>
      </pivotArea>
    </format>
    <format dxfId="1240">
      <pivotArea dataOnly="0" labelOnly="1" fieldPosition="0">
        <references count="3">
          <reference field="4" count="1" selected="0">
            <x v="0"/>
          </reference>
          <reference field="6" count="1" selected="0">
            <x v="1"/>
          </reference>
          <reference field="7" count="2">
            <x v="23"/>
            <x v="26"/>
          </reference>
        </references>
      </pivotArea>
    </format>
    <format dxfId="1239">
      <pivotArea dataOnly="0" labelOnly="1" fieldPosition="0">
        <references count="3">
          <reference field="4" count="1" selected="0">
            <x v="1"/>
          </reference>
          <reference field="6" count="1" selected="0">
            <x v="0"/>
          </reference>
          <reference field="7" count="1">
            <x v="19"/>
          </reference>
        </references>
      </pivotArea>
    </format>
    <format dxfId="1238">
      <pivotArea dataOnly="0" labelOnly="1" fieldPosition="0">
        <references count="3">
          <reference field="4" count="1" selected="0">
            <x v="1"/>
          </reference>
          <reference field="6" count="1" selected="0">
            <x v="3"/>
          </reference>
          <reference field="7" count="3">
            <x v="2"/>
            <x v="3"/>
            <x v="4"/>
          </reference>
        </references>
      </pivotArea>
    </format>
    <format dxfId="1237">
      <pivotArea dataOnly="0" labelOnly="1" fieldPosition="0">
        <references count="3">
          <reference field="4" count="1" selected="0">
            <x v="1"/>
          </reference>
          <reference field="6" count="1" selected="0">
            <x v="4"/>
          </reference>
          <reference field="7" count="1">
            <x v="8"/>
          </reference>
        </references>
      </pivotArea>
    </format>
    <format dxfId="1236">
      <pivotArea dataOnly="0" labelOnly="1" fieldPosition="0">
        <references count="3">
          <reference field="4" count="1" selected="0">
            <x v="2"/>
          </reference>
          <reference field="6" count="1" selected="0">
            <x v="2"/>
          </reference>
          <reference field="7" count="2">
            <x v="29"/>
            <x v="30"/>
          </reference>
        </references>
      </pivotArea>
    </format>
    <format dxfId="1235">
      <pivotArea dataOnly="0" labelOnly="1" fieldPosition="0">
        <references count="3">
          <reference field="4" count="1" selected="0">
            <x v="2"/>
          </reference>
          <reference field="6" count="1" selected="0">
            <x v="3"/>
          </reference>
          <reference field="7" count="2">
            <x v="5"/>
            <x v="7"/>
          </reference>
        </references>
      </pivotArea>
    </format>
    <format dxfId="1234">
      <pivotArea dataOnly="0" labelOnly="1" fieldPosition="0">
        <references count="3">
          <reference field="4" count="1" selected="0">
            <x v="2"/>
          </reference>
          <reference field="6" count="1" selected="0">
            <x v="4"/>
          </reference>
          <reference field="7" count="1">
            <x v="8"/>
          </reference>
        </references>
      </pivotArea>
    </format>
    <format dxfId="1233">
      <pivotArea dataOnly="0" labelOnly="1" fieldPosition="0">
        <references count="3">
          <reference field="4" count="1" selected="0">
            <x v="3"/>
          </reference>
          <reference field="6" count="1" selected="0">
            <x v="3"/>
          </reference>
          <reference field="7" count="1">
            <x v="6"/>
          </reference>
        </references>
      </pivotArea>
    </format>
    <format dxfId="1232">
      <pivotArea dataOnly="0" labelOnly="1" fieldPosition="0">
        <references count="3">
          <reference field="4" count="1" selected="0">
            <x v="4"/>
          </reference>
          <reference field="6" count="1" selected="0">
            <x v="0"/>
          </reference>
          <reference field="7" count="1">
            <x v="21"/>
          </reference>
        </references>
      </pivotArea>
    </format>
    <format dxfId="1231">
      <pivotArea dataOnly="0" labelOnly="1" fieldPosition="0">
        <references count="3">
          <reference field="4" count="1" selected="0">
            <x v="4"/>
          </reference>
          <reference field="6" count="1" selected="0">
            <x v="1"/>
          </reference>
          <reference field="7" count="1">
            <x v="24"/>
          </reference>
        </references>
      </pivotArea>
    </format>
    <format dxfId="1230">
      <pivotArea dataOnly="0" labelOnly="1" fieldPosition="0">
        <references count="3">
          <reference field="4" count="1" selected="0">
            <x v="4"/>
          </reference>
          <reference field="6" count="1" selected="0">
            <x v="2"/>
          </reference>
          <reference field="7" count="2">
            <x v="29"/>
            <x v="31"/>
          </reference>
        </references>
      </pivotArea>
    </format>
    <format dxfId="1229">
      <pivotArea dataOnly="0" labelOnly="1" fieldPosition="0">
        <references count="3">
          <reference field="4" count="1" selected="0">
            <x v="4"/>
          </reference>
          <reference field="6" count="1" selected="0">
            <x v="3"/>
          </reference>
          <reference field="7" count="2">
            <x v="0"/>
            <x v="1"/>
          </reference>
        </references>
      </pivotArea>
    </format>
    <format dxfId="1228">
      <pivotArea dataOnly="0" labelOnly="1" fieldPosition="0">
        <references count="3">
          <reference field="4" count="1" selected="0">
            <x v="5"/>
          </reference>
          <reference field="6" count="1" selected="0">
            <x v="0"/>
          </reference>
          <reference field="7" count="2">
            <x v="18"/>
            <x v="22"/>
          </reference>
        </references>
      </pivotArea>
    </format>
    <format dxfId="1227">
      <pivotArea dataOnly="0" labelOnly="1" fieldPosition="0">
        <references count="3">
          <reference field="4" count="1" selected="0">
            <x v="5"/>
          </reference>
          <reference field="6" count="1" selected="0">
            <x v="4"/>
          </reference>
          <reference field="7" count="1">
            <x v="8"/>
          </reference>
        </references>
      </pivotArea>
    </format>
    <format dxfId="1226">
      <pivotArea dataOnly="0" labelOnly="1" fieldPosition="0">
        <references count="3">
          <reference field="4" count="1" selected="0">
            <x v="6"/>
          </reference>
          <reference field="6" count="1" selected="0">
            <x v="1"/>
          </reference>
          <reference field="7" count="1">
            <x v="24"/>
          </reference>
        </references>
      </pivotArea>
    </format>
    <format dxfId="1225">
      <pivotArea dataOnly="0" labelOnly="1" fieldPosition="0">
        <references count="3">
          <reference field="4" count="1" selected="0">
            <x v="7"/>
          </reference>
          <reference field="6" count="1" selected="0">
            <x v="0"/>
          </reference>
          <reference field="7" count="1">
            <x v="16"/>
          </reference>
        </references>
      </pivotArea>
    </format>
    <format dxfId="1224">
      <pivotArea dataOnly="0" labelOnly="1" fieldPosition="0">
        <references count="3">
          <reference field="4" count="1" selected="0">
            <x v="7"/>
          </reference>
          <reference field="6" count="1" selected="0">
            <x v="2"/>
          </reference>
          <reference field="7" count="2">
            <x v="29"/>
            <x v="30"/>
          </reference>
        </references>
      </pivotArea>
    </format>
    <format dxfId="1223">
      <pivotArea dataOnly="0" labelOnly="1" fieldPosition="0">
        <references count="3">
          <reference field="4" count="1" selected="0">
            <x v="7"/>
          </reference>
          <reference field="6" count="1" selected="0">
            <x v="3"/>
          </reference>
          <reference field="7" count="1">
            <x v="6"/>
          </reference>
        </references>
      </pivotArea>
    </format>
    <format dxfId="1222">
      <pivotArea dataOnly="0" labelOnly="1" fieldPosition="0">
        <references count="3">
          <reference field="4" count="1" selected="0">
            <x v="7"/>
          </reference>
          <reference field="6" count="1" selected="0">
            <x v="4"/>
          </reference>
          <reference field="7" count="8">
            <x v="8"/>
            <x v="9"/>
            <x v="10"/>
            <x v="11"/>
            <x v="12"/>
            <x v="13"/>
            <x v="14"/>
            <x v="15"/>
          </reference>
        </references>
      </pivotArea>
    </format>
    <format dxfId="1221">
      <pivotArea dataOnly="0" labelOnly="1" fieldPosition="0">
        <references count="3">
          <reference field="4" count="1" selected="0">
            <x v="8"/>
          </reference>
          <reference field="6" count="1" selected="0">
            <x v="0"/>
          </reference>
          <reference field="7" count="2">
            <x v="18"/>
            <x v="22"/>
          </reference>
        </references>
      </pivotArea>
    </format>
    <format dxfId="1220">
      <pivotArea dataOnly="0" labelOnly="1" fieldPosition="0">
        <references count="3">
          <reference field="4" count="1" selected="0">
            <x v="8"/>
          </reference>
          <reference field="6" count="1" selected="0">
            <x v="1"/>
          </reference>
          <reference field="7" count="1">
            <x v="28"/>
          </reference>
        </references>
      </pivotArea>
    </format>
    <format dxfId="1219">
      <pivotArea dataOnly="0" labelOnly="1" fieldPosition="0">
        <references count="3">
          <reference field="4" count="1" selected="0">
            <x v="8"/>
          </reference>
          <reference field="6" count="1" selected="0">
            <x v="2"/>
          </reference>
          <reference field="7" count="1">
            <x v="32"/>
          </reference>
        </references>
      </pivotArea>
    </format>
    <format dxfId="1218">
      <pivotArea dataOnly="0" labelOnly="1" fieldPosition="0">
        <references count="3">
          <reference field="4" count="1" selected="0">
            <x v="8"/>
          </reference>
          <reference field="6" count="1" selected="0">
            <x v="3"/>
          </reference>
          <reference field="7" count="1">
            <x v="6"/>
          </reference>
        </references>
      </pivotArea>
    </format>
    <format dxfId="1217">
      <pivotArea dataOnly="0" labelOnly="1" fieldPosition="0">
        <references count="3">
          <reference field="4" count="1" selected="0">
            <x v="9"/>
          </reference>
          <reference field="6" count="1" selected="0">
            <x v="1"/>
          </reference>
          <reference field="7" count="1">
            <x v="25"/>
          </reference>
        </references>
      </pivotArea>
    </format>
    <format dxfId="1216">
      <pivotArea dataOnly="0" labelOnly="1" fieldPosition="0">
        <references count="3">
          <reference field="4" count="1" selected="0">
            <x v="10"/>
          </reference>
          <reference field="6" count="1" selected="0">
            <x v="3"/>
          </reference>
          <reference field="7" count="1">
            <x v="6"/>
          </reference>
        </references>
      </pivotArea>
    </format>
    <format dxfId="1215">
      <pivotArea dataOnly="0" labelOnly="1" fieldPosition="0">
        <references count="3">
          <reference field="4" count="1" selected="0">
            <x v="11"/>
          </reference>
          <reference field="6" count="1" selected="0">
            <x v="0"/>
          </reference>
          <reference field="7" count="1">
            <x v="17"/>
          </reference>
        </references>
      </pivotArea>
    </format>
    <format dxfId="1214">
      <pivotArea dataOnly="0" labelOnly="1" fieldPosition="0">
        <references count="3">
          <reference field="4" count="1" selected="0">
            <x v="12"/>
          </reference>
          <reference field="6" count="1" selected="0">
            <x v="0"/>
          </reference>
          <reference field="7" count="1">
            <x v="18"/>
          </reference>
        </references>
      </pivotArea>
    </format>
    <format dxfId="1213">
      <pivotArea dataOnly="0" labelOnly="1" fieldPosition="0">
        <references count="3">
          <reference field="4" count="1" selected="0">
            <x v="13"/>
          </reference>
          <reference field="6" count="1" selected="0">
            <x v="3"/>
          </reference>
          <reference field="7" count="2">
            <x v="1"/>
            <x v="5"/>
          </reference>
        </references>
      </pivotArea>
    </format>
    <format dxfId="1212">
      <pivotArea dataOnly="0" labelOnly="1" fieldPosition="0">
        <references count="3">
          <reference field="4" count="1" selected="0">
            <x v="14"/>
          </reference>
          <reference field="6" count="1" selected="0">
            <x v="1"/>
          </reference>
          <reference field="7" count="1">
            <x v="26"/>
          </reference>
        </references>
      </pivotArea>
    </format>
    <format dxfId="1211">
      <pivotArea dataOnly="0" labelOnly="1" fieldPosition="0">
        <references count="3">
          <reference field="4" count="1" selected="0">
            <x v="15"/>
          </reference>
          <reference field="6" count="1" selected="0">
            <x v="0"/>
          </reference>
          <reference field="7" count="1">
            <x v="20"/>
          </reference>
        </references>
      </pivotArea>
    </format>
    <format dxfId="1210">
      <pivotArea dataOnly="0" labelOnly="1" fieldPosition="0">
        <references count="3">
          <reference field="4" count="1" selected="0">
            <x v="16"/>
          </reference>
          <reference field="6" count="1" selected="0">
            <x v="1"/>
          </reference>
          <reference field="7" count="1">
            <x v="27"/>
          </reference>
        </references>
      </pivotArea>
    </format>
    <format dxfId="1209">
      <pivotArea dataOnly="0" labelOnly="1" fieldPosition="0">
        <references count="3">
          <reference field="4" count="1" selected="0">
            <x v="16"/>
          </reference>
          <reference field="6" count="1" selected="0">
            <x v="3"/>
          </reference>
          <reference field="7" count="1">
            <x v="1"/>
          </reference>
        </references>
      </pivotArea>
    </format>
    <format dxfId="1208">
      <pivotArea dataOnly="0" labelOnly="1" fieldPosition="0">
        <references count="3">
          <reference field="4" count="1" selected="0">
            <x v="16"/>
          </reference>
          <reference field="6" count="1" selected="0">
            <x v="4"/>
          </reference>
          <reference field="7" count="2">
            <x v="8"/>
            <x v="11"/>
          </reference>
        </references>
      </pivotArea>
    </format>
    <format dxfId="1207">
      <pivotArea dataOnly="0" labelOnly="1" fieldPosition="0">
        <references count="3">
          <reference field="4" count="1" selected="0">
            <x v="17"/>
          </reference>
          <reference field="6" count="1" selected="0">
            <x v="0"/>
          </reference>
          <reference field="7" count="2">
            <x v="16"/>
            <x v="22"/>
          </reference>
        </references>
      </pivotArea>
    </format>
    <format dxfId="1206">
      <pivotArea dataOnly="0" labelOnly="1" fieldPosition="0">
        <references count="3">
          <reference field="4" count="1" selected="0">
            <x v="18"/>
          </reference>
          <reference field="6" count="1" selected="0">
            <x v="3"/>
          </reference>
          <reference field="7" count="1">
            <x v="2"/>
          </reference>
        </references>
      </pivotArea>
    </format>
    <format dxfId="1205">
      <pivotArea dataOnly="0" labelOnly="1" fieldPosition="0">
        <references count="3">
          <reference field="4" count="1" selected="0">
            <x v="19"/>
          </reference>
          <reference field="6" count="1" selected="0">
            <x v="3"/>
          </reference>
          <reference field="7" count="1">
            <x v="6"/>
          </reference>
        </references>
      </pivotArea>
    </format>
    <format dxfId="1204">
      <pivotArea dataOnly="0" labelOnly="1" fieldPosition="0">
        <references count="3">
          <reference field="4" count="1" selected="0">
            <x v="20"/>
          </reference>
          <reference field="6" count="1" selected="0">
            <x v="1"/>
          </reference>
          <reference field="7" count="1">
            <x v="24"/>
          </reference>
        </references>
      </pivotArea>
    </format>
    <format dxfId="1203">
      <pivotArea dataOnly="0" labelOnly="1" fieldPosition="0">
        <references count="4">
          <reference field="4" count="1" selected="0">
            <x v="0"/>
          </reference>
          <reference field="6" count="1" selected="0">
            <x v="0"/>
          </reference>
          <reference field="7" count="1" selected="0">
            <x v="17"/>
          </reference>
          <reference field="8" count="5">
            <x v="65"/>
            <x v="66"/>
            <x v="67"/>
            <x v="68"/>
            <x v="69"/>
          </reference>
        </references>
      </pivotArea>
    </format>
    <format dxfId="1202">
      <pivotArea dataOnly="0" labelOnly="1" fieldPosition="0">
        <references count="4">
          <reference field="4" count="1" selected="0">
            <x v="0"/>
          </reference>
          <reference field="6" count="1" selected="0">
            <x v="0"/>
          </reference>
          <reference field="7" count="1" selected="0">
            <x v="19"/>
          </reference>
          <reference field="8" count="3">
            <x v="78"/>
            <x v="79"/>
            <x v="80"/>
          </reference>
        </references>
      </pivotArea>
    </format>
    <format dxfId="1201">
      <pivotArea dataOnly="0" labelOnly="1" fieldPosition="0">
        <references count="4">
          <reference field="4" count="1" selected="0">
            <x v="0"/>
          </reference>
          <reference field="6" count="1" selected="0">
            <x v="1"/>
          </reference>
          <reference field="7" count="1" selected="0">
            <x v="23"/>
          </reference>
          <reference field="8" count="10">
            <x v="95"/>
            <x v="96"/>
            <x v="97"/>
            <x v="98"/>
            <x v="99"/>
            <x v="100"/>
            <x v="101"/>
            <x v="102"/>
            <x v="103"/>
            <x v="104"/>
          </reference>
        </references>
      </pivotArea>
    </format>
    <format dxfId="1200">
      <pivotArea dataOnly="0" labelOnly="1" fieldPosition="0">
        <references count="4">
          <reference field="4" count="1" selected="0">
            <x v="0"/>
          </reference>
          <reference field="6" count="1" selected="0">
            <x v="1"/>
          </reference>
          <reference field="7" count="1" selected="0">
            <x v="26"/>
          </reference>
          <reference field="8" count="1">
            <x v="131"/>
          </reference>
        </references>
      </pivotArea>
    </format>
    <format dxfId="1199">
      <pivotArea dataOnly="0" labelOnly="1" fieldPosition="0">
        <references count="4">
          <reference field="4" count="1" selected="0">
            <x v="1"/>
          </reference>
          <reference field="6" count="1" selected="0">
            <x v="0"/>
          </reference>
          <reference field="7" count="1" selected="0">
            <x v="19"/>
          </reference>
          <reference field="8" count="1">
            <x v="81"/>
          </reference>
        </references>
      </pivotArea>
    </format>
    <format dxfId="1198">
      <pivotArea dataOnly="0" labelOnly="1" fieldPosition="0">
        <references count="4">
          <reference field="4" count="1" selected="0">
            <x v="1"/>
          </reference>
          <reference field="6" count="1" selected="0">
            <x v="3"/>
          </reference>
          <reference field="7" count="1" selected="0">
            <x v="2"/>
          </reference>
          <reference field="8" count="7">
            <x v="7"/>
            <x v="10"/>
            <x v="11"/>
            <x v="12"/>
            <x v="13"/>
            <x v="14"/>
            <x v="15"/>
          </reference>
        </references>
      </pivotArea>
    </format>
    <format dxfId="1197">
      <pivotArea dataOnly="0" labelOnly="1" fieldPosition="0">
        <references count="4">
          <reference field="4" count="1" selected="0">
            <x v="1"/>
          </reference>
          <reference field="6" count="1" selected="0">
            <x v="3"/>
          </reference>
          <reference field="7" count="1" selected="0">
            <x v="3"/>
          </reference>
          <reference field="8" count="2">
            <x v="18"/>
            <x v="19"/>
          </reference>
        </references>
      </pivotArea>
    </format>
    <format dxfId="1196">
      <pivotArea dataOnly="0" labelOnly="1" fieldPosition="0">
        <references count="4">
          <reference field="4" count="1" selected="0">
            <x v="1"/>
          </reference>
          <reference field="6" count="1" selected="0">
            <x v="3"/>
          </reference>
          <reference field="7" count="1" selected="0">
            <x v="4"/>
          </reference>
          <reference field="8" count="2">
            <x v="20"/>
            <x v="21"/>
          </reference>
        </references>
      </pivotArea>
    </format>
    <format dxfId="1195">
      <pivotArea dataOnly="0" labelOnly="1" fieldPosition="0">
        <references count="4">
          <reference field="4" count="1" selected="0">
            <x v="1"/>
          </reference>
          <reference field="6" count="1" selected="0">
            <x v="4"/>
          </reference>
          <reference field="7" count="1" selected="0">
            <x v="8"/>
          </reference>
          <reference field="8" count="3">
            <x v="33"/>
            <x v="34"/>
            <x v="39"/>
          </reference>
        </references>
      </pivotArea>
    </format>
    <format dxfId="1194">
      <pivotArea dataOnly="0" labelOnly="1" fieldPosition="0">
        <references count="4">
          <reference field="4" count="1" selected="0">
            <x v="2"/>
          </reference>
          <reference field="6" count="1" selected="0">
            <x v="2"/>
          </reference>
          <reference field="7" count="1" selected="0">
            <x v="29"/>
          </reference>
          <reference field="8" count="6">
            <x v="145"/>
            <x v="146"/>
            <x v="147"/>
            <x v="148"/>
            <x v="149"/>
            <x v="150"/>
          </reference>
        </references>
      </pivotArea>
    </format>
    <format dxfId="1193">
      <pivotArea dataOnly="0" labelOnly="1" fieldPosition="0">
        <references count="4">
          <reference field="4" count="1" selected="0">
            <x v="2"/>
          </reference>
          <reference field="6" count="1" selected="0">
            <x v="2"/>
          </reference>
          <reference field="7" count="1" selected="0">
            <x v="30"/>
          </reference>
          <reference field="8" count="2">
            <x v="152"/>
            <x v="153"/>
          </reference>
        </references>
      </pivotArea>
    </format>
    <format dxfId="1192">
      <pivotArea dataOnly="0" labelOnly="1" fieldPosition="0">
        <references count="4">
          <reference field="4" count="1" selected="0">
            <x v="2"/>
          </reference>
          <reference field="6" count="1" selected="0">
            <x v="3"/>
          </reference>
          <reference field="7" count="1" selected="0">
            <x v="5"/>
          </reference>
          <reference field="8" count="1">
            <x v="24"/>
          </reference>
        </references>
      </pivotArea>
    </format>
    <format dxfId="1191">
      <pivotArea dataOnly="0" labelOnly="1" fieldPosition="0">
        <references count="4">
          <reference field="4" count="1" selected="0">
            <x v="2"/>
          </reference>
          <reference field="6" count="1" selected="0">
            <x v="3"/>
          </reference>
          <reference field="7" count="1" selected="0">
            <x v="7"/>
          </reference>
          <reference field="8" count="2">
            <x v="31"/>
            <x v="32"/>
          </reference>
        </references>
      </pivotArea>
    </format>
    <format dxfId="1190">
      <pivotArea dataOnly="0" labelOnly="1" fieldPosition="0">
        <references count="4">
          <reference field="4" count="1" selected="0">
            <x v="2"/>
          </reference>
          <reference field="6" count="1" selected="0">
            <x v="4"/>
          </reference>
          <reference field="7" count="1" selected="0">
            <x v="8"/>
          </reference>
          <reference field="8" count="2">
            <x v="36"/>
            <x v="39"/>
          </reference>
        </references>
      </pivotArea>
    </format>
    <format dxfId="1189">
      <pivotArea dataOnly="0" labelOnly="1" fieldPosition="0">
        <references count="4">
          <reference field="4" count="1" selected="0">
            <x v="3"/>
          </reference>
          <reference field="6" count="1" selected="0">
            <x v="3"/>
          </reference>
          <reference field="7" count="1" selected="0">
            <x v="6"/>
          </reference>
          <reference field="8" count="1">
            <x v="29"/>
          </reference>
        </references>
      </pivotArea>
    </format>
    <format dxfId="1188">
      <pivotArea dataOnly="0" labelOnly="1" fieldPosition="0">
        <references count="4">
          <reference field="4" count="1" selected="0">
            <x v="4"/>
          </reference>
          <reference field="6" count="1" selected="0">
            <x v="0"/>
          </reference>
          <reference field="7" count="1" selected="0">
            <x v="21"/>
          </reference>
          <reference field="8" count="5">
            <x v="87"/>
            <x v="88"/>
            <x v="89"/>
            <x v="90"/>
            <x v="91"/>
          </reference>
        </references>
      </pivotArea>
    </format>
    <format dxfId="1187">
      <pivotArea dataOnly="0" labelOnly="1" fieldPosition="0">
        <references count="4">
          <reference field="4" count="1" selected="0">
            <x v="4"/>
          </reference>
          <reference field="6" count="1" selected="0">
            <x v="1"/>
          </reference>
          <reference field="7" count="1" selected="0">
            <x v="24"/>
          </reference>
          <reference field="8" count="1">
            <x v="114"/>
          </reference>
        </references>
      </pivotArea>
    </format>
    <format dxfId="1186">
      <pivotArea dataOnly="0" labelOnly="1" fieldPosition="0">
        <references count="4">
          <reference field="4" count="1" selected="0">
            <x v="4"/>
          </reference>
          <reference field="6" count="1" selected="0">
            <x v="2"/>
          </reference>
          <reference field="7" count="1" selected="0">
            <x v="29"/>
          </reference>
          <reference field="8" count="3">
            <x v="142"/>
            <x v="143"/>
            <x v="151"/>
          </reference>
        </references>
      </pivotArea>
    </format>
    <format dxfId="1185">
      <pivotArea dataOnly="0" labelOnly="1" fieldPosition="0">
        <references count="4">
          <reference field="4" count="1" selected="0">
            <x v="4"/>
          </reference>
          <reference field="6" count="1" selected="0">
            <x v="2"/>
          </reference>
          <reference field="7" count="1" selected="0">
            <x v="31"/>
          </reference>
          <reference field="8" count="3">
            <x v="155"/>
            <x v="156"/>
            <x v="157"/>
          </reference>
        </references>
      </pivotArea>
    </format>
    <format dxfId="1184">
      <pivotArea dataOnly="0" labelOnly="1" fieldPosition="0">
        <references count="4">
          <reference field="4" count="1" selected="0">
            <x v="4"/>
          </reference>
          <reference field="6" count="1" selected="0">
            <x v="3"/>
          </reference>
          <reference field="7" count="1" selected="0">
            <x v="0"/>
          </reference>
          <reference field="8" count="2">
            <x v="0"/>
            <x v="1"/>
          </reference>
        </references>
      </pivotArea>
    </format>
    <format dxfId="1183">
      <pivotArea dataOnly="0" labelOnly="1" fieldPosition="0">
        <references count="4">
          <reference field="4" count="1" selected="0">
            <x v="4"/>
          </reference>
          <reference field="6" count="1" selected="0">
            <x v="3"/>
          </reference>
          <reference field="7" count="1" selected="0">
            <x v="1"/>
          </reference>
          <reference field="8" count="4">
            <x v="2"/>
            <x v="3"/>
            <x v="4"/>
            <x v="5"/>
          </reference>
        </references>
      </pivotArea>
    </format>
    <format dxfId="1182">
      <pivotArea dataOnly="0" labelOnly="1" fieldPosition="0">
        <references count="4">
          <reference field="4" count="1" selected="0">
            <x v="5"/>
          </reference>
          <reference field="6" count="1" selected="0">
            <x v="0"/>
          </reference>
          <reference field="7" count="1" selected="0">
            <x v="18"/>
          </reference>
          <reference field="8" count="3">
            <x v="73"/>
            <x v="74"/>
            <x v="77"/>
          </reference>
        </references>
      </pivotArea>
    </format>
    <format dxfId="1181">
      <pivotArea dataOnly="0" labelOnly="1" fieldPosition="0">
        <references count="4">
          <reference field="4" count="1" selected="0">
            <x v="5"/>
          </reference>
          <reference field="6" count="1" selected="0">
            <x v="0"/>
          </reference>
          <reference field="7" count="1" selected="0">
            <x v="22"/>
          </reference>
          <reference field="8" count="1">
            <x v="94"/>
          </reference>
        </references>
      </pivotArea>
    </format>
    <format dxfId="1180">
      <pivotArea dataOnly="0" labelOnly="1" fieldPosition="0">
        <references count="4">
          <reference field="4" count="1" selected="0">
            <x v="5"/>
          </reference>
          <reference field="6" count="1" selected="0">
            <x v="4"/>
          </reference>
          <reference field="7" count="1" selected="0">
            <x v="8"/>
          </reference>
          <reference field="8" count="1">
            <x v="37"/>
          </reference>
        </references>
      </pivotArea>
    </format>
    <format dxfId="1179">
      <pivotArea dataOnly="0" labelOnly="1" fieldPosition="0">
        <references count="4">
          <reference field="4" count="1" selected="0">
            <x v="6"/>
          </reference>
          <reference field="6" count="1" selected="0">
            <x v="1"/>
          </reference>
          <reference field="7" count="1" selected="0">
            <x v="24"/>
          </reference>
          <reference field="8" count="8">
            <x v="105"/>
            <x v="107"/>
            <x v="108"/>
            <x v="109"/>
            <x v="110"/>
            <x v="111"/>
            <x v="112"/>
            <x v="113"/>
          </reference>
        </references>
      </pivotArea>
    </format>
    <format dxfId="1178">
      <pivotArea dataOnly="0" labelOnly="1" fieldPosition="0">
        <references count="4">
          <reference field="4" count="1" selected="0">
            <x v="7"/>
          </reference>
          <reference field="6" count="1" selected="0">
            <x v="0"/>
          </reference>
          <reference field="7" count="1" selected="0">
            <x v="16"/>
          </reference>
          <reference field="8" count="1">
            <x v="64"/>
          </reference>
        </references>
      </pivotArea>
    </format>
    <format dxfId="1177">
      <pivotArea dataOnly="0" labelOnly="1" fieldPosition="0">
        <references count="4">
          <reference field="4" count="1" selected="0">
            <x v="7"/>
          </reference>
          <reference field="6" count="1" selected="0">
            <x v="2"/>
          </reference>
          <reference field="7" count="1" selected="0">
            <x v="29"/>
          </reference>
          <reference field="8" count="4">
            <x v="140"/>
            <x v="141"/>
            <x v="144"/>
            <x v="145"/>
          </reference>
        </references>
      </pivotArea>
    </format>
    <format dxfId="1176">
      <pivotArea dataOnly="0" labelOnly="1" fieldPosition="0">
        <references count="4">
          <reference field="4" count="1" selected="0">
            <x v="7"/>
          </reference>
          <reference field="6" count="1" selected="0">
            <x v="2"/>
          </reference>
          <reference field="7" count="1" selected="0">
            <x v="30"/>
          </reference>
          <reference field="8" count="1">
            <x v="154"/>
          </reference>
        </references>
      </pivotArea>
    </format>
    <format dxfId="1175">
      <pivotArea dataOnly="0" labelOnly="1" fieldPosition="0">
        <references count="4">
          <reference field="4" count="1" selected="0">
            <x v="7"/>
          </reference>
          <reference field="6" count="1" selected="0">
            <x v="3"/>
          </reference>
          <reference field="7" count="1" selected="0">
            <x v="6"/>
          </reference>
          <reference field="8" count="1">
            <x v="28"/>
          </reference>
        </references>
      </pivotArea>
    </format>
    <format dxfId="1174">
      <pivotArea dataOnly="0" labelOnly="1" fieldPosition="0">
        <references count="4">
          <reference field="4" count="1" selected="0">
            <x v="7"/>
          </reference>
          <reference field="6" count="1" selected="0">
            <x v="4"/>
          </reference>
          <reference field="7" count="1" selected="0">
            <x v="8"/>
          </reference>
          <reference field="8" count="2">
            <x v="35"/>
            <x v="36"/>
          </reference>
        </references>
      </pivotArea>
    </format>
    <format dxfId="1173">
      <pivotArea dataOnly="0" labelOnly="1" fieldPosition="0">
        <references count="4">
          <reference field="4" count="1" selected="0">
            <x v="7"/>
          </reference>
          <reference field="6" count="1" selected="0">
            <x v="4"/>
          </reference>
          <reference field="7" count="1" selected="0">
            <x v="9"/>
          </reference>
          <reference field="8" count="4">
            <x v="40"/>
            <x v="41"/>
            <x v="42"/>
            <x v="43"/>
          </reference>
        </references>
      </pivotArea>
    </format>
    <format dxfId="1172">
      <pivotArea dataOnly="0" labelOnly="1" fieldPosition="0">
        <references count="4">
          <reference field="4" count="1" selected="0">
            <x v="7"/>
          </reference>
          <reference field="6" count="1" selected="0">
            <x v="4"/>
          </reference>
          <reference field="7" count="1" selected="0">
            <x v="10"/>
          </reference>
          <reference field="8" count="4">
            <x v="44"/>
            <x v="45"/>
            <x v="46"/>
            <x v="47"/>
          </reference>
        </references>
      </pivotArea>
    </format>
    <format dxfId="1171">
      <pivotArea dataOnly="0" labelOnly="1" fieldPosition="0">
        <references count="4">
          <reference field="4" count="1" selected="0">
            <x v="7"/>
          </reference>
          <reference field="6" count="1" selected="0">
            <x v="4"/>
          </reference>
          <reference field="7" count="1" selected="0">
            <x v="11"/>
          </reference>
          <reference field="8" count="2">
            <x v="48"/>
            <x v="49"/>
          </reference>
        </references>
      </pivotArea>
    </format>
    <format dxfId="1170">
      <pivotArea dataOnly="0" labelOnly="1" fieldPosition="0">
        <references count="4">
          <reference field="4" count="1" selected="0">
            <x v="7"/>
          </reference>
          <reference field="6" count="1" selected="0">
            <x v="4"/>
          </reference>
          <reference field="7" count="1" selected="0">
            <x v="12"/>
          </reference>
          <reference field="8" count="1">
            <x v="50"/>
          </reference>
        </references>
      </pivotArea>
    </format>
    <format dxfId="1169">
      <pivotArea dataOnly="0" labelOnly="1" fieldPosition="0">
        <references count="4">
          <reference field="4" count="1" selected="0">
            <x v="7"/>
          </reference>
          <reference field="6" count="1" selected="0">
            <x v="4"/>
          </reference>
          <reference field="7" count="1" selected="0">
            <x v="13"/>
          </reference>
          <reference field="8" count="3">
            <x v="51"/>
            <x v="52"/>
            <x v="53"/>
          </reference>
        </references>
      </pivotArea>
    </format>
    <format dxfId="1168">
      <pivotArea dataOnly="0" labelOnly="1" fieldPosition="0">
        <references count="4">
          <reference field="4" count="1" selected="0">
            <x v="7"/>
          </reference>
          <reference field="6" count="1" selected="0">
            <x v="4"/>
          </reference>
          <reference field="7" count="1" selected="0">
            <x v="14"/>
          </reference>
          <reference field="8" count="2">
            <x v="54"/>
            <x v="55"/>
          </reference>
        </references>
      </pivotArea>
    </format>
    <format dxfId="1167">
      <pivotArea dataOnly="0" labelOnly="1" fieldPosition="0">
        <references count="4">
          <reference field="4" count="1" selected="0">
            <x v="7"/>
          </reference>
          <reference field="6" count="1" selected="0">
            <x v="4"/>
          </reference>
          <reference field="7" count="1" selected="0">
            <x v="15"/>
          </reference>
          <reference field="8" count="1">
            <x v="56"/>
          </reference>
        </references>
      </pivotArea>
    </format>
    <format dxfId="1166">
      <pivotArea dataOnly="0" labelOnly="1" fieldPosition="0">
        <references count="4">
          <reference field="4" count="1" selected="0">
            <x v="8"/>
          </reference>
          <reference field="6" count="1" selected="0">
            <x v="0"/>
          </reference>
          <reference field="7" count="1" selected="0">
            <x v="18"/>
          </reference>
          <reference field="8" count="1">
            <x v="77"/>
          </reference>
        </references>
      </pivotArea>
    </format>
    <format dxfId="1165">
      <pivotArea dataOnly="0" labelOnly="1" fieldPosition="0">
        <references count="4">
          <reference field="4" count="1" selected="0">
            <x v="8"/>
          </reference>
          <reference field="6" count="1" selected="0">
            <x v="0"/>
          </reference>
          <reference field="7" count="1" selected="0">
            <x v="22"/>
          </reference>
          <reference field="8" count="3">
            <x v="92"/>
            <x v="93"/>
            <x v="94"/>
          </reference>
        </references>
      </pivotArea>
    </format>
    <format dxfId="1164">
      <pivotArea dataOnly="0" labelOnly="1" fieldPosition="0">
        <references count="4">
          <reference field="4" count="1" selected="0">
            <x v="8"/>
          </reference>
          <reference field="6" count="1" selected="0">
            <x v="1"/>
          </reference>
          <reference field="7" count="1" selected="0">
            <x v="28"/>
          </reference>
          <reference field="8" count="2">
            <x v="138"/>
            <x v="139"/>
          </reference>
        </references>
      </pivotArea>
    </format>
    <format dxfId="1163">
      <pivotArea dataOnly="0" labelOnly="1" fieldPosition="0">
        <references count="4">
          <reference field="4" count="1" selected="0">
            <x v="8"/>
          </reference>
          <reference field="6" count="1" selected="0">
            <x v="2"/>
          </reference>
          <reference field="7" count="1" selected="0">
            <x v="32"/>
          </reference>
          <reference field="8" count="2">
            <x v="158"/>
            <x v="159"/>
          </reference>
        </references>
      </pivotArea>
    </format>
    <format dxfId="1162">
      <pivotArea dataOnly="0" labelOnly="1" fieldPosition="0">
        <references count="4">
          <reference field="4" count="1" selected="0">
            <x v="8"/>
          </reference>
          <reference field="6" count="1" selected="0">
            <x v="3"/>
          </reference>
          <reference field="7" count="1" selected="0">
            <x v="6"/>
          </reference>
          <reference field="8" count="2">
            <x v="29"/>
            <x v="30"/>
          </reference>
        </references>
      </pivotArea>
    </format>
    <format dxfId="1161">
      <pivotArea dataOnly="0" labelOnly="1" fieldPosition="0">
        <references count="4">
          <reference field="4" count="1" selected="0">
            <x v="9"/>
          </reference>
          <reference field="6" count="1" selected="0">
            <x v="1"/>
          </reference>
          <reference field="7" count="1" selected="0">
            <x v="25"/>
          </reference>
          <reference field="8" count="10">
            <x v="115"/>
            <x v="116"/>
            <x v="117"/>
            <x v="118"/>
            <x v="119"/>
            <x v="120"/>
            <x v="121"/>
            <x v="122"/>
            <x v="123"/>
            <x v="124"/>
          </reference>
        </references>
      </pivotArea>
    </format>
    <format dxfId="1160">
      <pivotArea dataOnly="0" labelOnly="1" fieldPosition="0">
        <references count="4">
          <reference field="4" count="1" selected="0">
            <x v="10"/>
          </reference>
          <reference field="6" count="1" selected="0">
            <x v="3"/>
          </reference>
          <reference field="7" count="1" selected="0">
            <x v="6"/>
          </reference>
          <reference field="8" count="1">
            <x v="29"/>
          </reference>
        </references>
      </pivotArea>
    </format>
    <format dxfId="1159">
      <pivotArea dataOnly="0" labelOnly="1" fieldPosition="0">
        <references count="4">
          <reference field="4" count="1" selected="0">
            <x v="11"/>
          </reference>
          <reference field="6" count="1" selected="0">
            <x v="0"/>
          </reference>
          <reference field="7" count="1" selected="0">
            <x v="17"/>
          </reference>
          <reference field="8" count="3">
            <x v="70"/>
            <x v="71"/>
            <x v="72"/>
          </reference>
        </references>
      </pivotArea>
    </format>
    <format dxfId="1158">
      <pivotArea dataOnly="0" labelOnly="1" fieldPosition="0">
        <references count="4">
          <reference field="4" count="1" selected="0">
            <x v="12"/>
          </reference>
          <reference field="6" count="1" selected="0">
            <x v="0"/>
          </reference>
          <reference field="7" count="1" selected="0">
            <x v="18"/>
          </reference>
          <reference field="8" count="3">
            <x v="74"/>
            <x v="75"/>
            <x v="76"/>
          </reference>
        </references>
      </pivotArea>
    </format>
    <format dxfId="1157">
      <pivotArea dataOnly="0" labelOnly="1" fieldPosition="0">
        <references count="4">
          <reference field="4" count="1" selected="0">
            <x v="13"/>
          </reference>
          <reference field="6" count="1" selected="0">
            <x v="3"/>
          </reference>
          <reference field="7" count="1" selected="0">
            <x v="1"/>
          </reference>
          <reference field="8" count="1">
            <x v="6"/>
          </reference>
        </references>
      </pivotArea>
    </format>
    <format dxfId="1156">
      <pivotArea dataOnly="0" labelOnly="1" fieldPosition="0">
        <references count="4">
          <reference field="4" count="1" selected="0">
            <x v="13"/>
          </reference>
          <reference field="6" count="1" selected="0">
            <x v="3"/>
          </reference>
          <reference field="7" count="1" selected="0">
            <x v="5"/>
          </reference>
          <reference field="8" count="6">
            <x v="22"/>
            <x v="23"/>
            <x v="24"/>
            <x v="25"/>
            <x v="26"/>
            <x v="27"/>
          </reference>
        </references>
      </pivotArea>
    </format>
    <format dxfId="1155">
      <pivotArea dataOnly="0" labelOnly="1" fieldPosition="0">
        <references count="4">
          <reference field="4" count="1" selected="0">
            <x v="14"/>
          </reference>
          <reference field="6" count="1" selected="0">
            <x v="1"/>
          </reference>
          <reference field="7" count="1" selected="0">
            <x v="26"/>
          </reference>
          <reference field="8" count="7">
            <x v="125"/>
            <x v="126"/>
            <x v="127"/>
            <x v="128"/>
            <x v="129"/>
            <x v="130"/>
            <x v="131"/>
          </reference>
        </references>
      </pivotArea>
    </format>
    <format dxfId="1154">
      <pivotArea dataOnly="0" labelOnly="1" fieldPosition="0">
        <references count="4">
          <reference field="4" count="1" selected="0">
            <x v="15"/>
          </reference>
          <reference field="6" count="1" selected="0">
            <x v="0"/>
          </reference>
          <reference field="7" count="1" selected="0">
            <x v="20"/>
          </reference>
          <reference field="8" count="5">
            <x v="82"/>
            <x v="83"/>
            <x v="84"/>
            <x v="85"/>
            <x v="86"/>
          </reference>
        </references>
      </pivotArea>
    </format>
    <format dxfId="1153">
      <pivotArea dataOnly="0" labelOnly="1" fieldPosition="0">
        <references count="4">
          <reference field="4" count="1" selected="0">
            <x v="16"/>
          </reference>
          <reference field="6" count="1" selected="0">
            <x v="1"/>
          </reference>
          <reference field="7" count="1" selected="0">
            <x v="27"/>
          </reference>
          <reference field="8" count="6">
            <x v="132"/>
            <x v="133"/>
            <x v="134"/>
            <x v="135"/>
            <x v="136"/>
            <x v="137"/>
          </reference>
        </references>
      </pivotArea>
    </format>
    <format dxfId="1152">
      <pivotArea dataOnly="0" labelOnly="1" fieldPosition="0">
        <references count="4">
          <reference field="4" count="1" selected="0">
            <x v="16"/>
          </reference>
          <reference field="6" count="1" selected="0">
            <x v="3"/>
          </reference>
          <reference field="7" count="1" selected="0">
            <x v="1"/>
          </reference>
          <reference field="8" count="1">
            <x v="6"/>
          </reference>
        </references>
      </pivotArea>
    </format>
    <format dxfId="1151">
      <pivotArea dataOnly="0" labelOnly="1" fieldPosition="0">
        <references count="4">
          <reference field="4" count="1" selected="0">
            <x v="16"/>
          </reference>
          <reference field="6" count="1" selected="0">
            <x v="4"/>
          </reference>
          <reference field="7" count="1" selected="0">
            <x v="8"/>
          </reference>
          <reference field="8" count="1">
            <x v="38"/>
          </reference>
        </references>
      </pivotArea>
    </format>
    <format dxfId="1150">
      <pivotArea dataOnly="0" labelOnly="1" fieldPosition="0">
        <references count="4">
          <reference field="4" count="1" selected="0">
            <x v="16"/>
          </reference>
          <reference field="6" count="1" selected="0">
            <x v="4"/>
          </reference>
          <reference field="7" count="1" selected="0">
            <x v="11"/>
          </reference>
          <reference field="8" count="1">
            <x v="48"/>
          </reference>
        </references>
      </pivotArea>
    </format>
    <format dxfId="1149">
      <pivotArea dataOnly="0" labelOnly="1" fieldPosition="0">
        <references count="4">
          <reference field="4" count="1" selected="0">
            <x v="17"/>
          </reference>
          <reference field="6" count="1" selected="0">
            <x v="0"/>
          </reference>
          <reference field="7" count="1" selected="0">
            <x v="16"/>
          </reference>
          <reference field="8" count="7">
            <x v="57"/>
            <x v="58"/>
            <x v="59"/>
            <x v="60"/>
            <x v="61"/>
            <x v="62"/>
            <x v="63"/>
          </reference>
        </references>
      </pivotArea>
    </format>
    <format dxfId="1148">
      <pivotArea dataOnly="0" labelOnly="1" fieldPosition="0">
        <references count="4">
          <reference field="4" count="1" selected="0">
            <x v="17"/>
          </reference>
          <reference field="6" count="1" selected="0">
            <x v="0"/>
          </reference>
          <reference field="7" count="1" selected="0">
            <x v="22"/>
          </reference>
          <reference field="8" count="1">
            <x v="94"/>
          </reference>
        </references>
      </pivotArea>
    </format>
    <format dxfId="1147">
      <pivotArea dataOnly="0" labelOnly="1" fieldPosition="0">
        <references count="4">
          <reference field="4" count="1" selected="0">
            <x v="18"/>
          </reference>
          <reference field="6" count="1" selected="0">
            <x v="3"/>
          </reference>
          <reference field="7" count="1" selected="0">
            <x v="2"/>
          </reference>
          <reference field="8" count="4">
            <x v="8"/>
            <x v="9"/>
            <x v="16"/>
            <x v="17"/>
          </reference>
        </references>
      </pivotArea>
    </format>
    <format dxfId="1146">
      <pivotArea dataOnly="0" labelOnly="1" fieldPosition="0">
        <references count="4">
          <reference field="4" count="1" selected="0">
            <x v="19"/>
          </reference>
          <reference field="6" count="1" selected="0">
            <x v="3"/>
          </reference>
          <reference field="7" count="1" selected="0">
            <x v="6"/>
          </reference>
          <reference field="8" count="1">
            <x v="29"/>
          </reference>
        </references>
      </pivotArea>
    </format>
    <format dxfId="1145">
      <pivotArea dataOnly="0" labelOnly="1" fieldPosition="0">
        <references count="4">
          <reference field="4" count="1" selected="0">
            <x v="20"/>
          </reference>
          <reference field="6" count="1" selected="0">
            <x v="1"/>
          </reference>
          <reference field="7" count="1" selected="0">
            <x v="24"/>
          </reference>
          <reference field="8" count="1">
            <x v="106"/>
          </reference>
        </references>
      </pivotArea>
    </format>
    <format dxfId="1144">
      <pivotArea dataOnly="0" labelOnly="1" fieldPosition="0">
        <references count="5">
          <reference field="4" count="1" selected="0">
            <x v="0"/>
          </reference>
          <reference field="6" count="1" selected="0">
            <x v="0"/>
          </reference>
          <reference field="7" count="1" selected="0">
            <x v="17"/>
          </reference>
          <reference field="8" count="1" selected="0">
            <x v="65"/>
          </reference>
          <reference field="15" count="1">
            <x v="108"/>
          </reference>
        </references>
      </pivotArea>
    </format>
    <format dxfId="1143">
      <pivotArea dataOnly="0" labelOnly="1" fieldPosition="0">
        <references count="5">
          <reference field="4" count="1" selected="0">
            <x v="0"/>
          </reference>
          <reference field="6" count="1" selected="0">
            <x v="0"/>
          </reference>
          <reference field="7" count="1" selected="0">
            <x v="17"/>
          </reference>
          <reference field="8" count="1" selected="0">
            <x v="66"/>
          </reference>
          <reference field="15" count="2">
            <x v="365"/>
            <x v="366"/>
          </reference>
        </references>
      </pivotArea>
    </format>
    <format dxfId="1142">
      <pivotArea dataOnly="0" labelOnly="1" fieldPosition="0">
        <references count="5">
          <reference field="4" count="1" selected="0">
            <x v="0"/>
          </reference>
          <reference field="6" count="1" selected="0">
            <x v="0"/>
          </reference>
          <reference field="7" count="1" selected="0">
            <x v="17"/>
          </reference>
          <reference field="8" count="1" selected="0">
            <x v="67"/>
          </reference>
          <reference field="15" count="2">
            <x v="364"/>
            <x v="370"/>
          </reference>
        </references>
      </pivotArea>
    </format>
    <format dxfId="1141">
      <pivotArea dataOnly="0" labelOnly="1" fieldPosition="0">
        <references count="5">
          <reference field="4" count="1" selected="0">
            <x v="0"/>
          </reference>
          <reference field="6" count="1" selected="0">
            <x v="0"/>
          </reference>
          <reference field="7" count="1" selected="0">
            <x v="17"/>
          </reference>
          <reference field="8" count="1" selected="0">
            <x v="68"/>
          </reference>
          <reference field="15" count="1">
            <x v="79"/>
          </reference>
        </references>
      </pivotArea>
    </format>
    <format dxfId="1140">
      <pivotArea dataOnly="0" labelOnly="1" fieldPosition="0">
        <references count="5">
          <reference field="4" count="1" selected="0">
            <x v="0"/>
          </reference>
          <reference field="6" count="1" selected="0">
            <x v="0"/>
          </reference>
          <reference field="7" count="1" selected="0">
            <x v="17"/>
          </reference>
          <reference field="8" count="1" selected="0">
            <x v="69"/>
          </reference>
          <reference field="15" count="1">
            <x v="42"/>
          </reference>
        </references>
      </pivotArea>
    </format>
    <format dxfId="1139">
      <pivotArea dataOnly="0" labelOnly="1" fieldPosition="0">
        <references count="5">
          <reference field="4" count="1" selected="0">
            <x v="0"/>
          </reference>
          <reference field="6" count="1" selected="0">
            <x v="0"/>
          </reference>
          <reference field="7" count="1" selected="0">
            <x v="19"/>
          </reference>
          <reference field="8" count="1" selected="0">
            <x v="78"/>
          </reference>
          <reference field="15" count="1">
            <x v="236"/>
          </reference>
        </references>
      </pivotArea>
    </format>
    <format dxfId="1138">
      <pivotArea dataOnly="0" labelOnly="1" fieldPosition="0">
        <references count="5">
          <reference field="4" count="1" selected="0">
            <x v="0"/>
          </reference>
          <reference field="6" count="1" selected="0">
            <x v="0"/>
          </reference>
          <reference field="7" count="1" selected="0">
            <x v="19"/>
          </reference>
          <reference field="8" count="1" selected="0">
            <x v="79"/>
          </reference>
          <reference field="15" count="1">
            <x v="12"/>
          </reference>
        </references>
      </pivotArea>
    </format>
    <format dxfId="1137">
      <pivotArea dataOnly="0" labelOnly="1" fieldPosition="0">
        <references count="5">
          <reference field="4" count="1" selected="0">
            <x v="0"/>
          </reference>
          <reference field="6" count="1" selected="0">
            <x v="0"/>
          </reference>
          <reference field="7" count="1" selected="0">
            <x v="19"/>
          </reference>
          <reference field="8" count="1" selected="0">
            <x v="80"/>
          </reference>
          <reference field="15" count="2">
            <x v="10"/>
            <x v="11"/>
          </reference>
        </references>
      </pivotArea>
    </format>
    <format dxfId="1136">
      <pivotArea dataOnly="0" labelOnly="1" fieldPosition="0">
        <references count="5">
          <reference field="4" count="1" selected="0">
            <x v="0"/>
          </reference>
          <reference field="6" count="1" selected="0">
            <x v="1"/>
          </reference>
          <reference field="7" count="1" selected="0">
            <x v="23"/>
          </reference>
          <reference field="8" count="1" selected="0">
            <x v="95"/>
          </reference>
          <reference field="15" count="1">
            <x v="250"/>
          </reference>
        </references>
      </pivotArea>
    </format>
    <format dxfId="1135">
      <pivotArea dataOnly="0" labelOnly="1" fieldPosition="0">
        <references count="5">
          <reference field="4" count="1" selected="0">
            <x v="0"/>
          </reference>
          <reference field="6" count="1" selected="0">
            <x v="1"/>
          </reference>
          <reference field="7" count="1" selected="0">
            <x v="23"/>
          </reference>
          <reference field="8" count="1" selected="0">
            <x v="96"/>
          </reference>
          <reference field="15" count="2">
            <x v="251"/>
            <x v="358"/>
          </reference>
        </references>
      </pivotArea>
    </format>
    <format dxfId="1134">
      <pivotArea dataOnly="0" labelOnly="1" fieldPosition="0">
        <references count="5">
          <reference field="4" count="1" selected="0">
            <x v="0"/>
          </reference>
          <reference field="6" count="1" selected="0">
            <x v="1"/>
          </reference>
          <reference field="7" count="1" selected="0">
            <x v="23"/>
          </reference>
          <reference field="8" count="1" selected="0">
            <x v="97"/>
          </reference>
          <reference field="15" count="1">
            <x v="257"/>
          </reference>
        </references>
      </pivotArea>
    </format>
    <format dxfId="1133">
      <pivotArea dataOnly="0" labelOnly="1" fieldPosition="0">
        <references count="5">
          <reference field="4" count="1" selected="0">
            <x v="0"/>
          </reference>
          <reference field="6" count="1" selected="0">
            <x v="1"/>
          </reference>
          <reference field="7" count="1" selected="0">
            <x v="23"/>
          </reference>
          <reference field="8" count="1" selected="0">
            <x v="98"/>
          </reference>
          <reference field="15" count="1">
            <x v="43"/>
          </reference>
        </references>
      </pivotArea>
    </format>
    <format dxfId="1132">
      <pivotArea dataOnly="0" labelOnly="1" fieldPosition="0">
        <references count="5">
          <reference field="4" count="1" selected="0">
            <x v="0"/>
          </reference>
          <reference field="6" count="1" selected="0">
            <x v="1"/>
          </reference>
          <reference field="7" count="1" selected="0">
            <x v="23"/>
          </reference>
          <reference field="8" count="1" selected="0">
            <x v="99"/>
          </reference>
          <reference field="15" count="1">
            <x v="254"/>
          </reference>
        </references>
      </pivotArea>
    </format>
    <format dxfId="1131">
      <pivotArea dataOnly="0" labelOnly="1" fieldPosition="0">
        <references count="5">
          <reference field="4" count="1" selected="0">
            <x v="0"/>
          </reference>
          <reference field="6" count="1" selected="0">
            <x v="1"/>
          </reference>
          <reference field="7" count="1" selected="0">
            <x v="23"/>
          </reference>
          <reference field="8" count="1" selected="0">
            <x v="100"/>
          </reference>
          <reference field="15" count="1">
            <x v="253"/>
          </reference>
        </references>
      </pivotArea>
    </format>
    <format dxfId="1130">
      <pivotArea dataOnly="0" labelOnly="1" fieldPosition="0">
        <references count="5">
          <reference field="4" count="1" selected="0">
            <x v="0"/>
          </reference>
          <reference field="6" count="1" selected="0">
            <x v="1"/>
          </reference>
          <reference field="7" count="1" selected="0">
            <x v="23"/>
          </reference>
          <reference field="8" count="1" selected="0">
            <x v="101"/>
          </reference>
          <reference field="15" count="1">
            <x v="255"/>
          </reference>
        </references>
      </pivotArea>
    </format>
    <format dxfId="1129">
      <pivotArea dataOnly="0" labelOnly="1" fieldPosition="0">
        <references count="5">
          <reference field="4" count="1" selected="0">
            <x v="0"/>
          </reference>
          <reference field="6" count="1" selected="0">
            <x v="1"/>
          </reference>
          <reference field="7" count="1" selected="0">
            <x v="23"/>
          </reference>
          <reference field="8" count="1" selected="0">
            <x v="102"/>
          </reference>
          <reference field="15" count="1">
            <x v="40"/>
          </reference>
        </references>
      </pivotArea>
    </format>
    <format dxfId="1128">
      <pivotArea dataOnly="0" labelOnly="1" fieldPosition="0">
        <references count="5">
          <reference field="4" count="1" selected="0">
            <x v="0"/>
          </reference>
          <reference field="6" count="1" selected="0">
            <x v="1"/>
          </reference>
          <reference field="7" count="1" selected="0">
            <x v="23"/>
          </reference>
          <reference field="8" count="1" selected="0">
            <x v="103"/>
          </reference>
          <reference field="15" count="1">
            <x v="252"/>
          </reference>
        </references>
      </pivotArea>
    </format>
    <format dxfId="1127">
      <pivotArea dataOnly="0" labelOnly="1" fieldPosition="0">
        <references count="5">
          <reference field="4" count="1" selected="0">
            <x v="0"/>
          </reference>
          <reference field="6" count="1" selected="0">
            <x v="1"/>
          </reference>
          <reference field="7" count="1" selected="0">
            <x v="23"/>
          </reference>
          <reference field="8" count="1" selected="0">
            <x v="104"/>
          </reference>
          <reference field="15" count="1">
            <x v="256"/>
          </reference>
        </references>
      </pivotArea>
    </format>
    <format dxfId="1126">
      <pivotArea dataOnly="0" labelOnly="1" fieldPosition="0">
        <references count="5">
          <reference field="4" count="1" selected="0">
            <x v="0"/>
          </reference>
          <reference field="6" count="1" selected="0">
            <x v="1"/>
          </reference>
          <reference field="7" count="1" selected="0">
            <x v="26"/>
          </reference>
          <reference field="8" count="1" selected="0">
            <x v="131"/>
          </reference>
          <reference field="15" count="1">
            <x v="13"/>
          </reference>
        </references>
      </pivotArea>
    </format>
    <format dxfId="1125">
      <pivotArea dataOnly="0" labelOnly="1" fieldPosition="0">
        <references count="5">
          <reference field="4" count="1" selected="0">
            <x v="1"/>
          </reference>
          <reference field="6" count="1" selected="0">
            <x v="0"/>
          </reference>
          <reference field="7" count="1" selected="0">
            <x v="19"/>
          </reference>
          <reference field="8" count="1" selected="0">
            <x v="81"/>
          </reference>
          <reference field="15" count="1">
            <x v="231"/>
          </reference>
        </references>
      </pivotArea>
    </format>
    <format dxfId="1124">
      <pivotArea dataOnly="0" labelOnly="1" fieldPosition="0">
        <references count="5">
          <reference field="4" count="1" selected="0">
            <x v="1"/>
          </reference>
          <reference field="6" count="1" selected="0">
            <x v="3"/>
          </reference>
          <reference field="7" count="1" selected="0">
            <x v="2"/>
          </reference>
          <reference field="8" count="1" selected="0">
            <x v="7"/>
          </reference>
          <reference field="15" count="5">
            <x v="117"/>
            <x v="124"/>
            <x v="131"/>
            <x v="380"/>
            <x v="400"/>
          </reference>
        </references>
      </pivotArea>
    </format>
    <format dxfId="1123">
      <pivotArea dataOnly="0" labelOnly="1" fieldPosition="0">
        <references count="5">
          <reference field="4" count="1" selected="0">
            <x v="1"/>
          </reference>
          <reference field="6" count="1" selected="0">
            <x v="3"/>
          </reference>
          <reference field="7" count="1" selected="0">
            <x v="2"/>
          </reference>
          <reference field="8" count="1" selected="0">
            <x v="10"/>
          </reference>
          <reference field="15" count="2">
            <x v="17"/>
            <x v="18"/>
          </reference>
        </references>
      </pivotArea>
    </format>
    <format dxfId="1122">
      <pivotArea dataOnly="0" labelOnly="1" fieldPosition="0">
        <references count="5">
          <reference field="4" count="1" selected="0">
            <x v="1"/>
          </reference>
          <reference field="6" count="1" selected="0">
            <x v="3"/>
          </reference>
          <reference field="7" count="1" selected="0">
            <x v="2"/>
          </reference>
          <reference field="8" count="1" selected="0">
            <x v="11"/>
          </reference>
          <reference field="15" count="2">
            <x v="7"/>
            <x v="8"/>
          </reference>
        </references>
      </pivotArea>
    </format>
    <format dxfId="1121">
      <pivotArea dataOnly="0" labelOnly="1" fieldPosition="0">
        <references count="5">
          <reference field="4" count="1" selected="0">
            <x v="1"/>
          </reference>
          <reference field="6" count="1" selected="0">
            <x v="3"/>
          </reference>
          <reference field="7" count="1" selected="0">
            <x v="2"/>
          </reference>
          <reference field="8" count="1" selected="0">
            <x v="12"/>
          </reference>
          <reference field="15" count="1">
            <x v="107"/>
          </reference>
        </references>
      </pivotArea>
    </format>
    <format dxfId="1120">
      <pivotArea dataOnly="0" labelOnly="1" fieldPosition="0">
        <references count="5">
          <reference field="4" count="1" selected="0">
            <x v="1"/>
          </reference>
          <reference field="6" count="1" selected="0">
            <x v="3"/>
          </reference>
          <reference field="7" count="1" selected="0">
            <x v="2"/>
          </reference>
          <reference field="8" count="1" selected="0">
            <x v="13"/>
          </reference>
          <reference field="15" count="1">
            <x v="6"/>
          </reference>
        </references>
      </pivotArea>
    </format>
    <format dxfId="1119">
      <pivotArea dataOnly="0" labelOnly="1" fieldPosition="0">
        <references count="5">
          <reference field="4" count="1" selected="0">
            <x v="1"/>
          </reference>
          <reference field="6" count="1" selected="0">
            <x v="3"/>
          </reference>
          <reference field="7" count="1" selected="0">
            <x v="2"/>
          </reference>
          <reference field="8" count="1" selected="0">
            <x v="14"/>
          </reference>
          <reference field="15" count="2">
            <x v="46"/>
            <x v="47"/>
          </reference>
        </references>
      </pivotArea>
    </format>
    <format dxfId="1118">
      <pivotArea dataOnly="0" labelOnly="1" fieldPosition="0">
        <references count="5">
          <reference field="4" count="1" selected="0">
            <x v="1"/>
          </reference>
          <reference field="6" count="1" selected="0">
            <x v="3"/>
          </reference>
          <reference field="7" count="1" selected="0">
            <x v="2"/>
          </reference>
          <reference field="8" count="1" selected="0">
            <x v="15"/>
          </reference>
          <reference field="15" count="1">
            <x v="372"/>
          </reference>
        </references>
      </pivotArea>
    </format>
    <format dxfId="1117">
      <pivotArea dataOnly="0" labelOnly="1" fieldPosition="0">
        <references count="5">
          <reference field="4" count="1" selected="0">
            <x v="1"/>
          </reference>
          <reference field="6" count="1" selected="0">
            <x v="3"/>
          </reference>
          <reference field="7" count="1" selected="0">
            <x v="3"/>
          </reference>
          <reference field="8" count="1" selected="0">
            <x v="18"/>
          </reference>
          <reference field="15" count="1">
            <x v="232"/>
          </reference>
        </references>
      </pivotArea>
    </format>
    <format dxfId="1116">
      <pivotArea dataOnly="0" labelOnly="1" fieldPosition="0">
        <references count="5">
          <reference field="4" count="1" selected="0">
            <x v="1"/>
          </reference>
          <reference field="6" count="1" selected="0">
            <x v="3"/>
          </reference>
          <reference field="7" count="1" selected="0">
            <x v="3"/>
          </reference>
          <reference field="8" count="1" selected="0">
            <x v="19"/>
          </reference>
          <reference field="15" count="1">
            <x v="9"/>
          </reference>
        </references>
      </pivotArea>
    </format>
    <format dxfId="1115">
      <pivotArea dataOnly="0" labelOnly="1" fieldPosition="0">
        <references count="5">
          <reference field="4" count="1" selected="0">
            <x v="1"/>
          </reference>
          <reference field="6" count="1" selected="0">
            <x v="3"/>
          </reference>
          <reference field="7" count="1" selected="0">
            <x v="4"/>
          </reference>
          <reference field="8" count="1" selected="0">
            <x v="20"/>
          </reference>
          <reference field="15" count="1">
            <x v="34"/>
          </reference>
        </references>
      </pivotArea>
    </format>
    <format dxfId="1114">
      <pivotArea dataOnly="0" labelOnly="1" fieldPosition="0">
        <references count="5">
          <reference field="4" count="1" selected="0">
            <x v="1"/>
          </reference>
          <reference field="6" count="1" selected="0">
            <x v="3"/>
          </reference>
          <reference field="7" count="1" selected="0">
            <x v="4"/>
          </reference>
          <reference field="8" count="1" selected="0">
            <x v="21"/>
          </reference>
          <reference field="15" count="1">
            <x v="98"/>
          </reference>
        </references>
      </pivotArea>
    </format>
    <format dxfId="1113">
      <pivotArea dataOnly="0" labelOnly="1" fieldPosition="0">
        <references count="5">
          <reference field="4" count="1" selected="0">
            <x v="1"/>
          </reference>
          <reference field="6" count="1" selected="0">
            <x v="4"/>
          </reference>
          <reference field="7" count="1" selected="0">
            <x v="8"/>
          </reference>
          <reference field="8" count="1" selected="0">
            <x v="33"/>
          </reference>
          <reference field="15" count="1">
            <x v="237"/>
          </reference>
        </references>
      </pivotArea>
    </format>
    <format dxfId="1112">
      <pivotArea dataOnly="0" labelOnly="1" fieldPosition="0">
        <references count="5">
          <reference field="4" count="1" selected="0">
            <x v="1"/>
          </reference>
          <reference field="6" count="1" selected="0">
            <x v="4"/>
          </reference>
          <reference field="7" count="1" selected="0">
            <x v="8"/>
          </reference>
          <reference field="8" count="1" selected="0">
            <x v="34"/>
          </reference>
          <reference field="15" count="1">
            <x v="373"/>
          </reference>
        </references>
      </pivotArea>
    </format>
    <format dxfId="1111">
      <pivotArea dataOnly="0" labelOnly="1" fieldPosition="0">
        <references count="5">
          <reference field="4" count="1" selected="0">
            <x v="1"/>
          </reference>
          <reference field="6" count="1" selected="0">
            <x v="4"/>
          </reference>
          <reference field="7" count="1" selected="0">
            <x v="8"/>
          </reference>
          <reference field="8" count="1" selected="0">
            <x v="39"/>
          </reference>
          <reference field="15" count="2">
            <x v="233"/>
            <x v="234"/>
          </reference>
        </references>
      </pivotArea>
    </format>
    <format dxfId="1110">
      <pivotArea dataOnly="0" labelOnly="1" fieldPosition="0">
        <references count="5">
          <reference field="4" count="1" selected="0">
            <x v="2"/>
          </reference>
          <reference field="6" count="1" selected="0">
            <x v="2"/>
          </reference>
          <reference field="7" count="1" selected="0">
            <x v="29"/>
          </reference>
          <reference field="8" count="1" selected="0">
            <x v="145"/>
          </reference>
          <reference field="15" count="1">
            <x v="377"/>
          </reference>
        </references>
      </pivotArea>
    </format>
    <format dxfId="1109">
      <pivotArea dataOnly="0" labelOnly="1" fieldPosition="0">
        <references count="5">
          <reference field="4" count="1" selected="0">
            <x v="2"/>
          </reference>
          <reference field="6" count="1" selected="0">
            <x v="2"/>
          </reference>
          <reference field="7" count="1" selected="0">
            <x v="29"/>
          </reference>
          <reference field="8" count="1" selected="0">
            <x v="146"/>
          </reference>
          <reference field="15" count="1">
            <x v="139"/>
          </reference>
        </references>
      </pivotArea>
    </format>
    <format dxfId="1108">
      <pivotArea dataOnly="0" labelOnly="1" fieldPosition="0">
        <references count="5">
          <reference field="4" count="1" selected="0">
            <x v="2"/>
          </reference>
          <reference field="6" count="1" selected="0">
            <x v="2"/>
          </reference>
          <reference field="7" count="1" selected="0">
            <x v="29"/>
          </reference>
          <reference field="8" count="1" selected="0">
            <x v="147"/>
          </reference>
          <reference field="15" count="1">
            <x v="127"/>
          </reference>
        </references>
      </pivotArea>
    </format>
    <format dxfId="1107">
      <pivotArea dataOnly="0" labelOnly="1" fieldPosition="0">
        <references count="5">
          <reference field="4" count="1" selected="0">
            <x v="2"/>
          </reference>
          <reference field="6" count="1" selected="0">
            <x v="2"/>
          </reference>
          <reference field="7" count="1" selected="0">
            <x v="29"/>
          </reference>
          <reference field="8" count="1" selected="0">
            <x v="148"/>
          </reference>
          <reference field="15" count="1">
            <x v="142"/>
          </reference>
        </references>
      </pivotArea>
    </format>
    <format dxfId="1106">
      <pivotArea dataOnly="0" labelOnly="1" fieldPosition="0">
        <references count="5">
          <reference field="4" count="1" selected="0">
            <x v="2"/>
          </reference>
          <reference field="6" count="1" selected="0">
            <x v="2"/>
          </reference>
          <reference field="7" count="1" selected="0">
            <x v="29"/>
          </reference>
          <reference field="8" count="1" selected="0">
            <x v="149"/>
          </reference>
          <reference field="15" count="1">
            <x v="140"/>
          </reference>
        </references>
      </pivotArea>
    </format>
    <format dxfId="1105">
      <pivotArea dataOnly="0" labelOnly="1" fieldPosition="0">
        <references count="5">
          <reference field="4" count="1" selected="0">
            <x v="2"/>
          </reference>
          <reference field="6" count="1" selected="0">
            <x v="2"/>
          </reference>
          <reference field="7" count="1" selected="0">
            <x v="29"/>
          </reference>
          <reference field="8" count="1" selected="0">
            <x v="150"/>
          </reference>
          <reference field="15" count="1">
            <x v="144"/>
          </reference>
        </references>
      </pivotArea>
    </format>
    <format dxfId="1104">
      <pivotArea dataOnly="0" labelOnly="1" fieldPosition="0">
        <references count="5">
          <reference field="4" count="1" selected="0">
            <x v="2"/>
          </reference>
          <reference field="6" count="1" selected="0">
            <x v="2"/>
          </reference>
          <reference field="7" count="1" selected="0">
            <x v="30"/>
          </reference>
          <reference field="8" count="1" selected="0">
            <x v="152"/>
          </reference>
          <reference field="15" count="2">
            <x v="128"/>
            <x v="129"/>
          </reference>
        </references>
      </pivotArea>
    </format>
    <format dxfId="1103">
      <pivotArea dataOnly="0" labelOnly="1" fieldPosition="0">
        <references count="5">
          <reference field="4" count="1" selected="0">
            <x v="2"/>
          </reference>
          <reference field="6" count="1" selected="0">
            <x v="2"/>
          </reference>
          <reference field="7" count="1" selected="0">
            <x v="30"/>
          </reference>
          <reference field="8" count="1" selected="0">
            <x v="153"/>
          </reference>
          <reference field="15" count="1">
            <x v="141"/>
          </reference>
        </references>
      </pivotArea>
    </format>
    <format dxfId="1102">
      <pivotArea dataOnly="0" labelOnly="1" fieldPosition="0">
        <references count="5">
          <reference field="4" count="1" selected="0">
            <x v="2"/>
          </reference>
          <reference field="6" count="1" selected="0">
            <x v="3"/>
          </reference>
          <reference field="7" count="1" selected="0">
            <x v="5"/>
          </reference>
          <reference field="8" count="1" selected="0">
            <x v="24"/>
          </reference>
          <reference field="15" count="1">
            <x v="339"/>
          </reference>
        </references>
      </pivotArea>
    </format>
    <format dxfId="1101">
      <pivotArea dataOnly="0" labelOnly="1" fieldPosition="0">
        <references count="5">
          <reference field="4" count="1" selected="0">
            <x v="2"/>
          </reference>
          <reference field="6" count="1" selected="0">
            <x v="3"/>
          </reference>
          <reference field="7" count="1" selected="0">
            <x v="7"/>
          </reference>
          <reference field="8" count="1" selected="0">
            <x v="31"/>
          </reference>
          <reference field="15" count="2">
            <x v="391"/>
            <x v="392"/>
          </reference>
        </references>
      </pivotArea>
    </format>
    <format dxfId="1100">
      <pivotArea dataOnly="0" labelOnly="1" fieldPosition="0">
        <references count="5">
          <reference field="4" count="1" selected="0">
            <x v="2"/>
          </reference>
          <reference field="6" count="1" selected="0">
            <x v="3"/>
          </reference>
          <reference field="7" count="1" selected="0">
            <x v="7"/>
          </reference>
          <reference field="8" count="1" selected="0">
            <x v="32"/>
          </reference>
          <reference field="15" count="1">
            <x v="371"/>
          </reference>
        </references>
      </pivotArea>
    </format>
    <format dxfId="1099">
      <pivotArea dataOnly="0" labelOnly="1" fieldPosition="0">
        <references count="5">
          <reference field="4" count="1" selected="0">
            <x v="2"/>
          </reference>
          <reference field="6" count="1" selected="0">
            <x v="4"/>
          </reference>
          <reference field="7" count="1" selected="0">
            <x v="8"/>
          </reference>
          <reference field="8" count="1" selected="0">
            <x v="36"/>
          </reference>
          <reference field="15" count="1">
            <x v="379"/>
          </reference>
        </references>
      </pivotArea>
    </format>
    <format dxfId="1098">
      <pivotArea dataOnly="0" labelOnly="1" fieldPosition="0">
        <references count="5">
          <reference field="4" count="1" selected="0">
            <x v="2"/>
          </reference>
          <reference field="6" count="1" selected="0">
            <x v="4"/>
          </reference>
          <reference field="7" count="1" selected="0">
            <x v="8"/>
          </reference>
          <reference field="8" count="1" selected="0">
            <x v="39"/>
          </reference>
          <reference field="15" count="1">
            <x v="378"/>
          </reference>
        </references>
      </pivotArea>
    </format>
    <format dxfId="1097">
      <pivotArea dataOnly="0" labelOnly="1" fieldPosition="0">
        <references count="5">
          <reference field="4" count="1" selected="0">
            <x v="3"/>
          </reference>
          <reference field="6" count="1" selected="0">
            <x v="3"/>
          </reference>
          <reference field="7" count="1" selected="0">
            <x v="6"/>
          </reference>
          <reference field="8" count="1" selected="0">
            <x v="29"/>
          </reference>
          <reference field="15" count="41">
            <x v="0"/>
            <x v="1"/>
            <x v="167"/>
            <x v="175"/>
            <x v="176"/>
            <x v="177"/>
            <x v="178"/>
            <x v="179"/>
            <x v="180"/>
            <x v="181"/>
            <x v="182"/>
            <x v="201"/>
            <x v="202"/>
            <x v="205"/>
            <x v="206"/>
            <x v="207"/>
            <x v="208"/>
            <x v="209"/>
            <x v="210"/>
            <x v="211"/>
            <x v="212"/>
            <x v="213"/>
            <x v="214"/>
            <x v="215"/>
            <x v="216"/>
            <x v="217"/>
            <x v="218"/>
            <x v="219"/>
            <x v="220"/>
            <x v="221"/>
            <x v="224"/>
            <x v="225"/>
            <x v="226"/>
            <x v="227"/>
            <x v="228"/>
            <x v="393"/>
            <x v="394"/>
            <x v="396"/>
            <x v="397"/>
            <x v="398"/>
            <x v="399"/>
          </reference>
        </references>
      </pivotArea>
    </format>
    <format dxfId="1096">
      <pivotArea dataOnly="0" labelOnly="1" fieldPosition="0">
        <references count="5">
          <reference field="4" count="1" selected="0">
            <x v="4"/>
          </reference>
          <reference field="6" count="1" selected="0">
            <x v="0"/>
          </reference>
          <reference field="7" count="1" selected="0">
            <x v="21"/>
          </reference>
          <reference field="8" count="1" selected="0">
            <x v="87"/>
          </reference>
          <reference field="15" count="8">
            <x v="126"/>
            <x v="293"/>
            <x v="305"/>
            <x v="306"/>
            <x v="317"/>
            <x v="388"/>
            <x v="389"/>
            <x v="390"/>
          </reference>
        </references>
      </pivotArea>
    </format>
    <format dxfId="1095">
      <pivotArea dataOnly="0" labelOnly="1" fieldPosition="0">
        <references count="5">
          <reference field="4" count="1" selected="0">
            <x v="4"/>
          </reference>
          <reference field="6" count="1" selected="0">
            <x v="0"/>
          </reference>
          <reference field="7" count="1" selected="0">
            <x v="21"/>
          </reference>
          <reference field="8" count="1" selected="0">
            <x v="88"/>
          </reference>
          <reference field="15" count="3">
            <x v="291"/>
            <x v="292"/>
            <x v="301"/>
          </reference>
        </references>
      </pivotArea>
    </format>
    <format dxfId="1094">
      <pivotArea dataOnly="0" labelOnly="1" fieldPosition="0">
        <references count="5">
          <reference field="4" count="1" selected="0">
            <x v="4"/>
          </reference>
          <reference field="6" count="1" selected="0">
            <x v="0"/>
          </reference>
          <reference field="7" count="1" selected="0">
            <x v="21"/>
          </reference>
          <reference field="8" count="1" selected="0">
            <x v="89"/>
          </reference>
          <reference field="15" count="1">
            <x v="310"/>
          </reference>
        </references>
      </pivotArea>
    </format>
    <format dxfId="1093">
      <pivotArea dataOnly="0" labelOnly="1" fieldPosition="0">
        <references count="5">
          <reference field="4" count="1" selected="0">
            <x v="4"/>
          </reference>
          <reference field="6" count="1" selected="0">
            <x v="0"/>
          </reference>
          <reference field="7" count="1" selected="0">
            <x v="21"/>
          </reference>
          <reference field="8" count="1" selected="0">
            <x v="90"/>
          </reference>
          <reference field="15" count="1">
            <x v="385"/>
          </reference>
        </references>
      </pivotArea>
    </format>
    <format dxfId="1092">
      <pivotArea dataOnly="0" labelOnly="1" fieldPosition="0">
        <references count="5">
          <reference field="4" count="1" selected="0">
            <x v="4"/>
          </reference>
          <reference field="6" count="1" selected="0">
            <x v="0"/>
          </reference>
          <reference field="7" count="1" selected="0">
            <x v="21"/>
          </reference>
          <reference field="8" count="1" selected="0">
            <x v="91"/>
          </reference>
          <reference field="15" count="2">
            <x v="264"/>
            <x v="265"/>
          </reference>
        </references>
      </pivotArea>
    </format>
    <format dxfId="1091">
      <pivotArea dataOnly="0" labelOnly="1" fieldPosition="0">
        <references count="5">
          <reference field="4" count="1" selected="0">
            <x v="4"/>
          </reference>
          <reference field="6" count="1" selected="0">
            <x v="1"/>
          </reference>
          <reference field="7" count="1" selected="0">
            <x v="24"/>
          </reference>
          <reference field="8" count="1" selected="0">
            <x v="114"/>
          </reference>
          <reference field="15" count="1">
            <x v="263"/>
          </reference>
        </references>
      </pivotArea>
    </format>
    <format dxfId="1090">
      <pivotArea dataOnly="0" labelOnly="1" fieldPosition="0">
        <references count="5">
          <reference field="4" count="1" selected="0">
            <x v="4"/>
          </reference>
          <reference field="6" count="1" selected="0">
            <x v="2"/>
          </reference>
          <reference field="7" count="1" selected="0">
            <x v="29"/>
          </reference>
          <reference field="8" count="1" selected="0">
            <x v="142"/>
          </reference>
          <reference field="15" count="1">
            <x v="283"/>
          </reference>
        </references>
      </pivotArea>
    </format>
    <format dxfId="1089">
      <pivotArea dataOnly="0" labelOnly="1" fieldPosition="0">
        <references count="5">
          <reference field="4" count="1" selected="0">
            <x v="4"/>
          </reference>
          <reference field="6" count="1" selected="0">
            <x v="2"/>
          </reference>
          <reference field="7" count="1" selected="0">
            <x v="29"/>
          </reference>
          <reference field="8" count="1" selected="0">
            <x v="143"/>
          </reference>
          <reference field="15" count="2">
            <x v="289"/>
            <x v="314"/>
          </reference>
        </references>
      </pivotArea>
    </format>
    <format dxfId="1088">
      <pivotArea dataOnly="0" labelOnly="1" fieldPosition="0">
        <references count="5">
          <reference field="4" count="1" selected="0">
            <x v="4"/>
          </reference>
          <reference field="6" count="1" selected="0">
            <x v="2"/>
          </reference>
          <reference field="7" count="1" selected="0">
            <x v="29"/>
          </reference>
          <reference field="8" count="1" selected="0">
            <x v="151"/>
          </reference>
          <reference field="15" count="1">
            <x v="387"/>
          </reference>
        </references>
      </pivotArea>
    </format>
    <format dxfId="1087">
      <pivotArea dataOnly="0" labelOnly="1" fieldPosition="0">
        <references count="5">
          <reference field="4" count="1" selected="0">
            <x v="4"/>
          </reference>
          <reference field="6" count="1" selected="0">
            <x v="2"/>
          </reference>
          <reference field="7" count="1" selected="0">
            <x v="31"/>
          </reference>
          <reference field="8" count="1" selected="0">
            <x v="155"/>
          </reference>
          <reference field="15" count="4">
            <x v="235"/>
            <x v="303"/>
            <x v="374"/>
            <x v="386"/>
          </reference>
        </references>
      </pivotArea>
    </format>
    <format dxfId="1086">
      <pivotArea dataOnly="0" labelOnly="1" fieldPosition="0">
        <references count="5">
          <reference field="4" count="1" selected="0">
            <x v="4"/>
          </reference>
          <reference field="6" count="1" selected="0">
            <x v="2"/>
          </reference>
          <reference field="7" count="1" selected="0">
            <x v="31"/>
          </reference>
          <reference field="8" count="1" selected="0">
            <x v="156"/>
          </reference>
          <reference field="15" count="1">
            <x v="304"/>
          </reference>
        </references>
      </pivotArea>
    </format>
    <format dxfId="1085">
      <pivotArea dataOnly="0" labelOnly="1" fieldPosition="0">
        <references count="5">
          <reference field="4" count="1" selected="0">
            <x v="4"/>
          </reference>
          <reference field="6" count="1" selected="0">
            <x v="2"/>
          </reference>
          <reference field="7" count="1" selected="0">
            <x v="31"/>
          </reference>
          <reference field="8" count="1" selected="0">
            <x v="157"/>
          </reference>
          <reference field="15" count="1">
            <x v="302"/>
          </reference>
        </references>
      </pivotArea>
    </format>
    <format dxfId="1084">
      <pivotArea dataOnly="0" labelOnly="1" fieldPosition="0">
        <references count="5">
          <reference field="4" count="1" selected="0">
            <x v="4"/>
          </reference>
          <reference field="6" count="1" selected="0">
            <x v="3"/>
          </reference>
          <reference field="7" count="1" selected="0">
            <x v="0"/>
          </reference>
          <reference field="8" count="1" selected="0">
            <x v="0"/>
          </reference>
          <reference field="15" count="2">
            <x v="125"/>
            <x v="269"/>
          </reference>
        </references>
      </pivotArea>
    </format>
    <format dxfId="1083">
      <pivotArea dataOnly="0" labelOnly="1" fieldPosition="0">
        <references count="5">
          <reference field="4" count="1" selected="0">
            <x v="4"/>
          </reference>
          <reference field="6" count="1" selected="0">
            <x v="3"/>
          </reference>
          <reference field="7" count="1" selected="0">
            <x v="0"/>
          </reference>
          <reference field="8" count="1" selected="0">
            <x v="1"/>
          </reference>
          <reference field="15" count="1">
            <x v="382"/>
          </reference>
        </references>
      </pivotArea>
    </format>
    <format dxfId="1082">
      <pivotArea dataOnly="0" labelOnly="1" fieldPosition="0">
        <references count="5">
          <reference field="4" count="1" selected="0">
            <x v="4"/>
          </reference>
          <reference field="6" count="1" selected="0">
            <x v="3"/>
          </reference>
          <reference field="7" count="1" selected="0">
            <x v="1"/>
          </reference>
          <reference field="8" count="1" selected="0">
            <x v="2"/>
          </reference>
          <reference field="15" count="1">
            <x v="282"/>
          </reference>
        </references>
      </pivotArea>
    </format>
    <format dxfId="1081">
      <pivotArea dataOnly="0" labelOnly="1" fieldPosition="0">
        <references count="5">
          <reference field="4" count="1" selected="0">
            <x v="4"/>
          </reference>
          <reference field="6" count="1" selected="0">
            <x v="3"/>
          </reference>
          <reference field="7" count="1" selected="0">
            <x v="1"/>
          </reference>
          <reference field="8" count="1" selected="0">
            <x v="3"/>
          </reference>
          <reference field="15" count="1">
            <x v="384"/>
          </reference>
        </references>
      </pivotArea>
    </format>
    <format dxfId="1080">
      <pivotArea dataOnly="0" labelOnly="1" fieldPosition="0">
        <references count="5">
          <reference field="4" count="1" selected="0">
            <x v="4"/>
          </reference>
          <reference field="6" count="1" selected="0">
            <x v="3"/>
          </reference>
          <reference field="7" count="1" selected="0">
            <x v="1"/>
          </reference>
          <reference field="8" count="1" selected="0">
            <x v="4"/>
          </reference>
          <reference field="15" count="1">
            <x v="298"/>
          </reference>
        </references>
      </pivotArea>
    </format>
    <format dxfId="1079">
      <pivotArea dataOnly="0" labelOnly="1" fieldPosition="0">
        <references count="5">
          <reference field="4" count="1" selected="0">
            <x v="4"/>
          </reference>
          <reference field="6" count="1" selected="0">
            <x v="3"/>
          </reference>
          <reference field="7" count="1" selected="0">
            <x v="1"/>
          </reference>
          <reference field="8" count="1" selected="0">
            <x v="5"/>
          </reference>
          <reference field="15" count="2">
            <x v="381"/>
            <x v="383"/>
          </reference>
        </references>
      </pivotArea>
    </format>
    <format dxfId="1078">
      <pivotArea dataOnly="0" labelOnly="1" fieldPosition="0">
        <references count="5">
          <reference field="4" count="1" selected="0">
            <x v="5"/>
          </reference>
          <reference field="6" count="1" selected="0">
            <x v="0"/>
          </reference>
          <reference field="7" count="1" selected="0">
            <x v="18"/>
          </reference>
          <reference field="8" count="1" selected="0">
            <x v="73"/>
          </reference>
          <reference field="15" count="3">
            <x v="245"/>
            <x v="246"/>
            <x v="313"/>
          </reference>
        </references>
      </pivotArea>
    </format>
    <format dxfId="1077">
      <pivotArea dataOnly="0" labelOnly="1" fieldPosition="0">
        <references count="5">
          <reference field="4" count="1" selected="0">
            <x v="5"/>
          </reference>
          <reference field="6" count="1" selected="0">
            <x v="0"/>
          </reference>
          <reference field="7" count="1" selected="0">
            <x v="18"/>
          </reference>
          <reference field="8" count="1" selected="0">
            <x v="74"/>
          </reference>
          <reference field="15" count="1">
            <x v="230"/>
          </reference>
        </references>
      </pivotArea>
    </format>
    <format dxfId="1076">
      <pivotArea dataOnly="0" labelOnly="1" fieldPosition="0">
        <references count="5">
          <reference field="4" count="1" selected="0">
            <x v="5"/>
          </reference>
          <reference field="6" count="1" selected="0">
            <x v="0"/>
          </reference>
          <reference field="7" count="1" selected="0">
            <x v="18"/>
          </reference>
          <reference field="8" count="1" selected="0">
            <x v="77"/>
          </reference>
          <reference field="15" count="2">
            <x v="276"/>
            <x v="277"/>
          </reference>
        </references>
      </pivotArea>
    </format>
    <format dxfId="1075">
      <pivotArea dataOnly="0" labelOnly="1" fieldPosition="0">
        <references count="5">
          <reference field="4" count="1" selected="0">
            <x v="5"/>
          </reference>
          <reference field="6" count="1" selected="0">
            <x v="0"/>
          </reference>
          <reference field="7" count="1" selected="0">
            <x v="22"/>
          </reference>
          <reference field="8" count="1" selected="0">
            <x v="94"/>
          </reference>
          <reference field="15" count="1">
            <x v="164"/>
          </reference>
        </references>
      </pivotArea>
    </format>
    <format dxfId="1074">
      <pivotArea dataOnly="0" labelOnly="1" fieldPosition="0">
        <references count="5">
          <reference field="4" count="1" selected="0">
            <x v="5"/>
          </reference>
          <reference field="6" count="1" selected="0">
            <x v="4"/>
          </reference>
          <reference field="7" count="1" selected="0">
            <x v="8"/>
          </reference>
          <reference field="8" count="1" selected="0">
            <x v="37"/>
          </reference>
          <reference field="15" count="1">
            <x v="222"/>
          </reference>
        </references>
      </pivotArea>
    </format>
    <format dxfId="1073">
      <pivotArea dataOnly="0" labelOnly="1" fieldPosition="0">
        <references count="5">
          <reference field="4" count="1" selected="0">
            <x v="6"/>
          </reference>
          <reference field="6" count="1" selected="0">
            <x v="1"/>
          </reference>
          <reference field="7" count="1" selected="0">
            <x v="24"/>
          </reference>
          <reference field="8" count="1" selected="0">
            <x v="105"/>
          </reference>
          <reference field="15" count="13">
            <x v="24"/>
            <x v="25"/>
            <x v="31"/>
            <x v="37"/>
            <x v="44"/>
            <x v="45"/>
            <x v="48"/>
            <x v="49"/>
            <x v="50"/>
            <x v="56"/>
            <x v="66"/>
            <x v="100"/>
            <x v="101"/>
          </reference>
        </references>
      </pivotArea>
    </format>
    <format dxfId="1072">
      <pivotArea dataOnly="0" labelOnly="1" fieldPosition="0">
        <references count="5">
          <reference field="4" count="1" selected="0">
            <x v="6"/>
          </reference>
          <reference field="6" count="1" selected="0">
            <x v="1"/>
          </reference>
          <reference field="7" count="1" selected="0">
            <x v="24"/>
          </reference>
          <reference field="8" count="1" selected="0">
            <x v="107"/>
          </reference>
          <reference field="15" count="3">
            <x v="118"/>
            <x v="123"/>
            <x v="165"/>
          </reference>
        </references>
      </pivotArea>
    </format>
    <format dxfId="1071">
      <pivotArea dataOnly="0" labelOnly="1" fieldPosition="0">
        <references count="5">
          <reference field="4" count="1" selected="0">
            <x v="6"/>
          </reference>
          <reference field="6" count="1" selected="0">
            <x v="1"/>
          </reference>
          <reference field="7" count="1" selected="0">
            <x v="24"/>
          </reference>
          <reference field="8" count="1" selected="0">
            <x v="108"/>
          </reference>
          <reference field="15" count="2">
            <x v="97"/>
            <x v="119"/>
          </reference>
        </references>
      </pivotArea>
    </format>
    <format dxfId="1070">
      <pivotArea dataOnly="0" labelOnly="1" fieldPosition="0">
        <references count="5">
          <reference field="4" count="1" selected="0">
            <x v="6"/>
          </reference>
          <reference field="6" count="1" selected="0">
            <x v="1"/>
          </reference>
          <reference field="7" count="1" selected="0">
            <x v="24"/>
          </reference>
          <reference field="8" count="1" selected="0">
            <x v="109"/>
          </reference>
          <reference field="15" count="2">
            <x v="96"/>
            <x v="327"/>
          </reference>
        </references>
      </pivotArea>
    </format>
    <format dxfId="1069">
      <pivotArea dataOnly="0" labelOnly="1" fieldPosition="0">
        <references count="5">
          <reference field="4" count="1" selected="0">
            <x v="6"/>
          </reference>
          <reference field="6" count="1" selected="0">
            <x v="1"/>
          </reference>
          <reference field="7" count="1" selected="0">
            <x v="24"/>
          </reference>
          <reference field="8" count="1" selected="0">
            <x v="110"/>
          </reference>
          <reference field="15" count="2">
            <x v="115"/>
            <x v="324"/>
          </reference>
        </references>
      </pivotArea>
    </format>
    <format dxfId="1068">
      <pivotArea dataOnly="0" labelOnly="1" fieldPosition="0">
        <references count="5">
          <reference field="4" count="1" selected="0">
            <x v="6"/>
          </reference>
          <reference field="6" count="1" selected="0">
            <x v="1"/>
          </reference>
          <reference field="7" count="1" selected="0">
            <x v="24"/>
          </reference>
          <reference field="8" count="1" selected="0">
            <x v="111"/>
          </reference>
          <reference field="15" count="1">
            <x v="326"/>
          </reference>
        </references>
      </pivotArea>
    </format>
    <format dxfId="1067">
      <pivotArea dataOnly="0" labelOnly="1" fieldPosition="0">
        <references count="5">
          <reference field="4" count="1" selected="0">
            <x v="6"/>
          </reference>
          <reference field="6" count="1" selected="0">
            <x v="1"/>
          </reference>
          <reference field="7" count="1" selected="0">
            <x v="24"/>
          </reference>
          <reference field="8" count="1" selected="0">
            <x v="112"/>
          </reference>
          <reference field="15" count="5">
            <x v="80"/>
            <x v="120"/>
            <x v="121"/>
            <x v="122"/>
            <x v="135"/>
          </reference>
        </references>
      </pivotArea>
    </format>
    <format dxfId="1066">
      <pivotArea dataOnly="0" labelOnly="1" fieldPosition="0">
        <references count="5">
          <reference field="4" count="1" selected="0">
            <x v="6"/>
          </reference>
          <reference field="6" count="1" selected="0">
            <x v="1"/>
          </reference>
          <reference field="7" count="1" selected="0">
            <x v="24"/>
          </reference>
          <reference field="8" count="1" selected="0">
            <x v="113"/>
          </reference>
          <reference field="15" count="3">
            <x v="67"/>
            <x v="84"/>
            <x v="166"/>
          </reference>
        </references>
      </pivotArea>
    </format>
    <format dxfId="1065">
      <pivotArea dataOnly="0" labelOnly="1" fieldPosition="0">
        <references count="5">
          <reference field="4" count="1" selected="0">
            <x v="7"/>
          </reference>
          <reference field="6" count="1" selected="0">
            <x v="0"/>
          </reference>
          <reference field="7" count="1" selected="0">
            <x v="16"/>
          </reference>
          <reference field="8" count="1" selected="0">
            <x v="64"/>
          </reference>
          <reference field="15" count="3">
            <x v="274"/>
            <x v="278"/>
            <x v="325"/>
          </reference>
        </references>
      </pivotArea>
    </format>
    <format dxfId="1064">
      <pivotArea dataOnly="0" labelOnly="1" fieldPosition="0">
        <references count="5">
          <reference field="4" count="1" selected="0">
            <x v="7"/>
          </reference>
          <reference field="6" count="1" selected="0">
            <x v="2"/>
          </reference>
          <reference field="7" count="1" selected="0">
            <x v="29"/>
          </reference>
          <reference field="8" count="1" selected="0">
            <x v="140"/>
          </reference>
          <reference field="15" count="1">
            <x v="53"/>
          </reference>
        </references>
      </pivotArea>
    </format>
    <format dxfId="1063">
      <pivotArea dataOnly="0" labelOnly="1" fieldPosition="0">
        <references count="5">
          <reference field="4" count="1" selected="0">
            <x v="7"/>
          </reference>
          <reference field="6" count="1" selected="0">
            <x v="2"/>
          </reference>
          <reference field="7" count="1" selected="0">
            <x v="29"/>
          </reference>
          <reference field="8" count="1" selected="0">
            <x v="141"/>
          </reference>
          <reference field="15" count="1">
            <x v="279"/>
          </reference>
        </references>
      </pivotArea>
    </format>
    <format dxfId="1062">
      <pivotArea dataOnly="0" labelOnly="1" fieldPosition="0">
        <references count="5">
          <reference field="4" count="1" selected="0">
            <x v="7"/>
          </reference>
          <reference field="6" count="1" selected="0">
            <x v="2"/>
          </reference>
          <reference field="7" count="1" selected="0">
            <x v="29"/>
          </reference>
          <reference field="8" count="1" selected="0">
            <x v="144"/>
          </reference>
          <reference field="15" count="1">
            <x v="52"/>
          </reference>
        </references>
      </pivotArea>
    </format>
    <format dxfId="1061">
      <pivotArea dataOnly="0" labelOnly="1" fieldPosition="0">
        <references count="5">
          <reference field="4" count="1" selected="0">
            <x v="7"/>
          </reference>
          <reference field="6" count="1" selected="0">
            <x v="2"/>
          </reference>
          <reference field="7" count="1" selected="0">
            <x v="29"/>
          </reference>
          <reference field="8" count="1" selected="0">
            <x v="145"/>
          </reference>
          <reference field="15" count="1">
            <x v="51"/>
          </reference>
        </references>
      </pivotArea>
    </format>
    <format dxfId="1060">
      <pivotArea dataOnly="0" labelOnly="1" fieldPosition="0">
        <references count="5">
          <reference field="4" count="1" selected="0">
            <x v="7"/>
          </reference>
          <reference field="6" count="1" selected="0">
            <x v="2"/>
          </reference>
          <reference field="7" count="1" selected="0">
            <x v="30"/>
          </reference>
          <reference field="8" count="1" selected="0">
            <x v="154"/>
          </reference>
          <reference field="15" count="1">
            <x v="275"/>
          </reference>
        </references>
      </pivotArea>
    </format>
    <format dxfId="1059">
      <pivotArea dataOnly="0" labelOnly="1" fieldPosition="0">
        <references count="5">
          <reference field="4" count="1" selected="0">
            <x v="7"/>
          </reference>
          <reference field="6" count="1" selected="0">
            <x v="3"/>
          </reference>
          <reference field="7" count="1" selected="0">
            <x v="6"/>
          </reference>
          <reference field="8" count="1" selected="0">
            <x v="28"/>
          </reference>
          <reference field="15" count="3">
            <x v="318"/>
            <x v="319"/>
            <x v="320"/>
          </reference>
        </references>
      </pivotArea>
    </format>
    <format dxfId="1058">
      <pivotArea dataOnly="0" labelOnly="1" fieldPosition="0">
        <references count="5">
          <reference field="4" count="1" selected="0">
            <x v="7"/>
          </reference>
          <reference field="6" count="1" selected="0">
            <x v="4"/>
          </reference>
          <reference field="7" count="1" selected="0">
            <x v="8"/>
          </reference>
          <reference field="8" count="1" selected="0">
            <x v="35"/>
          </reference>
          <reference field="15" count="1">
            <x v="337"/>
          </reference>
        </references>
      </pivotArea>
    </format>
    <format dxfId="1057">
      <pivotArea dataOnly="0" labelOnly="1" fieldPosition="0">
        <references count="5">
          <reference field="4" count="1" selected="0">
            <x v="7"/>
          </reference>
          <reference field="6" count="1" selected="0">
            <x v="4"/>
          </reference>
          <reference field="7" count="1" selected="0">
            <x v="8"/>
          </reference>
          <reference field="8" count="1" selected="0">
            <x v="36"/>
          </reference>
          <reference field="15" count="1">
            <x v="280"/>
          </reference>
        </references>
      </pivotArea>
    </format>
    <format dxfId="1056">
      <pivotArea dataOnly="0" labelOnly="1" fieldPosition="0">
        <references count="5">
          <reference field="4" count="1" selected="0">
            <x v="7"/>
          </reference>
          <reference field="6" count="1" selected="0">
            <x v="4"/>
          </reference>
          <reference field="7" count="1" selected="0">
            <x v="9"/>
          </reference>
          <reference field="8" count="1" selected="0">
            <x v="40"/>
          </reference>
          <reference field="15" count="3">
            <x v="311"/>
            <x v="312"/>
            <x v="334"/>
          </reference>
        </references>
      </pivotArea>
    </format>
    <format dxfId="1055">
      <pivotArea dataOnly="0" labelOnly="1" fieldPosition="0">
        <references count="5">
          <reference field="4" count="1" selected="0">
            <x v="7"/>
          </reference>
          <reference field="6" count="1" selected="0">
            <x v="4"/>
          </reference>
          <reference field="7" count="1" selected="0">
            <x v="9"/>
          </reference>
          <reference field="8" count="1" selected="0">
            <x v="41"/>
          </reference>
          <reference field="15" count="1">
            <x v="328"/>
          </reference>
        </references>
      </pivotArea>
    </format>
    <format dxfId="1054">
      <pivotArea dataOnly="0" labelOnly="1" fieldPosition="0">
        <references count="5">
          <reference field="4" count="1" selected="0">
            <x v="7"/>
          </reference>
          <reference field="6" count="1" selected="0">
            <x v="4"/>
          </reference>
          <reference field="7" count="1" selected="0">
            <x v="9"/>
          </reference>
          <reference field="8" count="1" selected="0">
            <x v="42"/>
          </reference>
          <reference field="15" count="1">
            <x v="329"/>
          </reference>
        </references>
      </pivotArea>
    </format>
    <format dxfId="1053">
      <pivotArea dataOnly="0" labelOnly="1" fieldPosition="0">
        <references count="5">
          <reference field="4" count="1" selected="0">
            <x v="7"/>
          </reference>
          <reference field="6" count="1" selected="0">
            <x v="4"/>
          </reference>
          <reference field="7" count="1" selected="0">
            <x v="9"/>
          </reference>
          <reference field="8" count="1" selected="0">
            <x v="43"/>
          </reference>
          <reference field="15" count="1">
            <x v="321"/>
          </reference>
        </references>
      </pivotArea>
    </format>
    <format dxfId="1052">
      <pivotArea dataOnly="0" labelOnly="1" fieldPosition="0">
        <references count="5">
          <reference field="4" count="1" selected="0">
            <x v="7"/>
          </reference>
          <reference field="6" count="1" selected="0">
            <x v="4"/>
          </reference>
          <reference field="7" count="1" selected="0">
            <x v="10"/>
          </reference>
          <reference field="8" count="1" selected="0">
            <x v="44"/>
          </reference>
          <reference field="15" count="2">
            <x v="57"/>
            <x v="58"/>
          </reference>
        </references>
      </pivotArea>
    </format>
    <format dxfId="1051">
      <pivotArea dataOnly="0" labelOnly="1" fieldPosition="0">
        <references count="5">
          <reference field="4" count="1" selected="0">
            <x v="7"/>
          </reference>
          <reference field="6" count="1" selected="0">
            <x v="4"/>
          </reference>
          <reference field="7" count="1" selected="0">
            <x v="10"/>
          </reference>
          <reference field="8" count="1" selected="0">
            <x v="45"/>
          </reference>
          <reference field="15" count="1">
            <x v="55"/>
          </reference>
        </references>
      </pivotArea>
    </format>
    <format dxfId="1050">
      <pivotArea dataOnly="0" labelOnly="1" fieldPosition="0">
        <references count="5">
          <reference field="4" count="1" selected="0">
            <x v="7"/>
          </reference>
          <reference field="6" count="1" selected="0">
            <x v="4"/>
          </reference>
          <reference field="7" count="1" selected="0">
            <x v="10"/>
          </reference>
          <reference field="8" count="1" selected="0">
            <x v="46"/>
          </reference>
          <reference field="15" count="1">
            <x v="59"/>
          </reference>
        </references>
      </pivotArea>
    </format>
    <format dxfId="1049">
      <pivotArea dataOnly="0" labelOnly="1" fieldPosition="0">
        <references count="5">
          <reference field="4" count="1" selected="0">
            <x v="7"/>
          </reference>
          <reference field="6" count="1" selected="0">
            <x v="4"/>
          </reference>
          <reference field="7" count="1" selected="0">
            <x v="10"/>
          </reference>
          <reference field="8" count="1" selected="0">
            <x v="47"/>
          </reference>
          <reference field="15" count="1">
            <x v="54"/>
          </reference>
        </references>
      </pivotArea>
    </format>
    <format dxfId="1048">
      <pivotArea dataOnly="0" labelOnly="1" fieldPosition="0">
        <references count="5">
          <reference field="4" count="1" selected="0">
            <x v="7"/>
          </reference>
          <reference field="6" count="1" selected="0">
            <x v="4"/>
          </reference>
          <reference field="7" count="1" selected="0">
            <x v="11"/>
          </reference>
          <reference field="8" count="1" selected="0">
            <x v="48"/>
          </reference>
          <reference field="15" count="1">
            <x v="88"/>
          </reference>
        </references>
      </pivotArea>
    </format>
    <format dxfId="1047">
      <pivotArea dataOnly="0" labelOnly="1" fieldPosition="0">
        <references count="5">
          <reference field="4" count="1" selected="0">
            <x v="7"/>
          </reference>
          <reference field="6" count="1" selected="0">
            <x v="4"/>
          </reference>
          <reference field="7" count="1" selected="0">
            <x v="11"/>
          </reference>
          <reference field="8" count="1" selected="0">
            <x v="49"/>
          </reference>
          <reference field="15" count="1">
            <x v="86"/>
          </reference>
        </references>
      </pivotArea>
    </format>
    <format dxfId="1046">
      <pivotArea dataOnly="0" labelOnly="1" fieldPosition="0">
        <references count="5">
          <reference field="4" count="1" selected="0">
            <x v="7"/>
          </reference>
          <reference field="6" count="1" selected="0">
            <x v="4"/>
          </reference>
          <reference field="7" count="1" selected="0">
            <x v="12"/>
          </reference>
          <reference field="8" count="1" selected="0">
            <x v="50"/>
          </reference>
          <reference field="15" count="3">
            <x v="64"/>
            <x v="65"/>
            <x v="136"/>
          </reference>
        </references>
      </pivotArea>
    </format>
    <format dxfId="1045">
      <pivotArea dataOnly="0" labelOnly="1" fieldPosition="0">
        <references count="5">
          <reference field="4" count="1" selected="0">
            <x v="7"/>
          </reference>
          <reference field="6" count="1" selected="0">
            <x v="4"/>
          </reference>
          <reference field="7" count="1" selected="0">
            <x v="13"/>
          </reference>
          <reference field="8" count="1" selected="0">
            <x v="51"/>
          </reference>
          <reference field="15" count="1">
            <x v="307"/>
          </reference>
        </references>
      </pivotArea>
    </format>
    <format dxfId="1044">
      <pivotArea dataOnly="0" labelOnly="1" fieldPosition="0">
        <references count="5">
          <reference field="4" count="1" selected="0">
            <x v="7"/>
          </reference>
          <reference field="6" count="1" selected="0">
            <x v="4"/>
          </reference>
          <reference field="7" count="1" selected="0">
            <x v="13"/>
          </reference>
          <reference field="8" count="1" selected="0">
            <x v="52"/>
          </reference>
          <reference field="15" count="1">
            <x v="309"/>
          </reference>
        </references>
      </pivotArea>
    </format>
    <format dxfId="1043">
      <pivotArea dataOnly="0" labelOnly="1" fieldPosition="0">
        <references count="5">
          <reference field="4" count="1" selected="0">
            <x v="7"/>
          </reference>
          <reference field="6" count="1" selected="0">
            <x v="4"/>
          </reference>
          <reference field="7" count="1" selected="0">
            <x v="13"/>
          </reference>
          <reference field="8" count="1" selected="0">
            <x v="53"/>
          </reference>
          <reference field="15" count="1">
            <x v="308"/>
          </reference>
        </references>
      </pivotArea>
    </format>
    <format dxfId="1042">
      <pivotArea dataOnly="0" labelOnly="1" fieldPosition="0">
        <references count="5">
          <reference field="4" count="1" selected="0">
            <x v="7"/>
          </reference>
          <reference field="6" count="1" selected="0">
            <x v="4"/>
          </reference>
          <reference field="7" count="1" selected="0">
            <x v="14"/>
          </reference>
          <reference field="8" count="1" selected="0">
            <x v="54"/>
          </reference>
          <reference field="15" count="1">
            <x v="281"/>
          </reference>
        </references>
      </pivotArea>
    </format>
    <format dxfId="1041">
      <pivotArea dataOnly="0" labelOnly="1" fieldPosition="0">
        <references count="5">
          <reference field="4" count="1" selected="0">
            <x v="7"/>
          </reference>
          <reference field="6" count="1" selected="0">
            <x v="4"/>
          </reference>
          <reference field="7" count="1" selected="0">
            <x v="14"/>
          </reference>
          <reference field="8" count="1" selected="0">
            <x v="55"/>
          </reference>
          <reference field="15" count="1">
            <x v="138"/>
          </reference>
        </references>
      </pivotArea>
    </format>
    <format dxfId="1040">
      <pivotArea dataOnly="0" labelOnly="1" fieldPosition="0">
        <references count="5">
          <reference field="4" count="1" selected="0">
            <x v="7"/>
          </reference>
          <reference field="6" count="1" selected="0">
            <x v="4"/>
          </reference>
          <reference field="7" count="1" selected="0">
            <x v="15"/>
          </reference>
          <reference field="8" count="1" selected="0">
            <x v="56"/>
          </reference>
          <reference field="15" count="2">
            <x v="335"/>
            <x v="336"/>
          </reference>
        </references>
      </pivotArea>
    </format>
    <format dxfId="1039">
      <pivotArea dataOnly="0" labelOnly="1" fieldPosition="0">
        <references count="5">
          <reference field="4" count="1" selected="0">
            <x v="8"/>
          </reference>
          <reference field="6" count="1" selected="0">
            <x v="0"/>
          </reference>
          <reference field="7" count="1" selected="0">
            <x v="18"/>
          </reference>
          <reference field="8" count="1" selected="0">
            <x v="77"/>
          </reference>
          <reference field="15" count="1">
            <x v="290"/>
          </reference>
        </references>
      </pivotArea>
    </format>
    <format dxfId="1038">
      <pivotArea dataOnly="0" labelOnly="1" fieldPosition="0">
        <references count="5">
          <reference field="4" count="1" selected="0">
            <x v="8"/>
          </reference>
          <reference field="6" count="1" selected="0">
            <x v="0"/>
          </reference>
          <reference field="7" count="1" selected="0">
            <x v="22"/>
          </reference>
          <reference field="8" count="1" selected="0">
            <x v="92"/>
          </reference>
          <reference field="15" count="4">
            <x v="130"/>
            <x v="359"/>
            <x v="360"/>
            <x v="361"/>
          </reference>
        </references>
      </pivotArea>
    </format>
    <format dxfId="1037">
      <pivotArea dataOnly="0" labelOnly="1" fieldPosition="0">
        <references count="5">
          <reference field="4" count="1" selected="0">
            <x v="8"/>
          </reference>
          <reference field="6" count="1" selected="0">
            <x v="0"/>
          </reference>
          <reference field="7" count="1" selected="0">
            <x v="22"/>
          </reference>
          <reference field="8" count="1" selected="0">
            <x v="93"/>
          </reference>
          <reference field="15" count="1">
            <x v="369"/>
          </reference>
        </references>
      </pivotArea>
    </format>
    <format dxfId="1036">
      <pivotArea dataOnly="0" labelOnly="1" fieldPosition="0">
        <references count="5">
          <reference field="4" count="1" selected="0">
            <x v="8"/>
          </reference>
          <reference field="6" count="1" selected="0">
            <x v="0"/>
          </reference>
          <reference field="7" count="1" selected="0">
            <x v="22"/>
          </reference>
          <reference field="8" count="1" selected="0">
            <x v="94"/>
          </reference>
          <reference field="15" count="1">
            <x v="273"/>
          </reference>
        </references>
      </pivotArea>
    </format>
    <format dxfId="1035">
      <pivotArea dataOnly="0" labelOnly="1" fieldPosition="0">
        <references count="5">
          <reference field="4" count="1" selected="0">
            <x v="8"/>
          </reference>
          <reference field="6" count="1" selected="0">
            <x v="1"/>
          </reference>
          <reference field="7" count="1" selected="0">
            <x v="28"/>
          </reference>
          <reference field="8" count="1" selected="0">
            <x v="138"/>
          </reference>
          <reference field="15" count="3">
            <x v="270"/>
            <x v="343"/>
            <x v="355"/>
          </reference>
        </references>
      </pivotArea>
    </format>
    <format dxfId="1034">
      <pivotArea dataOnly="0" labelOnly="1" fieldPosition="0">
        <references count="5">
          <reference field="4" count="1" selected="0">
            <x v="8"/>
          </reference>
          <reference field="6" count="1" selected="0">
            <x v="1"/>
          </reference>
          <reference field="7" count="1" selected="0">
            <x v="28"/>
          </reference>
          <reference field="8" count="1" selected="0">
            <x v="139"/>
          </reference>
          <reference field="15" count="1">
            <x v="147"/>
          </reference>
        </references>
      </pivotArea>
    </format>
    <format dxfId="1033">
      <pivotArea dataOnly="0" labelOnly="1" fieldPosition="0">
        <references count="5">
          <reference field="4" count="1" selected="0">
            <x v="8"/>
          </reference>
          <reference field="6" count="1" selected="0">
            <x v="2"/>
          </reference>
          <reference field="7" count="1" selected="0">
            <x v="32"/>
          </reference>
          <reference field="8" count="1" selected="0">
            <x v="158"/>
          </reference>
          <reference field="15" count="1">
            <x v="344"/>
          </reference>
        </references>
      </pivotArea>
    </format>
    <format dxfId="1032">
      <pivotArea dataOnly="0" labelOnly="1" fieldPosition="0">
        <references count="5">
          <reference field="4" count="1" selected="0">
            <x v="8"/>
          </reference>
          <reference field="6" count="1" selected="0">
            <x v="2"/>
          </reference>
          <reference field="7" count="1" selected="0">
            <x v="32"/>
          </reference>
          <reference field="8" count="1" selected="0">
            <x v="159"/>
          </reference>
          <reference field="15" count="1">
            <x v="137"/>
          </reference>
        </references>
      </pivotArea>
    </format>
    <format dxfId="1031">
      <pivotArea dataOnly="0" labelOnly="1" fieldPosition="0">
        <references count="5">
          <reference field="4" count="1" selected="0">
            <x v="8"/>
          </reference>
          <reference field="6" count="1" selected="0">
            <x v="3"/>
          </reference>
          <reference field="7" count="1" selected="0">
            <x v="6"/>
          </reference>
          <reference field="8" count="1" selected="0">
            <x v="29"/>
          </reference>
          <reference field="15" count="4">
            <x v="145"/>
            <x v="146"/>
            <x v="356"/>
            <x v="357"/>
          </reference>
        </references>
      </pivotArea>
    </format>
    <format dxfId="1030">
      <pivotArea dataOnly="0" labelOnly="1" fieldPosition="0">
        <references count="5">
          <reference field="4" count="1" selected="0">
            <x v="8"/>
          </reference>
          <reference field="6" count="1" selected="0">
            <x v="3"/>
          </reference>
          <reference field="7" count="1" selected="0">
            <x v="6"/>
          </reference>
          <reference field="8" count="1" selected="0">
            <x v="30"/>
          </reference>
          <reference field="15" count="2">
            <x v="267"/>
            <x v="268"/>
          </reference>
        </references>
      </pivotArea>
    </format>
    <format dxfId="1029">
      <pivotArea dataOnly="0" labelOnly="1" fieldPosition="0">
        <references count="5">
          <reference field="4" count="1" selected="0">
            <x v="9"/>
          </reference>
          <reference field="6" count="1" selected="0">
            <x v="1"/>
          </reference>
          <reference field="7" count="1" selected="0">
            <x v="25"/>
          </reference>
          <reference field="8" count="1" selected="0">
            <x v="115"/>
          </reference>
          <reference field="15" count="13">
            <x v="35"/>
            <x v="36"/>
            <x v="63"/>
            <x v="72"/>
            <x v="77"/>
            <x v="238"/>
            <x v="241"/>
            <x v="242"/>
            <x v="243"/>
            <x v="247"/>
            <x v="248"/>
            <x v="260"/>
            <x v="262"/>
          </reference>
        </references>
      </pivotArea>
    </format>
    <format dxfId="1028">
      <pivotArea dataOnly="0" labelOnly="1" fieldPosition="0">
        <references count="5">
          <reference field="4" count="1" selected="0">
            <x v="9"/>
          </reference>
          <reference field="6" count="1" selected="0">
            <x v="1"/>
          </reference>
          <reference field="7" count="1" selected="0">
            <x v="25"/>
          </reference>
          <reference field="8" count="1" selected="0">
            <x v="116"/>
          </reference>
          <reference field="15" count="1">
            <x v="61"/>
          </reference>
        </references>
      </pivotArea>
    </format>
    <format dxfId="1027">
      <pivotArea dataOnly="0" labelOnly="1" fieldPosition="0">
        <references count="5">
          <reference field="4" count="1" selected="0">
            <x v="9"/>
          </reference>
          <reference field="6" count="1" selected="0">
            <x v="1"/>
          </reference>
          <reference field="7" count="1" selected="0">
            <x v="25"/>
          </reference>
          <reference field="8" count="1" selected="0">
            <x v="117"/>
          </reference>
          <reference field="15" count="2">
            <x v="92"/>
            <x v="249"/>
          </reference>
        </references>
      </pivotArea>
    </format>
    <format dxfId="1026">
      <pivotArea dataOnly="0" labelOnly="1" fieldPosition="0">
        <references count="5">
          <reference field="4" count="1" selected="0">
            <x v="9"/>
          </reference>
          <reference field="6" count="1" selected="0">
            <x v="1"/>
          </reference>
          <reference field="7" count="1" selected="0">
            <x v="25"/>
          </reference>
          <reference field="8" count="1" selected="0">
            <x v="118"/>
          </reference>
          <reference field="15" count="3">
            <x v="71"/>
            <x v="87"/>
            <x v="91"/>
          </reference>
        </references>
      </pivotArea>
    </format>
    <format dxfId="1025">
      <pivotArea dataOnly="0" labelOnly="1" fieldPosition="0">
        <references count="5">
          <reference field="4" count="1" selected="0">
            <x v="9"/>
          </reference>
          <reference field="6" count="1" selected="0">
            <x v="1"/>
          </reference>
          <reference field="7" count="1" selected="0">
            <x v="25"/>
          </reference>
          <reference field="8" count="1" selected="0">
            <x v="119"/>
          </reference>
          <reference field="15" count="4">
            <x v="62"/>
            <x v="68"/>
            <x v="69"/>
            <x v="70"/>
          </reference>
        </references>
      </pivotArea>
    </format>
    <format dxfId="1024">
      <pivotArea dataOnly="0" labelOnly="1" fieldPosition="0">
        <references count="5">
          <reference field="4" count="1" selected="0">
            <x v="9"/>
          </reference>
          <reference field="6" count="1" selected="0">
            <x v="1"/>
          </reference>
          <reference field="7" count="1" selected="0">
            <x v="25"/>
          </reference>
          <reference field="8" count="1" selected="0">
            <x v="120"/>
          </reference>
          <reference field="15" count="1">
            <x v="85"/>
          </reference>
        </references>
      </pivotArea>
    </format>
    <format dxfId="1023">
      <pivotArea dataOnly="0" labelOnly="1" fieldPosition="0">
        <references count="5">
          <reference field="4" count="1" selected="0">
            <x v="9"/>
          </reference>
          <reference field="6" count="1" selected="0">
            <x v="1"/>
          </reference>
          <reference field="7" count="1" selected="0">
            <x v="25"/>
          </reference>
          <reference field="8" count="1" selected="0">
            <x v="121"/>
          </reference>
          <reference field="15" count="2">
            <x v="41"/>
            <x v="78"/>
          </reference>
        </references>
      </pivotArea>
    </format>
    <format dxfId="1022">
      <pivotArea dataOnly="0" labelOnly="1" fieldPosition="0">
        <references count="5">
          <reference field="4" count="1" selected="0">
            <x v="9"/>
          </reference>
          <reference field="6" count="1" selected="0">
            <x v="1"/>
          </reference>
          <reference field="7" count="1" selected="0">
            <x v="25"/>
          </reference>
          <reference field="8" count="1" selected="0">
            <x v="122"/>
          </reference>
          <reference field="15" count="2">
            <x v="38"/>
            <x v="39"/>
          </reference>
        </references>
      </pivotArea>
    </format>
    <format dxfId="1021">
      <pivotArea dataOnly="0" labelOnly="1" fieldPosition="0">
        <references count="5">
          <reference field="4" count="1" selected="0">
            <x v="9"/>
          </reference>
          <reference field="6" count="1" selected="0">
            <x v="1"/>
          </reference>
          <reference field="7" count="1" selected="0">
            <x v="25"/>
          </reference>
          <reference field="8" count="1" selected="0">
            <x v="123"/>
          </reference>
          <reference field="15" count="7">
            <x v="32"/>
            <x v="33"/>
            <x v="60"/>
            <x v="82"/>
            <x v="83"/>
            <x v="89"/>
            <x v="90"/>
          </reference>
        </references>
      </pivotArea>
    </format>
    <format dxfId="1020">
      <pivotArea dataOnly="0" labelOnly="1" fieldPosition="0">
        <references count="5">
          <reference field="4" count="1" selected="0">
            <x v="9"/>
          </reference>
          <reference field="6" count="1" selected="0">
            <x v="1"/>
          </reference>
          <reference field="7" count="1" selected="0">
            <x v="25"/>
          </reference>
          <reference field="8" count="1" selected="0">
            <x v="124"/>
          </reference>
          <reference field="15" count="1">
            <x v="261"/>
          </reference>
        </references>
      </pivotArea>
    </format>
    <format dxfId="1019">
      <pivotArea dataOnly="0" labelOnly="1" fieldPosition="0">
        <references count="5">
          <reference field="4" count="1" selected="0">
            <x v="10"/>
          </reference>
          <reference field="6" count="1" selected="0">
            <x v="3"/>
          </reference>
          <reference field="7" count="1" selected="0">
            <x v="6"/>
          </reference>
          <reference field="8" count="1" selected="0">
            <x v="29"/>
          </reference>
          <reference field="15" count="21">
            <x v="2"/>
            <x v="3"/>
            <x v="5"/>
            <x v="152"/>
            <x v="153"/>
            <x v="154"/>
            <x v="155"/>
            <x v="156"/>
            <x v="157"/>
            <x v="158"/>
            <x v="159"/>
            <x v="160"/>
            <x v="161"/>
            <x v="162"/>
            <x v="163"/>
            <x v="189"/>
            <x v="190"/>
            <x v="191"/>
            <x v="192"/>
            <x v="193"/>
            <x v="395"/>
          </reference>
        </references>
      </pivotArea>
    </format>
    <format dxfId="1018">
      <pivotArea dataOnly="0" labelOnly="1" fieldPosition="0">
        <references count="5">
          <reference field="4" count="1" selected="0">
            <x v="11"/>
          </reference>
          <reference field="6" count="1" selected="0">
            <x v="0"/>
          </reference>
          <reference field="7" count="1" selected="0">
            <x v="17"/>
          </reference>
          <reference field="8" count="1" selected="0">
            <x v="70"/>
          </reference>
          <reference field="15" count="4">
            <x v="345"/>
            <x v="346"/>
            <x v="347"/>
            <x v="351"/>
          </reference>
        </references>
      </pivotArea>
    </format>
    <format dxfId="1017">
      <pivotArea dataOnly="0" labelOnly="1" fieldPosition="0">
        <references count="5">
          <reference field="4" count="1" selected="0">
            <x v="11"/>
          </reference>
          <reference field="6" count="1" selected="0">
            <x v="0"/>
          </reference>
          <reference field="7" count="1" selected="0">
            <x v="17"/>
          </reference>
          <reference field="8" count="1" selected="0">
            <x v="71"/>
          </reference>
          <reference field="15" count="3">
            <x v="348"/>
            <x v="352"/>
            <x v="353"/>
          </reference>
        </references>
      </pivotArea>
    </format>
    <format dxfId="1016">
      <pivotArea dataOnly="0" labelOnly="1" fieldPosition="0">
        <references count="5">
          <reference field="4" count="1" selected="0">
            <x v="11"/>
          </reference>
          <reference field="6" count="1" selected="0">
            <x v="0"/>
          </reference>
          <reference field="7" count="1" selected="0">
            <x v="17"/>
          </reference>
          <reference field="8" count="1" selected="0">
            <x v="72"/>
          </reference>
          <reference field="15" count="3">
            <x v="143"/>
            <x v="349"/>
            <x v="350"/>
          </reference>
        </references>
      </pivotArea>
    </format>
    <format dxfId="1015">
      <pivotArea dataOnly="0" labelOnly="1" fieldPosition="0">
        <references count="5">
          <reference field="4" count="1" selected="0">
            <x v="12"/>
          </reference>
          <reference field="6" count="1" selected="0">
            <x v="0"/>
          </reference>
          <reference field="7" count="1" selected="0">
            <x v="18"/>
          </reference>
          <reference field="8" count="1" selected="0">
            <x v="74"/>
          </reference>
          <reference field="15" count="2">
            <x v="113"/>
            <x v="114"/>
          </reference>
        </references>
      </pivotArea>
    </format>
    <format dxfId="1014">
      <pivotArea dataOnly="0" labelOnly="1" fieldPosition="0">
        <references count="5">
          <reference field="4" count="1" selected="0">
            <x v="12"/>
          </reference>
          <reference field="6" count="1" selected="0">
            <x v="0"/>
          </reference>
          <reference field="7" count="1" selected="0">
            <x v="18"/>
          </reference>
          <reference field="8" count="1" selected="0">
            <x v="75"/>
          </reference>
          <reference field="15" count="1">
            <x v="116"/>
          </reference>
        </references>
      </pivotArea>
    </format>
    <format dxfId="1013">
      <pivotArea dataOnly="0" labelOnly="1" fieldPosition="0">
        <references count="5">
          <reference field="4" count="1" selected="0">
            <x v="12"/>
          </reference>
          <reference field="6" count="1" selected="0">
            <x v="0"/>
          </reference>
          <reference field="7" count="1" selected="0">
            <x v="18"/>
          </reference>
          <reference field="8" count="1" selected="0">
            <x v="76"/>
          </reference>
          <reference field="15" count="1">
            <x v="244"/>
          </reference>
        </references>
      </pivotArea>
    </format>
    <format dxfId="1012">
      <pivotArea dataOnly="0" labelOnly="1" fieldPosition="0">
        <references count="5">
          <reference field="4" count="1" selected="0">
            <x v="13"/>
          </reference>
          <reference field="6" count="1" selected="0">
            <x v="3"/>
          </reference>
          <reference field="7" count="1" selected="0">
            <x v="1"/>
          </reference>
          <reference field="8" count="1" selected="0">
            <x v="6"/>
          </reference>
          <reference field="15" count="1">
            <x v="340"/>
          </reference>
        </references>
      </pivotArea>
    </format>
    <format dxfId="1011">
      <pivotArea dataOnly="0" labelOnly="1" fieldPosition="0">
        <references count="5">
          <reference field="4" count="1" selected="0">
            <x v="13"/>
          </reference>
          <reference field="6" count="1" selected="0">
            <x v="3"/>
          </reference>
          <reference field="7" count="1" selected="0">
            <x v="5"/>
          </reference>
          <reference field="8" count="1" selected="0">
            <x v="22"/>
          </reference>
          <reference field="15" count="1">
            <x v="333"/>
          </reference>
        </references>
      </pivotArea>
    </format>
    <format dxfId="1010">
      <pivotArea dataOnly="0" labelOnly="1" fieldPosition="0">
        <references count="5">
          <reference field="4" count="1" selected="0">
            <x v="13"/>
          </reference>
          <reference field="6" count="1" selected="0">
            <x v="3"/>
          </reference>
          <reference field="7" count="1" selected="0">
            <x v="5"/>
          </reference>
          <reference field="8" count="1" selected="0">
            <x v="23"/>
          </reference>
          <reference field="15" count="1">
            <x v="332"/>
          </reference>
        </references>
      </pivotArea>
    </format>
    <format dxfId="1009">
      <pivotArea dataOnly="0" labelOnly="1" fieldPosition="0">
        <references count="5">
          <reference field="4" count="1" selected="0">
            <x v="13"/>
          </reference>
          <reference field="6" count="1" selected="0">
            <x v="3"/>
          </reference>
          <reference field="7" count="1" selected="0">
            <x v="5"/>
          </reference>
          <reference field="8" count="1" selected="0">
            <x v="24"/>
          </reference>
          <reference field="15" count="1">
            <x v="339"/>
          </reference>
        </references>
      </pivotArea>
    </format>
    <format dxfId="1008">
      <pivotArea dataOnly="0" labelOnly="1" fieldPosition="0">
        <references count="5">
          <reference field="4" count="1" selected="0">
            <x v="13"/>
          </reference>
          <reference field="6" count="1" selected="0">
            <x v="3"/>
          </reference>
          <reference field="7" count="1" selected="0">
            <x v="5"/>
          </reference>
          <reference field="8" count="1" selected="0">
            <x v="25"/>
          </reference>
          <reference field="15" count="1">
            <x v="342"/>
          </reference>
        </references>
      </pivotArea>
    </format>
    <format dxfId="1007">
      <pivotArea dataOnly="0" labelOnly="1" fieldPosition="0">
        <references count="5">
          <reference field="4" count="1" selected="0">
            <x v="13"/>
          </reference>
          <reference field="6" count="1" selected="0">
            <x v="3"/>
          </reference>
          <reference field="7" count="1" selected="0">
            <x v="5"/>
          </reference>
          <reference field="8" count="1" selected="0">
            <x v="26"/>
          </reference>
          <reference field="15" count="1">
            <x v="338"/>
          </reference>
        </references>
      </pivotArea>
    </format>
    <format dxfId="1006">
      <pivotArea dataOnly="0" labelOnly="1" fieldPosition="0">
        <references count="5">
          <reference field="4" count="1" selected="0">
            <x v="13"/>
          </reference>
          <reference field="6" count="1" selected="0">
            <x v="3"/>
          </reference>
          <reference field="7" count="1" selected="0">
            <x v="5"/>
          </reference>
          <reference field="8" count="1" selected="0">
            <x v="27"/>
          </reference>
          <reference field="15" count="1">
            <x v="341"/>
          </reference>
        </references>
      </pivotArea>
    </format>
    <format dxfId="1005">
      <pivotArea dataOnly="0" labelOnly="1" fieldPosition="0">
        <references count="5">
          <reference field="4" count="1" selected="0">
            <x v="14"/>
          </reference>
          <reference field="6" count="1" selected="0">
            <x v="1"/>
          </reference>
          <reference field="7" count="1" selected="0">
            <x v="26"/>
          </reference>
          <reference field="8" count="1" selected="0">
            <x v="125"/>
          </reference>
          <reference field="15" count="4">
            <x v="26"/>
            <x v="27"/>
            <x v="28"/>
            <x v="99"/>
          </reference>
        </references>
      </pivotArea>
    </format>
    <format dxfId="1004">
      <pivotArea dataOnly="0" labelOnly="1" fieldPosition="0">
        <references count="5">
          <reference field="4" count="1" selected="0">
            <x v="14"/>
          </reference>
          <reference field="6" count="1" selected="0">
            <x v="1"/>
          </reference>
          <reference field="7" count="1" selected="0">
            <x v="26"/>
          </reference>
          <reference field="8" count="1" selected="0">
            <x v="126"/>
          </reference>
          <reference field="15" count="1">
            <x v="19"/>
          </reference>
        </references>
      </pivotArea>
    </format>
    <format dxfId="1003">
      <pivotArea dataOnly="0" labelOnly="1" fieldPosition="0">
        <references count="5">
          <reference field="4" count="1" selected="0">
            <x v="14"/>
          </reference>
          <reference field="6" count="1" selected="0">
            <x v="1"/>
          </reference>
          <reference field="7" count="1" selected="0">
            <x v="26"/>
          </reference>
          <reference field="8" count="1" selected="0">
            <x v="127"/>
          </reference>
          <reference field="15" count="2">
            <x v="150"/>
            <x v="151"/>
          </reference>
        </references>
      </pivotArea>
    </format>
    <format dxfId="1002">
      <pivotArea dataOnly="0" labelOnly="1" fieldPosition="0">
        <references count="5">
          <reference field="4" count="1" selected="0">
            <x v="14"/>
          </reference>
          <reference field="6" count="1" selected="0">
            <x v="1"/>
          </reference>
          <reference field="7" count="1" selected="0">
            <x v="26"/>
          </reference>
          <reference field="8" count="1" selected="0">
            <x v="128"/>
          </reference>
          <reference field="15" count="2">
            <x v="29"/>
            <x v="30"/>
          </reference>
        </references>
      </pivotArea>
    </format>
    <format dxfId="1001">
      <pivotArea dataOnly="0" labelOnly="1" fieldPosition="0">
        <references count="5">
          <reference field="4" count="1" selected="0">
            <x v="14"/>
          </reference>
          <reference field="6" count="1" selected="0">
            <x v="1"/>
          </reference>
          <reference field="7" count="1" selected="0">
            <x v="26"/>
          </reference>
          <reference field="8" count="1" selected="0">
            <x v="129"/>
          </reference>
          <reference field="15" count="2">
            <x v="330"/>
            <x v="331"/>
          </reference>
        </references>
      </pivotArea>
    </format>
    <format dxfId="1000">
      <pivotArea dataOnly="0" labelOnly="1" fieldPosition="0">
        <references count="5">
          <reference field="4" count="1" selected="0">
            <x v="14"/>
          </reference>
          <reference field="6" count="1" selected="0">
            <x v="1"/>
          </reference>
          <reference field="7" count="1" selected="0">
            <x v="26"/>
          </reference>
          <reference field="8" count="1" selected="0">
            <x v="130"/>
          </reference>
          <reference field="15" count="2">
            <x v="367"/>
            <x v="368"/>
          </reference>
        </references>
      </pivotArea>
    </format>
    <format dxfId="999">
      <pivotArea dataOnly="0" labelOnly="1" fieldPosition="0">
        <references count="5">
          <reference field="4" count="1" selected="0">
            <x v="14"/>
          </reference>
          <reference field="6" count="1" selected="0">
            <x v="1"/>
          </reference>
          <reference field="7" count="1" selected="0">
            <x v="26"/>
          </reference>
          <reference field="8" count="1" selected="0">
            <x v="131"/>
          </reference>
          <reference field="15" count="3">
            <x v="14"/>
            <x v="15"/>
            <x v="16"/>
          </reference>
        </references>
      </pivotArea>
    </format>
    <format dxfId="998">
      <pivotArea dataOnly="0" labelOnly="1" fieldPosition="0">
        <references count="5">
          <reference field="4" count="1" selected="0">
            <x v="15"/>
          </reference>
          <reference field="6" count="1" selected="0">
            <x v="0"/>
          </reference>
          <reference field="7" count="1" selected="0">
            <x v="20"/>
          </reference>
          <reference field="8" count="1" selected="0">
            <x v="82"/>
          </reference>
          <reference field="15" count="2">
            <x v="73"/>
            <x v="74"/>
          </reference>
        </references>
      </pivotArea>
    </format>
    <format dxfId="997">
      <pivotArea dataOnly="0" labelOnly="1" fieldPosition="0">
        <references count="5">
          <reference field="4" count="1" selected="0">
            <x v="15"/>
          </reference>
          <reference field="6" count="1" selected="0">
            <x v="0"/>
          </reference>
          <reference field="7" count="1" selected="0">
            <x v="20"/>
          </reference>
          <reference field="8" count="1" selected="0">
            <x v="83"/>
          </reference>
          <reference field="15" count="1">
            <x v="75"/>
          </reference>
        </references>
      </pivotArea>
    </format>
    <format dxfId="996">
      <pivotArea dataOnly="0" labelOnly="1" fieldPosition="0">
        <references count="5">
          <reference field="4" count="1" selected="0">
            <x v="15"/>
          </reference>
          <reference field="6" count="1" selected="0">
            <x v="0"/>
          </reference>
          <reference field="7" count="1" selected="0">
            <x v="20"/>
          </reference>
          <reference field="8" count="1" selected="0">
            <x v="84"/>
          </reference>
          <reference field="15" count="1">
            <x v="76"/>
          </reference>
        </references>
      </pivotArea>
    </format>
    <format dxfId="995">
      <pivotArea dataOnly="0" labelOnly="1" fieldPosition="0">
        <references count="5">
          <reference field="4" count="1" selected="0">
            <x v="15"/>
          </reference>
          <reference field="6" count="1" selected="0">
            <x v="0"/>
          </reference>
          <reference field="7" count="1" selected="0">
            <x v="20"/>
          </reference>
          <reference field="8" count="1" selected="0">
            <x v="85"/>
          </reference>
          <reference field="15" count="1">
            <x v="259"/>
          </reference>
        </references>
      </pivotArea>
    </format>
    <format dxfId="994">
      <pivotArea dataOnly="0" labelOnly="1" fieldPosition="0">
        <references count="5">
          <reference field="4" count="1" selected="0">
            <x v="15"/>
          </reference>
          <reference field="6" count="1" selected="0">
            <x v="0"/>
          </reference>
          <reference field="7" count="1" selected="0">
            <x v="20"/>
          </reference>
          <reference field="8" count="1" selected="0">
            <x v="86"/>
          </reference>
          <reference field="15" count="3">
            <x v="132"/>
            <x v="133"/>
            <x v="134"/>
          </reference>
        </references>
      </pivotArea>
    </format>
    <format dxfId="993">
      <pivotArea dataOnly="0" labelOnly="1" fieldPosition="0">
        <references count="5">
          <reference field="4" count="1" selected="0">
            <x v="16"/>
          </reference>
          <reference field="6" count="1" selected="0">
            <x v="1"/>
          </reference>
          <reference field="7" count="1" selected="0">
            <x v="27"/>
          </reference>
          <reference field="8" count="1" selected="0">
            <x v="132"/>
          </reference>
          <reference field="15" count="1">
            <x v="20"/>
          </reference>
        </references>
      </pivotArea>
    </format>
    <format dxfId="992">
      <pivotArea dataOnly="0" labelOnly="1" fieldPosition="0">
        <references count="5">
          <reference field="4" count="1" selected="0">
            <x v="16"/>
          </reference>
          <reference field="6" count="1" selected="0">
            <x v="1"/>
          </reference>
          <reference field="7" count="1" selected="0">
            <x v="27"/>
          </reference>
          <reference field="8" count="1" selected="0">
            <x v="133"/>
          </reference>
          <reference field="15" count="3">
            <x v="21"/>
            <x v="22"/>
            <x v="23"/>
          </reference>
        </references>
      </pivotArea>
    </format>
    <format dxfId="991">
      <pivotArea dataOnly="0" labelOnly="1" fieldPosition="0">
        <references count="5">
          <reference field="4" count="1" selected="0">
            <x v="16"/>
          </reference>
          <reference field="6" count="1" selected="0">
            <x v="1"/>
          </reference>
          <reference field="7" count="1" selected="0">
            <x v="27"/>
          </reference>
          <reference field="8" count="1" selected="0">
            <x v="134"/>
          </reference>
          <reference field="15" count="2">
            <x v="149"/>
            <x v="354"/>
          </reference>
        </references>
      </pivotArea>
    </format>
    <format dxfId="990">
      <pivotArea dataOnly="0" labelOnly="1" fieldPosition="0">
        <references count="5">
          <reference field="4" count="1" selected="0">
            <x v="16"/>
          </reference>
          <reference field="6" count="1" selected="0">
            <x v="1"/>
          </reference>
          <reference field="7" count="1" selected="0">
            <x v="27"/>
          </reference>
          <reference field="8" count="1" selected="0">
            <x v="135"/>
          </reference>
          <reference field="15" count="2">
            <x v="109"/>
            <x v="363"/>
          </reference>
        </references>
      </pivotArea>
    </format>
    <format dxfId="989">
      <pivotArea dataOnly="0" labelOnly="1" fieldPosition="0">
        <references count="5">
          <reference field="4" count="1" selected="0">
            <x v="16"/>
          </reference>
          <reference field="6" count="1" selected="0">
            <x v="1"/>
          </reference>
          <reference field="7" count="1" selected="0">
            <x v="27"/>
          </reference>
          <reference field="8" count="1" selected="0">
            <x v="136"/>
          </reference>
          <reference field="15" count="2">
            <x v="81"/>
            <x v="148"/>
          </reference>
        </references>
      </pivotArea>
    </format>
    <format dxfId="988">
      <pivotArea dataOnly="0" labelOnly="1" fieldPosition="0">
        <references count="5">
          <reference field="4" count="1" selected="0">
            <x v="16"/>
          </reference>
          <reference field="6" count="1" selected="0">
            <x v="1"/>
          </reference>
          <reference field="7" count="1" selected="0">
            <x v="27"/>
          </reference>
          <reference field="8" count="1" selected="0">
            <x v="137"/>
          </reference>
          <reference field="15" count="2">
            <x v="111"/>
            <x v="112"/>
          </reference>
        </references>
      </pivotArea>
    </format>
    <format dxfId="987">
      <pivotArea dataOnly="0" labelOnly="1" fieldPosition="0">
        <references count="5">
          <reference field="4" count="1" selected="0">
            <x v="16"/>
          </reference>
          <reference field="6" count="1" selected="0">
            <x v="3"/>
          </reference>
          <reference field="7" count="1" selected="0">
            <x v="1"/>
          </reference>
          <reference field="8" count="1" selected="0">
            <x v="6"/>
          </reference>
          <reference field="15" count="1">
            <x v="362"/>
          </reference>
        </references>
      </pivotArea>
    </format>
    <format dxfId="986">
      <pivotArea dataOnly="0" labelOnly="1" fieldPosition="0">
        <references count="5">
          <reference field="4" count="1" selected="0">
            <x v="16"/>
          </reference>
          <reference field="6" count="1" selected="0">
            <x v="4"/>
          </reference>
          <reference field="7" count="1" selected="0">
            <x v="8"/>
          </reference>
          <reference field="8" count="1" selected="0">
            <x v="38"/>
          </reference>
          <reference field="15" count="1">
            <x v="229"/>
          </reference>
        </references>
      </pivotArea>
    </format>
    <format dxfId="985">
      <pivotArea dataOnly="0" labelOnly="1" fieldPosition="0">
        <references count="5">
          <reference field="4" count="1" selected="0">
            <x v="16"/>
          </reference>
          <reference field="6" count="1" selected="0">
            <x v="4"/>
          </reference>
          <reference field="7" count="1" selected="0">
            <x v="11"/>
          </reference>
          <reference field="8" count="1" selected="0">
            <x v="48"/>
          </reference>
          <reference field="15" count="1">
            <x v="200"/>
          </reference>
        </references>
      </pivotArea>
    </format>
    <format dxfId="984">
      <pivotArea dataOnly="0" labelOnly="1" fieldPosition="0">
        <references count="5">
          <reference field="4" count="1" selected="0">
            <x v="17"/>
          </reference>
          <reference field="6" count="1" selected="0">
            <x v="0"/>
          </reference>
          <reference field="7" count="1" selected="0">
            <x v="16"/>
          </reference>
          <reference field="8" count="1" selected="0">
            <x v="57"/>
          </reference>
          <reference field="15" count="5">
            <x v="110"/>
            <x v="284"/>
            <x v="285"/>
            <x v="294"/>
            <x v="295"/>
          </reference>
        </references>
      </pivotArea>
    </format>
    <format dxfId="983">
      <pivotArea dataOnly="0" labelOnly="1" fieldPosition="0">
        <references count="5">
          <reference field="4" count="1" selected="0">
            <x v="17"/>
          </reference>
          <reference field="6" count="1" selected="0">
            <x v="0"/>
          </reference>
          <reference field="7" count="1" selected="0">
            <x v="16"/>
          </reference>
          <reference field="8" count="1" selected="0">
            <x v="58"/>
          </reference>
          <reference field="15" count="2">
            <x v="299"/>
            <x v="300"/>
          </reference>
        </references>
      </pivotArea>
    </format>
    <format dxfId="982">
      <pivotArea dataOnly="0" labelOnly="1" fieldPosition="0">
        <references count="5">
          <reference field="4" count="1" selected="0">
            <x v="17"/>
          </reference>
          <reference field="6" count="1" selected="0">
            <x v="0"/>
          </reference>
          <reference field="7" count="1" selected="0">
            <x v="16"/>
          </reference>
          <reference field="8" count="1" selected="0">
            <x v="59"/>
          </reference>
          <reference field="15" count="2">
            <x v="94"/>
            <x v="95"/>
          </reference>
        </references>
      </pivotArea>
    </format>
    <format dxfId="981">
      <pivotArea dataOnly="0" labelOnly="1" fieldPosition="0">
        <references count="5">
          <reference field="4" count="1" selected="0">
            <x v="17"/>
          </reference>
          <reference field="6" count="1" selected="0">
            <x v="0"/>
          </reference>
          <reference field="7" count="1" selected="0">
            <x v="16"/>
          </reference>
          <reference field="8" count="1" selected="0">
            <x v="60"/>
          </reference>
          <reference field="15" count="5">
            <x v="102"/>
            <x v="103"/>
            <x v="104"/>
            <x v="322"/>
            <x v="323"/>
          </reference>
        </references>
      </pivotArea>
    </format>
    <format dxfId="980">
      <pivotArea dataOnly="0" labelOnly="1" fieldPosition="0">
        <references count="5">
          <reference field="4" count="1" selected="0">
            <x v="17"/>
          </reference>
          <reference field="6" count="1" selected="0">
            <x v="0"/>
          </reference>
          <reference field="7" count="1" selected="0">
            <x v="16"/>
          </reference>
          <reference field="8" count="1" selected="0">
            <x v="61"/>
          </reference>
          <reference field="15" count="2">
            <x v="296"/>
            <x v="297"/>
          </reference>
        </references>
      </pivotArea>
    </format>
    <format dxfId="979">
      <pivotArea dataOnly="0" labelOnly="1" fieldPosition="0">
        <references count="5">
          <reference field="4" count="1" selected="0">
            <x v="17"/>
          </reference>
          <reference field="6" count="1" selected="0">
            <x v="0"/>
          </reference>
          <reference field="7" count="1" selected="0">
            <x v="16"/>
          </reference>
          <reference field="8" count="1" selected="0">
            <x v="62"/>
          </reference>
          <reference field="15" count="1">
            <x v="93"/>
          </reference>
        </references>
      </pivotArea>
    </format>
    <format dxfId="978">
      <pivotArea dataOnly="0" labelOnly="1" fieldPosition="0">
        <references count="5">
          <reference field="4" count="1" selected="0">
            <x v="17"/>
          </reference>
          <reference field="6" count="1" selected="0">
            <x v="0"/>
          </reference>
          <reference field="7" count="1" selected="0">
            <x v="16"/>
          </reference>
          <reference field="8" count="1" selected="0">
            <x v="63"/>
          </reference>
          <reference field="15" count="2">
            <x v="315"/>
            <x v="316"/>
          </reference>
        </references>
      </pivotArea>
    </format>
    <format dxfId="977">
      <pivotArea dataOnly="0" labelOnly="1" fieldPosition="0">
        <references count="5">
          <reference field="4" count="1" selected="0">
            <x v="17"/>
          </reference>
          <reference field="6" count="1" selected="0">
            <x v="0"/>
          </reference>
          <reference field="7" count="1" selected="0">
            <x v="22"/>
          </reference>
          <reference field="8" count="1" selected="0">
            <x v="94"/>
          </reference>
          <reference field="15" count="2">
            <x v="105"/>
            <x v="106"/>
          </reference>
        </references>
      </pivotArea>
    </format>
    <format dxfId="976">
      <pivotArea dataOnly="0" labelOnly="1" fieldPosition="0">
        <references count="5">
          <reference field="4" count="1" selected="0">
            <x v="18"/>
          </reference>
          <reference field="6" count="1" selected="0">
            <x v="3"/>
          </reference>
          <reference field="7" count="1" selected="0">
            <x v="2"/>
          </reference>
          <reference field="8" count="1" selected="0">
            <x v="8"/>
          </reference>
          <reference field="15" count="2">
            <x v="375"/>
            <x v="376"/>
          </reference>
        </references>
      </pivotArea>
    </format>
    <format dxfId="975">
      <pivotArea dataOnly="0" labelOnly="1" fieldPosition="0">
        <references count="5">
          <reference field="4" count="1" selected="0">
            <x v="18"/>
          </reference>
          <reference field="6" count="1" selected="0">
            <x v="3"/>
          </reference>
          <reference field="7" count="1" selected="0">
            <x v="2"/>
          </reference>
          <reference field="8" count="1" selected="0">
            <x v="9"/>
          </reference>
          <reference field="15" count="1">
            <x v="266"/>
          </reference>
        </references>
      </pivotArea>
    </format>
    <format dxfId="974">
      <pivotArea dataOnly="0" labelOnly="1" fieldPosition="0">
        <references count="5">
          <reference field="4" count="1" selected="0">
            <x v="18"/>
          </reference>
          <reference field="6" count="1" selected="0">
            <x v="3"/>
          </reference>
          <reference field="7" count="1" selected="0">
            <x v="2"/>
          </reference>
          <reference field="8" count="1" selected="0">
            <x v="16"/>
          </reference>
          <reference field="15" count="2">
            <x v="271"/>
            <x v="272"/>
          </reference>
        </references>
      </pivotArea>
    </format>
    <format dxfId="973">
      <pivotArea dataOnly="0" labelOnly="1" fieldPosition="0">
        <references count="5">
          <reference field="4" count="1" selected="0">
            <x v="18"/>
          </reference>
          <reference field="6" count="1" selected="0">
            <x v="3"/>
          </reference>
          <reference field="7" count="1" selected="0">
            <x v="2"/>
          </reference>
          <reference field="8" count="1" selected="0">
            <x v="17"/>
          </reference>
          <reference field="15" count="3">
            <x v="286"/>
            <x v="287"/>
            <x v="288"/>
          </reference>
        </references>
      </pivotArea>
    </format>
    <format dxfId="972">
      <pivotArea dataOnly="0" labelOnly="1" fieldPosition="0">
        <references count="5">
          <reference field="4" count="1" selected="0">
            <x v="19"/>
          </reference>
          <reference field="6" count="1" selected="0">
            <x v="3"/>
          </reference>
          <reference field="7" count="1" selected="0">
            <x v="6"/>
          </reference>
          <reference field="8" count="1" selected="0">
            <x v="29"/>
          </reference>
          <reference field="15" count="24">
            <x v="4"/>
            <x v="168"/>
            <x v="169"/>
            <x v="170"/>
            <x v="171"/>
            <x v="172"/>
            <x v="173"/>
            <x v="174"/>
            <x v="183"/>
            <x v="184"/>
            <x v="185"/>
            <x v="186"/>
            <x v="187"/>
            <x v="188"/>
            <x v="194"/>
            <x v="195"/>
            <x v="196"/>
            <x v="197"/>
            <x v="198"/>
            <x v="199"/>
            <x v="203"/>
            <x v="204"/>
            <x v="223"/>
            <x v="258"/>
          </reference>
        </references>
      </pivotArea>
    </format>
    <format dxfId="971">
      <pivotArea dataOnly="0" labelOnly="1" fieldPosition="0">
        <references count="5">
          <reference field="4" count="1" selected="0">
            <x v="20"/>
          </reference>
          <reference field="6" count="1" selected="0">
            <x v="1"/>
          </reference>
          <reference field="7" count="1" selected="0">
            <x v="24"/>
          </reference>
          <reference field="8" count="1" selected="0">
            <x v="106"/>
          </reference>
          <reference field="15" count="2">
            <x v="239"/>
            <x v="240"/>
          </reference>
        </references>
      </pivotArea>
    </format>
    <format dxfId="970">
      <pivotArea dataOnly="0" labelOnly="1" outline="0" fieldPosition="0">
        <references count="1">
          <reference field="4294967294" count="2">
            <x v="7"/>
            <x v="8"/>
          </reference>
        </references>
      </pivotArea>
    </format>
    <format dxfId="969">
      <pivotArea outline="0" collapsedLevelsAreSubtotals="1" fieldPosition="0"/>
    </format>
    <format dxfId="968">
      <pivotArea dataOnly="0" labelOnly="1" outline="0" fieldPosition="0">
        <references count="1">
          <reference field="2" count="0"/>
        </references>
      </pivotArea>
    </format>
    <format dxfId="967">
      <pivotArea dataOnly="0" labelOnly="1" outline="0" fieldPosition="0">
        <references count="1">
          <reference field="4294967294" count="9">
            <x v="0"/>
            <x v="1"/>
            <x v="2"/>
            <x v="3"/>
            <x v="4"/>
            <x v="5"/>
            <x v="6"/>
            <x v="7"/>
            <x v="8"/>
          </reference>
        </references>
      </pivotArea>
    </format>
    <format dxfId="966">
      <pivotArea outline="0" collapsedLevelsAreSubtotals="1" fieldPosition="0">
        <references count="1">
          <reference field="4294967294" count="7" selected="0">
            <x v="0"/>
            <x v="1"/>
            <x v="2"/>
            <x v="3"/>
            <x v="4"/>
            <x v="5"/>
            <x v="6"/>
          </reference>
        </references>
      </pivotArea>
    </format>
    <format dxfId="965">
      <pivotArea outline="0" collapsedLevelsAreSubtotals="1" fieldPosition="0"/>
    </format>
    <format dxfId="964">
      <pivotArea dataOnly="0" labelOnly="1" outline="0" fieldPosition="0">
        <references count="1">
          <reference field="2" count="1">
            <x v="18"/>
          </reference>
        </references>
      </pivotArea>
    </format>
    <format dxfId="963">
      <pivotArea dataOnly="0" labelOnly="1" outline="0" fieldPosition="0">
        <references count="1">
          <reference field="4294967294" count="9">
            <x v="0"/>
            <x v="1"/>
            <x v="2"/>
            <x v="3"/>
            <x v="4"/>
            <x v="5"/>
            <x v="6"/>
            <x v="7"/>
            <x v="8"/>
          </reference>
        </references>
      </pivotArea>
    </format>
    <format dxfId="962">
      <pivotArea outline="0" collapsedLevelsAreSubtotals="1" fieldPosition="0">
        <references count="1">
          <reference field="4294967294" count="2" selected="0">
            <x v="7"/>
            <x v="8"/>
          </reference>
        </references>
      </pivotArea>
    </format>
    <format dxfId="961">
      <pivotArea dataOnly="0" labelOnly="1" outline="0" fieldPosition="0">
        <references count="1">
          <reference field="4294967294" count="2">
            <x v="7"/>
            <x v="8"/>
          </reference>
        </references>
      </pivotArea>
    </format>
    <format dxfId="960">
      <pivotArea field="2" type="button" dataOnly="0" labelOnly="1" outline="0" axis="axisPage" fieldPosition="0"/>
    </format>
    <format dxfId="959">
      <pivotArea field="4" type="button" dataOnly="0" labelOnly="1" outline="0" axis="axisRow" fieldPosition="0"/>
    </format>
    <format dxfId="958">
      <pivotArea dataOnly="0" labelOnly="1" fieldPosition="0">
        <references count="1">
          <reference field="4" count="1">
            <x v="18"/>
          </reference>
        </references>
      </pivotArea>
    </format>
    <format dxfId="957">
      <pivotArea dataOnly="0" labelOnly="1" grandRow="1" outline="0" fieldPosition="0"/>
    </format>
    <format dxfId="956">
      <pivotArea dataOnly="0" labelOnly="1" fieldPosition="0">
        <references count="2">
          <reference field="4" count="1" selected="0">
            <x v="18"/>
          </reference>
          <reference field="6" count="1">
            <x v="3"/>
          </reference>
        </references>
      </pivotArea>
    </format>
    <format dxfId="955">
      <pivotArea dataOnly="0" labelOnly="1" fieldPosition="0">
        <references count="3">
          <reference field="4" count="1" selected="0">
            <x v="18"/>
          </reference>
          <reference field="6" count="1" selected="0">
            <x v="3"/>
          </reference>
          <reference field="7" count="1">
            <x v="2"/>
          </reference>
        </references>
      </pivotArea>
    </format>
    <format dxfId="954">
      <pivotArea dataOnly="0" labelOnly="1" fieldPosition="0">
        <references count="4">
          <reference field="4" count="1" selected="0">
            <x v="18"/>
          </reference>
          <reference field="6" count="1" selected="0">
            <x v="3"/>
          </reference>
          <reference field="7" count="1" selected="0">
            <x v="2"/>
          </reference>
          <reference field="8" count="4">
            <x v="8"/>
            <x v="9"/>
            <x v="16"/>
            <x v="17"/>
          </reference>
        </references>
      </pivotArea>
    </format>
    <format dxfId="953">
      <pivotArea dataOnly="0" labelOnly="1" fieldPosition="0">
        <references count="5">
          <reference field="4" count="1" selected="0">
            <x v="18"/>
          </reference>
          <reference field="6" count="1" selected="0">
            <x v="3"/>
          </reference>
          <reference field="7" count="1" selected="0">
            <x v="2"/>
          </reference>
          <reference field="8" count="1" selected="0">
            <x v="8"/>
          </reference>
          <reference field="15" count="2">
            <x v="375"/>
            <x v="376"/>
          </reference>
        </references>
      </pivotArea>
    </format>
    <format dxfId="952">
      <pivotArea dataOnly="0" labelOnly="1" fieldPosition="0">
        <references count="5">
          <reference field="4" count="1" selected="0">
            <x v="18"/>
          </reference>
          <reference field="6" count="1" selected="0">
            <x v="3"/>
          </reference>
          <reference field="7" count="1" selected="0">
            <x v="2"/>
          </reference>
          <reference field="8" count="1" selected="0">
            <x v="9"/>
          </reference>
          <reference field="15" count="1">
            <x v="266"/>
          </reference>
        </references>
      </pivotArea>
    </format>
    <format dxfId="951">
      <pivotArea dataOnly="0" labelOnly="1" fieldPosition="0">
        <references count="5">
          <reference field="4" count="1" selected="0">
            <x v="18"/>
          </reference>
          <reference field="6" count="1" selected="0">
            <x v="3"/>
          </reference>
          <reference field="7" count="1" selected="0">
            <x v="2"/>
          </reference>
          <reference field="8" count="1" selected="0">
            <x v="16"/>
          </reference>
          <reference field="15" count="2">
            <x v="271"/>
            <x v="272"/>
          </reference>
        </references>
      </pivotArea>
    </format>
    <format dxfId="950">
      <pivotArea dataOnly="0" labelOnly="1" fieldPosition="0">
        <references count="5">
          <reference field="4" count="1" selected="0">
            <x v="18"/>
          </reference>
          <reference field="6" count="1" selected="0">
            <x v="3"/>
          </reference>
          <reference field="7" count="1" selected="0">
            <x v="2"/>
          </reference>
          <reference field="8" count="1" selected="0">
            <x v="17"/>
          </reference>
          <reference field="15" count="3">
            <x v="286"/>
            <x v="287"/>
            <x v="28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2" cacheId="2" applyNumberFormats="0" applyBorderFormats="0" applyFontFormats="0" applyPatternFormats="0" applyAlignmentFormats="0" applyWidthHeightFormats="1" dataCaption="Valores" grandTotalCaption="TOTAL " updatedVersion="8" minRefreshableVersion="3" useAutoFormatting="1" itemPrintTitles="1" createdVersion="8" indent="0" outline="1" outlineData="1" multipleFieldFilters="0" rowHeaderCaption="UNIDAD EJECUTORA">
  <location ref="A3:J32" firstHeaderRow="0" firstDataRow="1" firstDataCol="1" rowPageCount="1" colPageCount="1"/>
  <pivotFields count="33">
    <pivotField showAll="0"/>
    <pivotField showAll="0"/>
    <pivotField axis="axisPage" showAll="0">
      <items count="22">
        <item x="4"/>
        <item x="3"/>
        <item x="14"/>
        <item x="0"/>
        <item x="13"/>
        <item x="17"/>
        <item x="7"/>
        <item x="9"/>
        <item x="15"/>
        <item x="8"/>
        <item x="1"/>
        <item x="16"/>
        <item x="12"/>
        <item x="20"/>
        <item x="5"/>
        <item x="10"/>
        <item x="6"/>
        <item x="11"/>
        <item x="19"/>
        <item x="2"/>
        <item x="18"/>
        <item t="default"/>
      </items>
    </pivotField>
    <pivotField showAll="0"/>
    <pivotField axis="axisRow" showAll="0">
      <items count="22">
        <item x="4"/>
        <item x="3"/>
        <item x="14"/>
        <item x="0"/>
        <item x="13"/>
        <item x="17"/>
        <item x="7"/>
        <item x="9"/>
        <item x="15"/>
        <item x="8"/>
        <item x="1"/>
        <item x="16"/>
        <item x="12"/>
        <item x="20"/>
        <item x="5"/>
        <item x="10"/>
        <item x="6"/>
        <item x="11"/>
        <item x="19"/>
        <item x="2"/>
        <item x="18"/>
        <item t="default"/>
      </items>
    </pivotField>
    <pivotField numFmtId="1" showAll="0"/>
    <pivotField axis="axisRow" showAll="0">
      <items count="6">
        <item x="1"/>
        <item x="2"/>
        <item x="3"/>
        <item x="0"/>
        <item x="4"/>
        <item t="default"/>
      </items>
    </pivotField>
    <pivotField axis="axisRow" showAll="0">
      <items count="34">
        <item x="19"/>
        <item x="27"/>
        <item x="1"/>
        <item x="2"/>
        <item x="8"/>
        <item x="30"/>
        <item x="0"/>
        <item x="32"/>
        <item x="25"/>
        <item x="29"/>
        <item x="12"/>
        <item x="15"/>
        <item x="13"/>
        <item x="28"/>
        <item x="23"/>
        <item x="31"/>
        <item x="16"/>
        <item x="10"/>
        <item x="18"/>
        <item x="3"/>
        <item x="14"/>
        <item x="20"/>
        <item x="17"/>
        <item x="9"/>
        <item x="6"/>
        <item x="7"/>
        <item x="4"/>
        <item x="5"/>
        <item x="24"/>
        <item x="11"/>
        <item x="21"/>
        <item x="26"/>
        <item x="22"/>
        <item t="default"/>
      </items>
    </pivotField>
    <pivotField axis="axisRow" showAll="0">
      <items count="161">
        <item x="62"/>
        <item x="155"/>
        <item x="112"/>
        <item x="156"/>
        <item x="118"/>
        <item x="154"/>
        <item x="140"/>
        <item x="60"/>
        <item x="153"/>
        <item x="102"/>
        <item x="7"/>
        <item x="2"/>
        <item x="52"/>
        <item x="1"/>
        <item x="22"/>
        <item x="151"/>
        <item x="105"/>
        <item x="114"/>
        <item x="82"/>
        <item x="3"/>
        <item x="15"/>
        <item x="49"/>
        <item x="135"/>
        <item x="134"/>
        <item x="139"/>
        <item x="142"/>
        <item x="138"/>
        <item x="141"/>
        <item x="128"/>
        <item x="0"/>
        <item x="103"/>
        <item x="159"/>
        <item x="150"/>
        <item x="86"/>
        <item x="152"/>
        <item x="137"/>
        <item x="110"/>
        <item x="79"/>
        <item x="80"/>
        <item x="83"/>
        <item x="126"/>
        <item x="131"/>
        <item x="132"/>
        <item x="129"/>
        <item x="28"/>
        <item x="27"/>
        <item x="29"/>
        <item x="26"/>
        <item x="43"/>
        <item x="42"/>
        <item x="32"/>
        <item x="122"/>
        <item x="124"/>
        <item x="123"/>
        <item x="111"/>
        <item x="69"/>
        <item x="136"/>
        <item x="55"/>
        <item x="119"/>
        <item x="46"/>
        <item x="50"/>
        <item x="117"/>
        <item x="45"/>
        <item x="127"/>
        <item x="106"/>
        <item x="53"/>
        <item x="147"/>
        <item x="146"/>
        <item x="38"/>
        <item x="20"/>
        <item x="144"/>
        <item x="145"/>
        <item x="74"/>
        <item x="89"/>
        <item x="57"/>
        <item x="59"/>
        <item x="88"/>
        <item x="108"/>
        <item x="85"/>
        <item x="5"/>
        <item x="4"/>
        <item x="81"/>
        <item x="35"/>
        <item x="36"/>
        <item x="37"/>
        <item x="98"/>
        <item x="67"/>
        <item x="63"/>
        <item x="116"/>
        <item x="125"/>
        <item x="157"/>
        <item x="101"/>
        <item x="66"/>
        <item x="149"/>
        <item x="51"/>
        <item x="90"/>
        <item x="91"/>
        <item x="97"/>
        <item x="21"/>
        <item x="94"/>
        <item x="93"/>
        <item x="95"/>
        <item x="18"/>
        <item x="92"/>
        <item x="96"/>
        <item x="11"/>
        <item x="87"/>
        <item x="61"/>
        <item x="48"/>
        <item x="47"/>
        <item x="58"/>
        <item x="130"/>
        <item x="39"/>
        <item x="33"/>
        <item x="100"/>
        <item x="16"/>
        <item x="30"/>
        <item x="44"/>
        <item x="34"/>
        <item x="31"/>
        <item x="41"/>
        <item x="19"/>
        <item x="17"/>
        <item x="14"/>
        <item x="99"/>
        <item x="12"/>
        <item x="8"/>
        <item x="78"/>
        <item x="13"/>
        <item x="133"/>
        <item x="148"/>
        <item x="6"/>
        <item x="9"/>
        <item x="10"/>
        <item x="77"/>
        <item x="54"/>
        <item x="40"/>
        <item x="56"/>
        <item x="104"/>
        <item x="76"/>
        <item x="25"/>
        <item x="109"/>
        <item x="113"/>
        <item x="115"/>
        <item x="24"/>
        <item x="23"/>
        <item x="70"/>
        <item x="64"/>
        <item x="73"/>
        <item x="71"/>
        <item x="75"/>
        <item x="158"/>
        <item x="65"/>
        <item x="72"/>
        <item x="107"/>
        <item x="84"/>
        <item x="121"/>
        <item x="120"/>
        <item x="143"/>
        <item x="68"/>
        <item t="default"/>
      </items>
    </pivotField>
    <pivotField showAll="0"/>
    <pivotField showAll="0"/>
    <pivotField showAll="0"/>
    <pivotField showAll="0"/>
    <pivotField showAll="0"/>
    <pivotField showAll="0"/>
    <pivotField axis="axisRow" showAll="0">
      <items count="402">
        <item x="1"/>
        <item x="0"/>
        <item x="3"/>
        <item x="2"/>
        <item x="4"/>
        <item x="5"/>
        <item x="6"/>
        <item x="8"/>
        <item x="7"/>
        <item x="9"/>
        <item x="11"/>
        <item x="10"/>
        <item x="12"/>
        <item x="13"/>
        <item x="16"/>
        <item x="15"/>
        <item x="14"/>
        <item x="18"/>
        <item x="17"/>
        <item x="19"/>
        <item x="20"/>
        <item x="21"/>
        <item x="22"/>
        <item x="23"/>
        <item x="25"/>
        <item x="24"/>
        <item x="27"/>
        <item x="26"/>
        <item x="28"/>
        <item x="29"/>
        <item x="30"/>
        <item x="31"/>
        <item x="32"/>
        <item x="33"/>
        <item x="34"/>
        <item x="35"/>
        <item x="36"/>
        <item x="37"/>
        <item x="38"/>
        <item x="39"/>
        <item x="40"/>
        <item x="41"/>
        <item x="42"/>
        <item x="43"/>
        <item x="44"/>
        <item x="45"/>
        <item x="46"/>
        <item x="47"/>
        <item x="48"/>
        <item x="49"/>
        <item x="50"/>
        <item x="51"/>
        <item x="52"/>
        <item x="53"/>
        <item x="54"/>
        <item x="55"/>
        <item x="56"/>
        <item x="58"/>
        <item x="57"/>
        <item x="59"/>
        <item x="60"/>
        <item x="61"/>
        <item x="62"/>
        <item x="63"/>
        <item x="65"/>
        <item x="64"/>
        <item x="66"/>
        <item x="67"/>
        <item x="68"/>
        <item x="69"/>
        <item x="70"/>
        <item x="71"/>
        <item x="72"/>
        <item x="74"/>
        <item x="73"/>
        <item x="75"/>
        <item x="76"/>
        <item x="77"/>
        <item x="78"/>
        <item x="79"/>
        <item x="80"/>
        <item x="81"/>
        <item x="82"/>
        <item x="83"/>
        <item x="84"/>
        <item x="85"/>
        <item x="86"/>
        <item x="87"/>
        <item x="88"/>
        <item x="89"/>
        <item x="90"/>
        <item x="91"/>
        <item x="92"/>
        <item x="93"/>
        <item x="95"/>
        <item x="94"/>
        <item x="96"/>
        <item x="97"/>
        <item x="98"/>
        <item x="99"/>
        <item x="101"/>
        <item x="100"/>
        <item x="103"/>
        <item x="102"/>
        <item x="104"/>
        <item x="105"/>
        <item x="106"/>
        <item x="107"/>
        <item x="108"/>
        <item x="109"/>
        <item x="110"/>
        <item x="111"/>
        <item x="112"/>
        <item x="114"/>
        <item x="113"/>
        <item x="115"/>
        <item x="116"/>
        <item x="117"/>
        <item x="118"/>
        <item x="119"/>
        <item x="122"/>
        <item x="120"/>
        <item x="121"/>
        <item x="123"/>
        <item x="124"/>
        <item x="125"/>
        <item x="126"/>
        <item x="127"/>
        <item x="129"/>
        <item x="128"/>
        <item x="130"/>
        <item x="131"/>
        <item x="132"/>
        <item x="133"/>
        <item x="134"/>
        <item x="135"/>
        <item x="136"/>
        <item x="137"/>
        <item x="138"/>
        <item x="139"/>
        <item x="140"/>
        <item x="141"/>
        <item x="142"/>
        <item x="143"/>
        <item x="144"/>
        <item x="145"/>
        <item x="146"/>
        <item x="147"/>
        <item x="148"/>
        <item x="149"/>
        <item x="151"/>
        <item x="150"/>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3"/>
        <item x="192"/>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4"/>
        <item x="233"/>
        <item x="235"/>
        <item x="236"/>
        <item x="237"/>
        <item x="238"/>
        <item x="239"/>
        <item x="240"/>
        <item x="241"/>
        <item x="242"/>
        <item x="243"/>
        <item x="244"/>
        <item x="246"/>
        <item x="245"/>
        <item x="247"/>
        <item x="248"/>
        <item x="249"/>
        <item x="250"/>
        <item x="251"/>
        <item x="252"/>
        <item x="253"/>
        <item x="254"/>
        <item x="255"/>
        <item x="256"/>
        <item x="257"/>
        <item x="258"/>
        <item x="259"/>
        <item x="260"/>
        <item x="261"/>
        <item x="262"/>
        <item x="263"/>
        <item x="264"/>
        <item x="265"/>
        <item x="266"/>
        <item x="268"/>
        <item x="267"/>
        <item x="269"/>
        <item x="270"/>
        <item x="271"/>
        <item x="272"/>
        <item x="273"/>
        <item x="274"/>
        <item x="275"/>
        <item x="277"/>
        <item x="276"/>
        <item x="278"/>
        <item x="279"/>
        <item x="280"/>
        <item x="281"/>
        <item x="282"/>
        <item x="283"/>
        <item x="285"/>
        <item x="284"/>
        <item x="288"/>
        <item x="286"/>
        <item x="287"/>
        <item x="289"/>
        <item x="290"/>
        <item x="291"/>
        <item x="292"/>
        <item x="293"/>
        <item x="294"/>
        <item x="295"/>
        <item x="297"/>
        <item x="296"/>
        <item x="298"/>
        <item x="299"/>
        <item x="300"/>
        <item x="301"/>
        <item x="302"/>
        <item x="303"/>
        <item x="304"/>
        <item x="305"/>
        <item x="306"/>
        <item x="307"/>
        <item x="308"/>
        <item x="309"/>
        <item x="310"/>
        <item x="311"/>
        <item x="312"/>
        <item x="313"/>
        <item x="314"/>
        <item x="316"/>
        <item x="315"/>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7"/>
        <item x="346"/>
        <item x="348"/>
        <item x="349"/>
        <item x="350"/>
        <item x="351"/>
        <item x="352"/>
        <item x="353"/>
        <item x="354"/>
        <item x="355"/>
        <item x="357"/>
        <item x="356"/>
        <item x="358"/>
        <item x="360"/>
        <item x="359"/>
        <item x="361"/>
        <item x="362"/>
        <item x="363"/>
        <item x="364"/>
        <item x="365"/>
        <item x="366"/>
        <item x="368"/>
        <item x="367"/>
        <item x="369"/>
        <item x="370"/>
        <item x="371"/>
        <item x="372"/>
        <item x="373"/>
        <item x="374"/>
        <item x="376"/>
        <item x="375"/>
        <item x="377"/>
        <item x="378"/>
        <item x="379"/>
        <item x="380"/>
        <item x="381"/>
        <item x="382"/>
        <item x="383"/>
        <item x="384"/>
        <item x="385"/>
        <item x="386"/>
        <item x="387"/>
        <item x="389"/>
        <item x="388"/>
        <item x="390"/>
        <item x="391"/>
        <item x="392"/>
        <item x="393"/>
        <item x="394"/>
        <item x="395"/>
        <item x="396"/>
        <item x="397"/>
        <item x="398"/>
        <item x="399"/>
        <item x="400"/>
        <item t="default"/>
      </items>
    </pivotField>
    <pivotField showAll="0"/>
    <pivotField showAll="0"/>
    <pivotField dataField="1" numFmtId="43" showAll="0"/>
    <pivotField numFmtId="43" showAll="0"/>
    <pivotField dataField="1" numFmtId="43" showAll="0"/>
    <pivotField numFmtId="43" showAll="0"/>
    <pivotField numFmtId="43" showAll="0"/>
    <pivotField dataField="1" numFmtId="43" showAll="0"/>
    <pivotField numFmtId="43" showAll="0"/>
    <pivotField dataField="1" numFmtId="43" showAll="0"/>
    <pivotField numFmtId="43" showAll="0"/>
    <pivotField numFmtId="43" showAll="0"/>
    <pivotField dataField="1" numFmtId="43" showAl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5">
    <field x="4"/>
    <field x="6"/>
    <field x="7"/>
    <field x="8"/>
    <field x="15"/>
  </rowFields>
  <rowItems count="29">
    <i>
      <x v="19"/>
    </i>
    <i r="1">
      <x v="3"/>
    </i>
    <i r="2">
      <x v="6"/>
    </i>
    <i r="3">
      <x v="29"/>
    </i>
    <i r="4">
      <x v="4"/>
    </i>
    <i r="4">
      <x v="168"/>
    </i>
    <i r="4">
      <x v="169"/>
    </i>
    <i r="4">
      <x v="170"/>
    </i>
    <i r="4">
      <x v="171"/>
    </i>
    <i r="4">
      <x v="172"/>
    </i>
    <i r="4">
      <x v="173"/>
    </i>
    <i r="4">
      <x v="174"/>
    </i>
    <i r="4">
      <x v="183"/>
    </i>
    <i r="4">
      <x v="184"/>
    </i>
    <i r="4">
      <x v="185"/>
    </i>
    <i r="4">
      <x v="186"/>
    </i>
    <i r="4">
      <x v="187"/>
    </i>
    <i r="4">
      <x v="188"/>
    </i>
    <i r="4">
      <x v="194"/>
    </i>
    <i r="4">
      <x v="195"/>
    </i>
    <i r="4">
      <x v="196"/>
    </i>
    <i r="4">
      <x v="197"/>
    </i>
    <i r="4">
      <x v="198"/>
    </i>
    <i r="4">
      <x v="199"/>
    </i>
    <i r="4">
      <x v="203"/>
    </i>
    <i r="4">
      <x v="204"/>
    </i>
    <i r="4">
      <x v="223"/>
    </i>
    <i r="4">
      <x v="258"/>
    </i>
    <i t="grand">
      <x/>
    </i>
  </rowItems>
  <colFields count="1">
    <field x="-2"/>
  </colFields>
  <colItems count="9">
    <i>
      <x/>
    </i>
    <i i="1">
      <x v="1"/>
    </i>
    <i i="2">
      <x v="2"/>
    </i>
    <i i="3">
      <x v="3"/>
    </i>
    <i i="4">
      <x v="4"/>
    </i>
    <i i="5">
      <x v="5"/>
    </i>
    <i i="6">
      <x v="6"/>
    </i>
    <i i="7">
      <x v="7"/>
    </i>
    <i i="8">
      <x v="8"/>
    </i>
  </colItems>
  <pageFields count="1">
    <pageField fld="2" item="19" hier="-1"/>
  </pageFields>
  <dataFields count="9">
    <dataField name="PPTO INICIAL" fld="18" baseField="4" baseItem="0"/>
    <dataField name="PPTO VIGENTE" fld="20" baseField="4" baseItem="0"/>
    <dataField name="COMPROMISOS." fld="23" baseField="4" baseItem="0"/>
    <dataField name="GIROS." fld="25" baseField="4" baseItem="0"/>
    <dataField name="PAGOS " fld="28" baseField="4" baseItem="0"/>
    <dataField name=" SALDO APROPIACIÓN CDP" fld="29" baseField="4" baseItem="0" numFmtId="43"/>
    <dataField name="SALDO APROPIACIÓN RP" fld="30" baseField="4" baseItem="0" numFmtId="43"/>
    <dataField name="Suma de % CDP" fld="31" baseField="0" baseItem="0" numFmtId="43"/>
    <dataField name="Suma de % RP" fld="32" baseField="0" baseItem="0" numFmtId="43"/>
  </dataFields>
  <formats count="319">
    <format dxfId="949">
      <pivotArea dataOnly="0" labelOnly="1" fieldPosition="0">
        <references count="1">
          <reference field="4" count="0"/>
        </references>
      </pivotArea>
    </format>
    <format dxfId="948">
      <pivotArea dataOnly="0" labelOnly="1" fieldPosition="0">
        <references count="1">
          <reference field="4" count="1">
            <x v="0"/>
          </reference>
        </references>
      </pivotArea>
    </format>
    <format dxfId="947">
      <pivotArea dataOnly="0" labelOnly="1" fieldPosition="0">
        <references count="1">
          <reference field="6" count="0"/>
        </references>
      </pivotArea>
    </format>
    <format dxfId="946">
      <pivotArea dataOnly="0" labelOnly="1" fieldPosition="0">
        <references count="1">
          <reference field="7" count="0"/>
        </references>
      </pivotArea>
    </format>
    <format dxfId="945">
      <pivotArea dataOnly="0" labelOnly="1" fieldPosition="0">
        <references count="1">
          <reference field="7" count="0"/>
        </references>
      </pivotArea>
    </format>
    <format dxfId="944">
      <pivotArea dataOnly="0" labelOnly="1" fieldPosition="0">
        <references count="1">
          <reference field="8" count="0"/>
        </references>
      </pivotArea>
    </format>
    <format dxfId="943">
      <pivotArea outline="0" collapsedLevelsAreSubtotals="1" fieldPosition="0"/>
    </format>
    <format dxfId="942">
      <pivotArea dataOnly="0" labelOnly="1" outline="0" fieldPosition="0">
        <references count="1">
          <reference field="2" count="0"/>
        </references>
      </pivotArea>
    </format>
    <format dxfId="941">
      <pivotArea dataOnly="0" labelOnly="1" outline="0" fieldPosition="0">
        <references count="1">
          <reference field="4294967294" count="9">
            <x v="0"/>
            <x v="1"/>
            <x v="2"/>
            <x v="3"/>
            <x v="4"/>
            <x v="5"/>
            <x v="6"/>
            <x v="7"/>
            <x v="8"/>
          </reference>
        </references>
      </pivotArea>
    </format>
    <format dxfId="940">
      <pivotArea field="2" type="button" dataOnly="0" labelOnly="1" outline="0" axis="axisPage" fieldPosition="0"/>
    </format>
    <format dxfId="939">
      <pivotArea field="4" type="button" dataOnly="0" labelOnly="1" outline="0" axis="axisRow" fieldPosition="0"/>
    </format>
    <format dxfId="938">
      <pivotArea dataOnly="0" labelOnly="1" fieldPosition="0">
        <references count="1">
          <reference field="4" count="0"/>
        </references>
      </pivotArea>
    </format>
    <format dxfId="937">
      <pivotArea dataOnly="0" labelOnly="1" grandRow="1" outline="0" fieldPosition="0"/>
    </format>
    <format dxfId="936">
      <pivotArea dataOnly="0" labelOnly="1" fieldPosition="0">
        <references count="2">
          <reference field="4" count="1" selected="0">
            <x v="0"/>
          </reference>
          <reference field="6" count="2">
            <x v="0"/>
            <x v="1"/>
          </reference>
        </references>
      </pivotArea>
    </format>
    <format dxfId="935">
      <pivotArea dataOnly="0" labelOnly="1" fieldPosition="0">
        <references count="2">
          <reference field="4" count="1" selected="0">
            <x v="1"/>
          </reference>
          <reference field="6" count="3">
            <x v="0"/>
            <x v="3"/>
            <x v="4"/>
          </reference>
        </references>
      </pivotArea>
    </format>
    <format dxfId="934">
      <pivotArea dataOnly="0" labelOnly="1" fieldPosition="0">
        <references count="2">
          <reference field="4" count="1" selected="0">
            <x v="2"/>
          </reference>
          <reference field="6" count="3">
            <x v="2"/>
            <x v="3"/>
            <x v="4"/>
          </reference>
        </references>
      </pivotArea>
    </format>
    <format dxfId="933">
      <pivotArea dataOnly="0" labelOnly="1" fieldPosition="0">
        <references count="2">
          <reference field="4" count="1" selected="0">
            <x v="3"/>
          </reference>
          <reference field="6" count="1">
            <x v="3"/>
          </reference>
        </references>
      </pivotArea>
    </format>
    <format dxfId="932">
      <pivotArea dataOnly="0" labelOnly="1" fieldPosition="0">
        <references count="2">
          <reference field="4" count="1" selected="0">
            <x v="4"/>
          </reference>
          <reference field="6" count="4">
            <x v="0"/>
            <x v="1"/>
            <x v="2"/>
            <x v="3"/>
          </reference>
        </references>
      </pivotArea>
    </format>
    <format dxfId="931">
      <pivotArea dataOnly="0" labelOnly="1" fieldPosition="0">
        <references count="2">
          <reference field="4" count="1" selected="0">
            <x v="5"/>
          </reference>
          <reference field="6" count="2">
            <x v="0"/>
            <x v="4"/>
          </reference>
        </references>
      </pivotArea>
    </format>
    <format dxfId="930">
      <pivotArea dataOnly="0" labelOnly="1" fieldPosition="0">
        <references count="2">
          <reference field="4" count="1" selected="0">
            <x v="6"/>
          </reference>
          <reference field="6" count="1">
            <x v="1"/>
          </reference>
        </references>
      </pivotArea>
    </format>
    <format dxfId="929">
      <pivotArea dataOnly="0" labelOnly="1" fieldPosition="0">
        <references count="2">
          <reference field="4" count="1" selected="0">
            <x v="7"/>
          </reference>
          <reference field="6" count="4">
            <x v="0"/>
            <x v="2"/>
            <x v="3"/>
            <x v="4"/>
          </reference>
        </references>
      </pivotArea>
    </format>
    <format dxfId="928">
      <pivotArea dataOnly="0" labelOnly="1" fieldPosition="0">
        <references count="2">
          <reference field="4" count="1" selected="0">
            <x v="8"/>
          </reference>
          <reference field="6" count="4">
            <x v="0"/>
            <x v="1"/>
            <x v="2"/>
            <x v="3"/>
          </reference>
        </references>
      </pivotArea>
    </format>
    <format dxfId="927">
      <pivotArea dataOnly="0" labelOnly="1" fieldPosition="0">
        <references count="2">
          <reference field="4" count="1" selected="0">
            <x v="9"/>
          </reference>
          <reference field="6" count="1">
            <x v="1"/>
          </reference>
        </references>
      </pivotArea>
    </format>
    <format dxfId="926">
      <pivotArea dataOnly="0" labelOnly="1" fieldPosition="0">
        <references count="2">
          <reference field="4" count="1" selected="0">
            <x v="10"/>
          </reference>
          <reference field="6" count="1">
            <x v="3"/>
          </reference>
        </references>
      </pivotArea>
    </format>
    <format dxfId="925">
      <pivotArea dataOnly="0" labelOnly="1" fieldPosition="0">
        <references count="2">
          <reference field="4" count="1" selected="0">
            <x v="11"/>
          </reference>
          <reference field="6" count="1">
            <x v="0"/>
          </reference>
        </references>
      </pivotArea>
    </format>
    <format dxfId="924">
      <pivotArea dataOnly="0" labelOnly="1" fieldPosition="0">
        <references count="2">
          <reference field="4" count="1" selected="0">
            <x v="12"/>
          </reference>
          <reference field="6" count="1">
            <x v="0"/>
          </reference>
        </references>
      </pivotArea>
    </format>
    <format dxfId="923">
      <pivotArea dataOnly="0" labelOnly="1" fieldPosition="0">
        <references count="2">
          <reference field="4" count="1" selected="0">
            <x v="13"/>
          </reference>
          <reference field="6" count="1">
            <x v="3"/>
          </reference>
        </references>
      </pivotArea>
    </format>
    <format dxfId="922">
      <pivotArea dataOnly="0" labelOnly="1" fieldPosition="0">
        <references count="2">
          <reference field="4" count="1" selected="0">
            <x v="14"/>
          </reference>
          <reference field="6" count="1">
            <x v="1"/>
          </reference>
        </references>
      </pivotArea>
    </format>
    <format dxfId="921">
      <pivotArea dataOnly="0" labelOnly="1" fieldPosition="0">
        <references count="2">
          <reference field="4" count="1" selected="0">
            <x v="15"/>
          </reference>
          <reference field="6" count="1">
            <x v="0"/>
          </reference>
        </references>
      </pivotArea>
    </format>
    <format dxfId="920">
      <pivotArea dataOnly="0" labelOnly="1" fieldPosition="0">
        <references count="2">
          <reference field="4" count="1" selected="0">
            <x v="16"/>
          </reference>
          <reference field="6" count="3">
            <x v="1"/>
            <x v="3"/>
            <x v="4"/>
          </reference>
        </references>
      </pivotArea>
    </format>
    <format dxfId="919">
      <pivotArea dataOnly="0" labelOnly="1" fieldPosition="0">
        <references count="2">
          <reference field="4" count="1" selected="0">
            <x v="17"/>
          </reference>
          <reference field="6" count="1">
            <x v="0"/>
          </reference>
        </references>
      </pivotArea>
    </format>
    <format dxfId="918">
      <pivotArea dataOnly="0" labelOnly="1" fieldPosition="0">
        <references count="2">
          <reference field="4" count="1" selected="0">
            <x v="18"/>
          </reference>
          <reference field="6" count="1">
            <x v="3"/>
          </reference>
        </references>
      </pivotArea>
    </format>
    <format dxfId="917">
      <pivotArea dataOnly="0" labelOnly="1" fieldPosition="0">
        <references count="2">
          <reference field="4" count="1" selected="0">
            <x v="19"/>
          </reference>
          <reference field="6" count="1">
            <x v="3"/>
          </reference>
        </references>
      </pivotArea>
    </format>
    <format dxfId="916">
      <pivotArea dataOnly="0" labelOnly="1" fieldPosition="0">
        <references count="2">
          <reference field="4" count="1" selected="0">
            <x v="20"/>
          </reference>
          <reference field="6" count="1">
            <x v="1"/>
          </reference>
        </references>
      </pivotArea>
    </format>
    <format dxfId="915">
      <pivotArea dataOnly="0" labelOnly="1" fieldPosition="0">
        <references count="3">
          <reference field="4" count="1" selected="0">
            <x v="0"/>
          </reference>
          <reference field="6" count="1" selected="0">
            <x v="0"/>
          </reference>
          <reference field="7" count="2">
            <x v="17"/>
            <x v="19"/>
          </reference>
        </references>
      </pivotArea>
    </format>
    <format dxfId="914">
      <pivotArea dataOnly="0" labelOnly="1" fieldPosition="0">
        <references count="3">
          <reference field="4" count="1" selected="0">
            <x v="0"/>
          </reference>
          <reference field="6" count="1" selected="0">
            <x v="1"/>
          </reference>
          <reference field="7" count="2">
            <x v="23"/>
            <x v="26"/>
          </reference>
        </references>
      </pivotArea>
    </format>
    <format dxfId="913">
      <pivotArea dataOnly="0" labelOnly="1" fieldPosition="0">
        <references count="3">
          <reference field="4" count="1" selected="0">
            <x v="1"/>
          </reference>
          <reference field="6" count="1" selected="0">
            <x v="0"/>
          </reference>
          <reference field="7" count="1">
            <x v="19"/>
          </reference>
        </references>
      </pivotArea>
    </format>
    <format dxfId="912">
      <pivotArea dataOnly="0" labelOnly="1" fieldPosition="0">
        <references count="3">
          <reference field="4" count="1" selected="0">
            <x v="1"/>
          </reference>
          <reference field="6" count="1" selected="0">
            <x v="3"/>
          </reference>
          <reference field="7" count="3">
            <x v="2"/>
            <x v="3"/>
            <x v="4"/>
          </reference>
        </references>
      </pivotArea>
    </format>
    <format dxfId="911">
      <pivotArea dataOnly="0" labelOnly="1" fieldPosition="0">
        <references count="3">
          <reference field="4" count="1" selected="0">
            <x v="1"/>
          </reference>
          <reference field="6" count="1" selected="0">
            <x v="4"/>
          </reference>
          <reference field="7" count="1">
            <x v="8"/>
          </reference>
        </references>
      </pivotArea>
    </format>
    <format dxfId="910">
      <pivotArea dataOnly="0" labelOnly="1" fieldPosition="0">
        <references count="3">
          <reference field="4" count="1" selected="0">
            <x v="2"/>
          </reference>
          <reference field="6" count="1" selected="0">
            <x v="2"/>
          </reference>
          <reference field="7" count="2">
            <x v="29"/>
            <x v="30"/>
          </reference>
        </references>
      </pivotArea>
    </format>
    <format dxfId="909">
      <pivotArea dataOnly="0" labelOnly="1" fieldPosition="0">
        <references count="3">
          <reference field="4" count="1" selected="0">
            <x v="2"/>
          </reference>
          <reference field="6" count="1" selected="0">
            <x v="3"/>
          </reference>
          <reference field="7" count="2">
            <x v="5"/>
            <x v="7"/>
          </reference>
        </references>
      </pivotArea>
    </format>
    <format dxfId="908">
      <pivotArea dataOnly="0" labelOnly="1" fieldPosition="0">
        <references count="3">
          <reference field="4" count="1" selected="0">
            <x v="2"/>
          </reference>
          <reference field="6" count="1" selected="0">
            <x v="4"/>
          </reference>
          <reference field="7" count="1">
            <x v="8"/>
          </reference>
        </references>
      </pivotArea>
    </format>
    <format dxfId="907">
      <pivotArea dataOnly="0" labelOnly="1" fieldPosition="0">
        <references count="3">
          <reference field="4" count="1" selected="0">
            <x v="3"/>
          </reference>
          <reference field="6" count="1" selected="0">
            <x v="3"/>
          </reference>
          <reference field="7" count="1">
            <x v="6"/>
          </reference>
        </references>
      </pivotArea>
    </format>
    <format dxfId="906">
      <pivotArea dataOnly="0" labelOnly="1" fieldPosition="0">
        <references count="3">
          <reference field="4" count="1" selected="0">
            <x v="4"/>
          </reference>
          <reference field="6" count="1" selected="0">
            <x v="0"/>
          </reference>
          <reference field="7" count="1">
            <x v="21"/>
          </reference>
        </references>
      </pivotArea>
    </format>
    <format dxfId="905">
      <pivotArea dataOnly="0" labelOnly="1" fieldPosition="0">
        <references count="3">
          <reference field="4" count="1" selected="0">
            <x v="4"/>
          </reference>
          <reference field="6" count="1" selected="0">
            <x v="1"/>
          </reference>
          <reference field="7" count="1">
            <x v="24"/>
          </reference>
        </references>
      </pivotArea>
    </format>
    <format dxfId="904">
      <pivotArea dataOnly="0" labelOnly="1" fieldPosition="0">
        <references count="3">
          <reference field="4" count="1" selected="0">
            <x v="4"/>
          </reference>
          <reference field="6" count="1" selected="0">
            <x v="2"/>
          </reference>
          <reference field="7" count="2">
            <x v="29"/>
            <x v="31"/>
          </reference>
        </references>
      </pivotArea>
    </format>
    <format dxfId="903">
      <pivotArea dataOnly="0" labelOnly="1" fieldPosition="0">
        <references count="3">
          <reference field="4" count="1" selected="0">
            <x v="4"/>
          </reference>
          <reference field="6" count="1" selected="0">
            <x v="3"/>
          </reference>
          <reference field="7" count="2">
            <x v="0"/>
            <x v="1"/>
          </reference>
        </references>
      </pivotArea>
    </format>
    <format dxfId="902">
      <pivotArea dataOnly="0" labelOnly="1" fieldPosition="0">
        <references count="3">
          <reference field="4" count="1" selected="0">
            <x v="5"/>
          </reference>
          <reference field="6" count="1" selected="0">
            <x v="0"/>
          </reference>
          <reference field="7" count="2">
            <x v="18"/>
            <x v="22"/>
          </reference>
        </references>
      </pivotArea>
    </format>
    <format dxfId="901">
      <pivotArea dataOnly="0" labelOnly="1" fieldPosition="0">
        <references count="3">
          <reference field="4" count="1" selected="0">
            <x v="5"/>
          </reference>
          <reference field="6" count="1" selected="0">
            <x v="4"/>
          </reference>
          <reference field="7" count="1">
            <x v="8"/>
          </reference>
        </references>
      </pivotArea>
    </format>
    <format dxfId="900">
      <pivotArea dataOnly="0" labelOnly="1" fieldPosition="0">
        <references count="3">
          <reference field="4" count="1" selected="0">
            <x v="6"/>
          </reference>
          <reference field="6" count="1" selected="0">
            <x v="1"/>
          </reference>
          <reference field="7" count="1">
            <x v="24"/>
          </reference>
        </references>
      </pivotArea>
    </format>
    <format dxfId="899">
      <pivotArea dataOnly="0" labelOnly="1" fieldPosition="0">
        <references count="3">
          <reference field="4" count="1" selected="0">
            <x v="7"/>
          </reference>
          <reference field="6" count="1" selected="0">
            <x v="0"/>
          </reference>
          <reference field="7" count="1">
            <x v="16"/>
          </reference>
        </references>
      </pivotArea>
    </format>
    <format dxfId="898">
      <pivotArea dataOnly="0" labelOnly="1" fieldPosition="0">
        <references count="3">
          <reference field="4" count="1" selected="0">
            <x v="7"/>
          </reference>
          <reference field="6" count="1" selected="0">
            <x v="2"/>
          </reference>
          <reference field="7" count="2">
            <x v="29"/>
            <x v="30"/>
          </reference>
        </references>
      </pivotArea>
    </format>
    <format dxfId="897">
      <pivotArea dataOnly="0" labelOnly="1" fieldPosition="0">
        <references count="3">
          <reference field="4" count="1" selected="0">
            <x v="7"/>
          </reference>
          <reference field="6" count="1" selected="0">
            <x v="3"/>
          </reference>
          <reference field="7" count="1">
            <x v="6"/>
          </reference>
        </references>
      </pivotArea>
    </format>
    <format dxfId="896">
      <pivotArea dataOnly="0" labelOnly="1" fieldPosition="0">
        <references count="3">
          <reference field="4" count="1" selected="0">
            <x v="7"/>
          </reference>
          <reference field="6" count="1" selected="0">
            <x v="4"/>
          </reference>
          <reference field="7" count="8">
            <x v="8"/>
            <x v="9"/>
            <x v="10"/>
            <x v="11"/>
            <x v="12"/>
            <x v="13"/>
            <x v="14"/>
            <x v="15"/>
          </reference>
        </references>
      </pivotArea>
    </format>
    <format dxfId="895">
      <pivotArea dataOnly="0" labelOnly="1" fieldPosition="0">
        <references count="3">
          <reference field="4" count="1" selected="0">
            <x v="8"/>
          </reference>
          <reference field="6" count="1" selected="0">
            <x v="0"/>
          </reference>
          <reference field="7" count="2">
            <x v="18"/>
            <x v="22"/>
          </reference>
        </references>
      </pivotArea>
    </format>
    <format dxfId="894">
      <pivotArea dataOnly="0" labelOnly="1" fieldPosition="0">
        <references count="3">
          <reference field="4" count="1" selected="0">
            <x v="8"/>
          </reference>
          <reference field="6" count="1" selected="0">
            <x v="1"/>
          </reference>
          <reference field="7" count="1">
            <x v="28"/>
          </reference>
        </references>
      </pivotArea>
    </format>
    <format dxfId="893">
      <pivotArea dataOnly="0" labelOnly="1" fieldPosition="0">
        <references count="3">
          <reference field="4" count="1" selected="0">
            <x v="8"/>
          </reference>
          <reference field="6" count="1" selected="0">
            <x v="2"/>
          </reference>
          <reference field="7" count="1">
            <x v="32"/>
          </reference>
        </references>
      </pivotArea>
    </format>
    <format dxfId="892">
      <pivotArea dataOnly="0" labelOnly="1" fieldPosition="0">
        <references count="3">
          <reference field="4" count="1" selected="0">
            <x v="8"/>
          </reference>
          <reference field="6" count="1" selected="0">
            <x v="3"/>
          </reference>
          <reference field="7" count="1">
            <x v="6"/>
          </reference>
        </references>
      </pivotArea>
    </format>
    <format dxfId="891">
      <pivotArea dataOnly="0" labelOnly="1" fieldPosition="0">
        <references count="3">
          <reference field="4" count="1" selected="0">
            <x v="9"/>
          </reference>
          <reference field="6" count="1" selected="0">
            <x v="1"/>
          </reference>
          <reference field="7" count="1">
            <x v="25"/>
          </reference>
        </references>
      </pivotArea>
    </format>
    <format dxfId="890">
      <pivotArea dataOnly="0" labelOnly="1" fieldPosition="0">
        <references count="3">
          <reference field="4" count="1" selected="0">
            <x v="10"/>
          </reference>
          <reference field="6" count="1" selected="0">
            <x v="3"/>
          </reference>
          <reference field="7" count="1">
            <x v="6"/>
          </reference>
        </references>
      </pivotArea>
    </format>
    <format dxfId="889">
      <pivotArea dataOnly="0" labelOnly="1" fieldPosition="0">
        <references count="3">
          <reference field="4" count="1" selected="0">
            <x v="11"/>
          </reference>
          <reference field="6" count="1" selected="0">
            <x v="0"/>
          </reference>
          <reference field="7" count="1">
            <x v="17"/>
          </reference>
        </references>
      </pivotArea>
    </format>
    <format dxfId="888">
      <pivotArea dataOnly="0" labelOnly="1" fieldPosition="0">
        <references count="3">
          <reference field="4" count="1" selected="0">
            <x v="12"/>
          </reference>
          <reference field="6" count="1" selected="0">
            <x v="0"/>
          </reference>
          <reference field="7" count="1">
            <x v="18"/>
          </reference>
        </references>
      </pivotArea>
    </format>
    <format dxfId="887">
      <pivotArea dataOnly="0" labelOnly="1" fieldPosition="0">
        <references count="3">
          <reference field="4" count="1" selected="0">
            <x v="13"/>
          </reference>
          <reference field="6" count="1" selected="0">
            <x v="3"/>
          </reference>
          <reference field="7" count="2">
            <x v="1"/>
            <x v="5"/>
          </reference>
        </references>
      </pivotArea>
    </format>
    <format dxfId="886">
      <pivotArea dataOnly="0" labelOnly="1" fieldPosition="0">
        <references count="3">
          <reference field="4" count="1" selected="0">
            <x v="14"/>
          </reference>
          <reference field="6" count="1" selected="0">
            <x v="1"/>
          </reference>
          <reference field="7" count="1">
            <x v="26"/>
          </reference>
        </references>
      </pivotArea>
    </format>
    <format dxfId="885">
      <pivotArea dataOnly="0" labelOnly="1" fieldPosition="0">
        <references count="3">
          <reference field="4" count="1" selected="0">
            <x v="15"/>
          </reference>
          <reference field="6" count="1" selected="0">
            <x v="0"/>
          </reference>
          <reference field="7" count="1">
            <x v="20"/>
          </reference>
        </references>
      </pivotArea>
    </format>
    <format dxfId="884">
      <pivotArea dataOnly="0" labelOnly="1" fieldPosition="0">
        <references count="3">
          <reference field="4" count="1" selected="0">
            <x v="16"/>
          </reference>
          <reference field="6" count="1" selected="0">
            <x v="1"/>
          </reference>
          <reference field="7" count="1">
            <x v="27"/>
          </reference>
        </references>
      </pivotArea>
    </format>
    <format dxfId="883">
      <pivotArea dataOnly="0" labelOnly="1" fieldPosition="0">
        <references count="3">
          <reference field="4" count="1" selected="0">
            <x v="16"/>
          </reference>
          <reference field="6" count="1" selected="0">
            <x v="3"/>
          </reference>
          <reference field="7" count="1">
            <x v="1"/>
          </reference>
        </references>
      </pivotArea>
    </format>
    <format dxfId="882">
      <pivotArea dataOnly="0" labelOnly="1" fieldPosition="0">
        <references count="3">
          <reference field="4" count="1" selected="0">
            <x v="16"/>
          </reference>
          <reference field="6" count="1" selected="0">
            <x v="4"/>
          </reference>
          <reference field="7" count="2">
            <x v="8"/>
            <x v="11"/>
          </reference>
        </references>
      </pivotArea>
    </format>
    <format dxfId="881">
      <pivotArea dataOnly="0" labelOnly="1" fieldPosition="0">
        <references count="3">
          <reference field="4" count="1" selected="0">
            <x v="17"/>
          </reference>
          <reference field="6" count="1" selected="0">
            <x v="0"/>
          </reference>
          <reference field="7" count="2">
            <x v="16"/>
            <x v="22"/>
          </reference>
        </references>
      </pivotArea>
    </format>
    <format dxfId="880">
      <pivotArea dataOnly="0" labelOnly="1" fieldPosition="0">
        <references count="3">
          <reference field="4" count="1" selected="0">
            <x v="18"/>
          </reference>
          <reference field="6" count="1" selected="0">
            <x v="3"/>
          </reference>
          <reference field="7" count="1">
            <x v="2"/>
          </reference>
        </references>
      </pivotArea>
    </format>
    <format dxfId="879">
      <pivotArea dataOnly="0" labelOnly="1" fieldPosition="0">
        <references count="3">
          <reference field="4" count="1" selected="0">
            <x v="19"/>
          </reference>
          <reference field="6" count="1" selected="0">
            <x v="3"/>
          </reference>
          <reference field="7" count="1">
            <x v="6"/>
          </reference>
        </references>
      </pivotArea>
    </format>
    <format dxfId="878">
      <pivotArea dataOnly="0" labelOnly="1" fieldPosition="0">
        <references count="3">
          <reference field="4" count="1" selected="0">
            <x v="20"/>
          </reference>
          <reference field="6" count="1" selected="0">
            <x v="1"/>
          </reference>
          <reference field="7" count="1">
            <x v="24"/>
          </reference>
        </references>
      </pivotArea>
    </format>
    <format dxfId="877">
      <pivotArea dataOnly="0" labelOnly="1" fieldPosition="0">
        <references count="4">
          <reference field="4" count="1" selected="0">
            <x v="0"/>
          </reference>
          <reference field="6" count="1" selected="0">
            <x v="0"/>
          </reference>
          <reference field="7" count="1" selected="0">
            <x v="17"/>
          </reference>
          <reference field="8" count="5">
            <x v="65"/>
            <x v="66"/>
            <x v="67"/>
            <x v="68"/>
            <x v="69"/>
          </reference>
        </references>
      </pivotArea>
    </format>
    <format dxfId="876">
      <pivotArea dataOnly="0" labelOnly="1" fieldPosition="0">
        <references count="4">
          <reference field="4" count="1" selected="0">
            <x v="0"/>
          </reference>
          <reference field="6" count="1" selected="0">
            <x v="0"/>
          </reference>
          <reference field="7" count="1" selected="0">
            <x v="19"/>
          </reference>
          <reference field="8" count="3">
            <x v="78"/>
            <x v="79"/>
            <x v="80"/>
          </reference>
        </references>
      </pivotArea>
    </format>
    <format dxfId="875">
      <pivotArea dataOnly="0" labelOnly="1" fieldPosition="0">
        <references count="4">
          <reference field="4" count="1" selected="0">
            <x v="0"/>
          </reference>
          <reference field="6" count="1" selected="0">
            <x v="1"/>
          </reference>
          <reference field="7" count="1" selected="0">
            <x v="23"/>
          </reference>
          <reference field="8" count="10">
            <x v="95"/>
            <x v="96"/>
            <x v="97"/>
            <x v="98"/>
            <x v="99"/>
            <x v="100"/>
            <x v="101"/>
            <x v="102"/>
            <x v="103"/>
            <x v="104"/>
          </reference>
        </references>
      </pivotArea>
    </format>
    <format dxfId="874">
      <pivotArea dataOnly="0" labelOnly="1" fieldPosition="0">
        <references count="4">
          <reference field="4" count="1" selected="0">
            <x v="0"/>
          </reference>
          <reference field="6" count="1" selected="0">
            <x v="1"/>
          </reference>
          <reference field="7" count="1" selected="0">
            <x v="26"/>
          </reference>
          <reference field="8" count="1">
            <x v="131"/>
          </reference>
        </references>
      </pivotArea>
    </format>
    <format dxfId="873">
      <pivotArea dataOnly="0" labelOnly="1" fieldPosition="0">
        <references count="4">
          <reference field="4" count="1" selected="0">
            <x v="1"/>
          </reference>
          <reference field="6" count="1" selected="0">
            <x v="0"/>
          </reference>
          <reference field="7" count="1" selected="0">
            <x v="19"/>
          </reference>
          <reference field="8" count="1">
            <x v="81"/>
          </reference>
        </references>
      </pivotArea>
    </format>
    <format dxfId="872">
      <pivotArea dataOnly="0" labelOnly="1" fieldPosition="0">
        <references count="4">
          <reference field="4" count="1" selected="0">
            <x v="1"/>
          </reference>
          <reference field="6" count="1" selected="0">
            <x v="3"/>
          </reference>
          <reference field="7" count="1" selected="0">
            <x v="2"/>
          </reference>
          <reference field="8" count="7">
            <x v="7"/>
            <x v="10"/>
            <x v="11"/>
            <x v="12"/>
            <x v="13"/>
            <x v="14"/>
            <x v="15"/>
          </reference>
        </references>
      </pivotArea>
    </format>
    <format dxfId="871">
      <pivotArea dataOnly="0" labelOnly="1" fieldPosition="0">
        <references count="4">
          <reference field="4" count="1" selected="0">
            <x v="1"/>
          </reference>
          <reference field="6" count="1" selected="0">
            <x v="3"/>
          </reference>
          <reference field="7" count="1" selected="0">
            <x v="3"/>
          </reference>
          <reference field="8" count="2">
            <x v="18"/>
            <x v="19"/>
          </reference>
        </references>
      </pivotArea>
    </format>
    <format dxfId="870">
      <pivotArea dataOnly="0" labelOnly="1" fieldPosition="0">
        <references count="4">
          <reference field="4" count="1" selected="0">
            <x v="1"/>
          </reference>
          <reference field="6" count="1" selected="0">
            <x v="3"/>
          </reference>
          <reference field="7" count="1" selected="0">
            <x v="4"/>
          </reference>
          <reference field="8" count="2">
            <x v="20"/>
            <x v="21"/>
          </reference>
        </references>
      </pivotArea>
    </format>
    <format dxfId="869">
      <pivotArea dataOnly="0" labelOnly="1" fieldPosition="0">
        <references count="4">
          <reference field="4" count="1" selected="0">
            <x v="1"/>
          </reference>
          <reference field="6" count="1" selected="0">
            <x v="4"/>
          </reference>
          <reference field="7" count="1" selected="0">
            <x v="8"/>
          </reference>
          <reference field="8" count="3">
            <x v="33"/>
            <x v="34"/>
            <x v="39"/>
          </reference>
        </references>
      </pivotArea>
    </format>
    <format dxfId="868">
      <pivotArea dataOnly="0" labelOnly="1" fieldPosition="0">
        <references count="4">
          <reference field="4" count="1" selected="0">
            <x v="2"/>
          </reference>
          <reference field="6" count="1" selected="0">
            <x v="2"/>
          </reference>
          <reference field="7" count="1" selected="0">
            <x v="29"/>
          </reference>
          <reference field="8" count="6">
            <x v="145"/>
            <x v="146"/>
            <x v="147"/>
            <x v="148"/>
            <x v="149"/>
            <x v="150"/>
          </reference>
        </references>
      </pivotArea>
    </format>
    <format dxfId="867">
      <pivotArea dataOnly="0" labelOnly="1" fieldPosition="0">
        <references count="4">
          <reference field="4" count="1" selected="0">
            <x v="2"/>
          </reference>
          <reference field="6" count="1" selected="0">
            <x v="2"/>
          </reference>
          <reference field="7" count="1" selected="0">
            <x v="30"/>
          </reference>
          <reference field="8" count="2">
            <x v="152"/>
            <x v="153"/>
          </reference>
        </references>
      </pivotArea>
    </format>
    <format dxfId="866">
      <pivotArea dataOnly="0" labelOnly="1" fieldPosition="0">
        <references count="4">
          <reference field="4" count="1" selected="0">
            <x v="2"/>
          </reference>
          <reference field="6" count="1" selected="0">
            <x v="3"/>
          </reference>
          <reference field="7" count="1" selected="0">
            <x v="5"/>
          </reference>
          <reference field="8" count="1">
            <x v="24"/>
          </reference>
        </references>
      </pivotArea>
    </format>
    <format dxfId="865">
      <pivotArea dataOnly="0" labelOnly="1" fieldPosition="0">
        <references count="4">
          <reference field="4" count="1" selected="0">
            <x v="2"/>
          </reference>
          <reference field="6" count="1" selected="0">
            <x v="3"/>
          </reference>
          <reference field="7" count="1" selected="0">
            <x v="7"/>
          </reference>
          <reference field="8" count="2">
            <x v="31"/>
            <x v="32"/>
          </reference>
        </references>
      </pivotArea>
    </format>
    <format dxfId="864">
      <pivotArea dataOnly="0" labelOnly="1" fieldPosition="0">
        <references count="4">
          <reference field="4" count="1" selected="0">
            <x v="2"/>
          </reference>
          <reference field="6" count="1" selected="0">
            <x v="4"/>
          </reference>
          <reference field="7" count="1" selected="0">
            <x v="8"/>
          </reference>
          <reference field="8" count="2">
            <x v="36"/>
            <x v="39"/>
          </reference>
        </references>
      </pivotArea>
    </format>
    <format dxfId="863">
      <pivotArea dataOnly="0" labelOnly="1" fieldPosition="0">
        <references count="4">
          <reference field="4" count="1" selected="0">
            <x v="3"/>
          </reference>
          <reference field="6" count="1" selected="0">
            <x v="3"/>
          </reference>
          <reference field="7" count="1" selected="0">
            <x v="6"/>
          </reference>
          <reference field="8" count="1">
            <x v="29"/>
          </reference>
        </references>
      </pivotArea>
    </format>
    <format dxfId="862">
      <pivotArea dataOnly="0" labelOnly="1" fieldPosition="0">
        <references count="4">
          <reference field="4" count="1" selected="0">
            <x v="4"/>
          </reference>
          <reference field="6" count="1" selected="0">
            <x v="0"/>
          </reference>
          <reference field="7" count="1" selected="0">
            <x v="21"/>
          </reference>
          <reference field="8" count="5">
            <x v="87"/>
            <x v="88"/>
            <x v="89"/>
            <x v="90"/>
            <x v="91"/>
          </reference>
        </references>
      </pivotArea>
    </format>
    <format dxfId="861">
      <pivotArea dataOnly="0" labelOnly="1" fieldPosition="0">
        <references count="4">
          <reference field="4" count="1" selected="0">
            <x v="4"/>
          </reference>
          <reference field="6" count="1" selected="0">
            <x v="1"/>
          </reference>
          <reference field="7" count="1" selected="0">
            <x v="24"/>
          </reference>
          <reference field="8" count="1">
            <x v="114"/>
          </reference>
        </references>
      </pivotArea>
    </format>
    <format dxfId="860">
      <pivotArea dataOnly="0" labelOnly="1" fieldPosition="0">
        <references count="4">
          <reference field="4" count="1" selected="0">
            <x v="4"/>
          </reference>
          <reference field="6" count="1" selected="0">
            <x v="2"/>
          </reference>
          <reference field="7" count="1" selected="0">
            <x v="29"/>
          </reference>
          <reference field="8" count="3">
            <x v="142"/>
            <x v="143"/>
            <x v="151"/>
          </reference>
        </references>
      </pivotArea>
    </format>
    <format dxfId="859">
      <pivotArea dataOnly="0" labelOnly="1" fieldPosition="0">
        <references count="4">
          <reference field="4" count="1" selected="0">
            <x v="4"/>
          </reference>
          <reference field="6" count="1" selected="0">
            <x v="2"/>
          </reference>
          <reference field="7" count="1" selected="0">
            <x v="31"/>
          </reference>
          <reference field="8" count="3">
            <x v="155"/>
            <x v="156"/>
            <x v="157"/>
          </reference>
        </references>
      </pivotArea>
    </format>
    <format dxfId="858">
      <pivotArea dataOnly="0" labelOnly="1" fieldPosition="0">
        <references count="4">
          <reference field="4" count="1" selected="0">
            <x v="4"/>
          </reference>
          <reference field="6" count="1" selected="0">
            <x v="3"/>
          </reference>
          <reference field="7" count="1" selected="0">
            <x v="0"/>
          </reference>
          <reference field="8" count="2">
            <x v="0"/>
            <x v="1"/>
          </reference>
        </references>
      </pivotArea>
    </format>
    <format dxfId="857">
      <pivotArea dataOnly="0" labelOnly="1" fieldPosition="0">
        <references count="4">
          <reference field="4" count="1" selected="0">
            <x v="4"/>
          </reference>
          <reference field="6" count="1" selected="0">
            <x v="3"/>
          </reference>
          <reference field="7" count="1" selected="0">
            <x v="1"/>
          </reference>
          <reference field="8" count="4">
            <x v="2"/>
            <x v="3"/>
            <x v="4"/>
            <x v="5"/>
          </reference>
        </references>
      </pivotArea>
    </format>
    <format dxfId="856">
      <pivotArea dataOnly="0" labelOnly="1" fieldPosition="0">
        <references count="4">
          <reference field="4" count="1" selected="0">
            <x v="5"/>
          </reference>
          <reference field="6" count="1" selected="0">
            <x v="0"/>
          </reference>
          <reference field="7" count="1" selected="0">
            <x v="18"/>
          </reference>
          <reference field="8" count="3">
            <x v="73"/>
            <x v="74"/>
            <x v="77"/>
          </reference>
        </references>
      </pivotArea>
    </format>
    <format dxfId="855">
      <pivotArea dataOnly="0" labelOnly="1" fieldPosition="0">
        <references count="4">
          <reference field="4" count="1" selected="0">
            <x v="5"/>
          </reference>
          <reference field="6" count="1" selected="0">
            <x v="0"/>
          </reference>
          <reference field="7" count="1" selected="0">
            <x v="22"/>
          </reference>
          <reference field="8" count="1">
            <x v="94"/>
          </reference>
        </references>
      </pivotArea>
    </format>
    <format dxfId="854">
      <pivotArea dataOnly="0" labelOnly="1" fieldPosition="0">
        <references count="4">
          <reference field="4" count="1" selected="0">
            <x v="5"/>
          </reference>
          <reference field="6" count="1" selected="0">
            <x v="4"/>
          </reference>
          <reference field="7" count="1" selected="0">
            <x v="8"/>
          </reference>
          <reference field="8" count="1">
            <x v="37"/>
          </reference>
        </references>
      </pivotArea>
    </format>
    <format dxfId="853">
      <pivotArea dataOnly="0" labelOnly="1" fieldPosition="0">
        <references count="4">
          <reference field="4" count="1" selected="0">
            <x v="6"/>
          </reference>
          <reference field="6" count="1" selected="0">
            <x v="1"/>
          </reference>
          <reference field="7" count="1" selected="0">
            <x v="24"/>
          </reference>
          <reference field="8" count="8">
            <x v="105"/>
            <x v="107"/>
            <x v="108"/>
            <x v="109"/>
            <x v="110"/>
            <x v="111"/>
            <x v="112"/>
            <x v="113"/>
          </reference>
        </references>
      </pivotArea>
    </format>
    <format dxfId="852">
      <pivotArea dataOnly="0" labelOnly="1" fieldPosition="0">
        <references count="4">
          <reference field="4" count="1" selected="0">
            <x v="7"/>
          </reference>
          <reference field="6" count="1" selected="0">
            <x v="0"/>
          </reference>
          <reference field="7" count="1" selected="0">
            <x v="16"/>
          </reference>
          <reference field="8" count="1">
            <x v="64"/>
          </reference>
        </references>
      </pivotArea>
    </format>
    <format dxfId="851">
      <pivotArea dataOnly="0" labelOnly="1" fieldPosition="0">
        <references count="4">
          <reference field="4" count="1" selected="0">
            <x v="7"/>
          </reference>
          <reference field="6" count="1" selected="0">
            <x v="2"/>
          </reference>
          <reference field="7" count="1" selected="0">
            <x v="29"/>
          </reference>
          <reference field="8" count="4">
            <x v="140"/>
            <x v="141"/>
            <x v="144"/>
            <x v="145"/>
          </reference>
        </references>
      </pivotArea>
    </format>
    <format dxfId="850">
      <pivotArea dataOnly="0" labelOnly="1" fieldPosition="0">
        <references count="4">
          <reference field="4" count="1" selected="0">
            <x v="7"/>
          </reference>
          <reference field="6" count="1" selected="0">
            <x v="2"/>
          </reference>
          <reference field="7" count="1" selected="0">
            <x v="30"/>
          </reference>
          <reference field="8" count="1">
            <x v="154"/>
          </reference>
        </references>
      </pivotArea>
    </format>
    <format dxfId="849">
      <pivotArea dataOnly="0" labelOnly="1" fieldPosition="0">
        <references count="4">
          <reference field="4" count="1" selected="0">
            <x v="7"/>
          </reference>
          <reference field="6" count="1" selected="0">
            <x v="3"/>
          </reference>
          <reference field="7" count="1" selected="0">
            <x v="6"/>
          </reference>
          <reference field="8" count="1">
            <x v="28"/>
          </reference>
        </references>
      </pivotArea>
    </format>
    <format dxfId="848">
      <pivotArea dataOnly="0" labelOnly="1" fieldPosition="0">
        <references count="4">
          <reference field="4" count="1" selected="0">
            <x v="7"/>
          </reference>
          <reference field="6" count="1" selected="0">
            <x v="4"/>
          </reference>
          <reference field="7" count="1" selected="0">
            <x v="8"/>
          </reference>
          <reference field="8" count="2">
            <x v="35"/>
            <x v="36"/>
          </reference>
        </references>
      </pivotArea>
    </format>
    <format dxfId="847">
      <pivotArea dataOnly="0" labelOnly="1" fieldPosition="0">
        <references count="4">
          <reference field="4" count="1" selected="0">
            <x v="7"/>
          </reference>
          <reference field="6" count="1" selected="0">
            <x v="4"/>
          </reference>
          <reference field="7" count="1" selected="0">
            <x v="9"/>
          </reference>
          <reference field="8" count="4">
            <x v="40"/>
            <x v="41"/>
            <x v="42"/>
            <x v="43"/>
          </reference>
        </references>
      </pivotArea>
    </format>
    <format dxfId="846">
      <pivotArea dataOnly="0" labelOnly="1" fieldPosition="0">
        <references count="4">
          <reference field="4" count="1" selected="0">
            <x v="7"/>
          </reference>
          <reference field="6" count="1" selected="0">
            <x v="4"/>
          </reference>
          <reference field="7" count="1" selected="0">
            <x v="10"/>
          </reference>
          <reference field="8" count="4">
            <x v="44"/>
            <x v="45"/>
            <x v="46"/>
            <x v="47"/>
          </reference>
        </references>
      </pivotArea>
    </format>
    <format dxfId="845">
      <pivotArea dataOnly="0" labelOnly="1" fieldPosition="0">
        <references count="4">
          <reference field="4" count="1" selected="0">
            <x v="7"/>
          </reference>
          <reference field="6" count="1" selected="0">
            <x v="4"/>
          </reference>
          <reference field="7" count="1" selected="0">
            <x v="11"/>
          </reference>
          <reference field="8" count="2">
            <x v="48"/>
            <x v="49"/>
          </reference>
        </references>
      </pivotArea>
    </format>
    <format dxfId="844">
      <pivotArea dataOnly="0" labelOnly="1" fieldPosition="0">
        <references count="4">
          <reference field="4" count="1" selected="0">
            <x v="7"/>
          </reference>
          <reference field="6" count="1" selected="0">
            <x v="4"/>
          </reference>
          <reference field="7" count="1" selected="0">
            <x v="12"/>
          </reference>
          <reference field="8" count="1">
            <x v="50"/>
          </reference>
        </references>
      </pivotArea>
    </format>
    <format dxfId="843">
      <pivotArea dataOnly="0" labelOnly="1" fieldPosition="0">
        <references count="4">
          <reference field="4" count="1" selected="0">
            <x v="7"/>
          </reference>
          <reference field="6" count="1" selected="0">
            <x v="4"/>
          </reference>
          <reference field="7" count="1" selected="0">
            <x v="13"/>
          </reference>
          <reference field="8" count="3">
            <x v="51"/>
            <x v="52"/>
            <x v="53"/>
          </reference>
        </references>
      </pivotArea>
    </format>
    <format dxfId="842">
      <pivotArea dataOnly="0" labelOnly="1" fieldPosition="0">
        <references count="4">
          <reference field="4" count="1" selected="0">
            <x v="7"/>
          </reference>
          <reference field="6" count="1" selected="0">
            <x v="4"/>
          </reference>
          <reference field="7" count="1" selected="0">
            <x v="14"/>
          </reference>
          <reference field="8" count="2">
            <x v="54"/>
            <x v="55"/>
          </reference>
        </references>
      </pivotArea>
    </format>
    <format dxfId="841">
      <pivotArea dataOnly="0" labelOnly="1" fieldPosition="0">
        <references count="4">
          <reference field="4" count="1" selected="0">
            <x v="7"/>
          </reference>
          <reference field="6" count="1" selected="0">
            <x v="4"/>
          </reference>
          <reference field="7" count="1" selected="0">
            <x v="15"/>
          </reference>
          <reference field="8" count="1">
            <x v="56"/>
          </reference>
        </references>
      </pivotArea>
    </format>
    <format dxfId="840">
      <pivotArea dataOnly="0" labelOnly="1" fieldPosition="0">
        <references count="4">
          <reference field="4" count="1" selected="0">
            <x v="8"/>
          </reference>
          <reference field="6" count="1" selected="0">
            <x v="0"/>
          </reference>
          <reference field="7" count="1" selected="0">
            <x v="18"/>
          </reference>
          <reference field="8" count="1">
            <x v="77"/>
          </reference>
        </references>
      </pivotArea>
    </format>
    <format dxfId="839">
      <pivotArea dataOnly="0" labelOnly="1" fieldPosition="0">
        <references count="4">
          <reference field="4" count="1" selected="0">
            <x v="8"/>
          </reference>
          <reference field="6" count="1" selected="0">
            <x v="0"/>
          </reference>
          <reference field="7" count="1" selected="0">
            <x v="22"/>
          </reference>
          <reference field="8" count="3">
            <x v="92"/>
            <x v="93"/>
            <x v="94"/>
          </reference>
        </references>
      </pivotArea>
    </format>
    <format dxfId="838">
      <pivotArea dataOnly="0" labelOnly="1" fieldPosition="0">
        <references count="4">
          <reference field="4" count="1" selected="0">
            <x v="8"/>
          </reference>
          <reference field="6" count="1" selected="0">
            <x v="1"/>
          </reference>
          <reference field="7" count="1" selected="0">
            <x v="28"/>
          </reference>
          <reference field="8" count="2">
            <x v="138"/>
            <x v="139"/>
          </reference>
        </references>
      </pivotArea>
    </format>
    <format dxfId="837">
      <pivotArea dataOnly="0" labelOnly="1" fieldPosition="0">
        <references count="4">
          <reference field="4" count="1" selected="0">
            <x v="8"/>
          </reference>
          <reference field="6" count="1" selected="0">
            <x v="2"/>
          </reference>
          <reference field="7" count="1" selected="0">
            <x v="32"/>
          </reference>
          <reference field="8" count="2">
            <x v="158"/>
            <x v="159"/>
          </reference>
        </references>
      </pivotArea>
    </format>
    <format dxfId="836">
      <pivotArea dataOnly="0" labelOnly="1" fieldPosition="0">
        <references count="4">
          <reference field="4" count="1" selected="0">
            <x v="8"/>
          </reference>
          <reference field="6" count="1" selected="0">
            <x v="3"/>
          </reference>
          <reference field="7" count="1" selected="0">
            <x v="6"/>
          </reference>
          <reference field="8" count="2">
            <x v="29"/>
            <x v="30"/>
          </reference>
        </references>
      </pivotArea>
    </format>
    <format dxfId="835">
      <pivotArea dataOnly="0" labelOnly="1" fieldPosition="0">
        <references count="4">
          <reference field="4" count="1" selected="0">
            <x v="9"/>
          </reference>
          <reference field="6" count="1" selected="0">
            <x v="1"/>
          </reference>
          <reference field="7" count="1" selected="0">
            <x v="25"/>
          </reference>
          <reference field="8" count="10">
            <x v="115"/>
            <x v="116"/>
            <x v="117"/>
            <x v="118"/>
            <x v="119"/>
            <x v="120"/>
            <x v="121"/>
            <x v="122"/>
            <x v="123"/>
            <x v="124"/>
          </reference>
        </references>
      </pivotArea>
    </format>
    <format dxfId="834">
      <pivotArea dataOnly="0" labelOnly="1" fieldPosition="0">
        <references count="4">
          <reference field="4" count="1" selected="0">
            <x v="10"/>
          </reference>
          <reference field="6" count="1" selected="0">
            <x v="3"/>
          </reference>
          <reference field="7" count="1" selected="0">
            <x v="6"/>
          </reference>
          <reference field="8" count="1">
            <x v="29"/>
          </reference>
        </references>
      </pivotArea>
    </format>
    <format dxfId="833">
      <pivotArea dataOnly="0" labelOnly="1" fieldPosition="0">
        <references count="4">
          <reference field="4" count="1" selected="0">
            <x v="11"/>
          </reference>
          <reference field="6" count="1" selected="0">
            <x v="0"/>
          </reference>
          <reference field="7" count="1" selected="0">
            <x v="17"/>
          </reference>
          <reference field="8" count="3">
            <x v="70"/>
            <x v="71"/>
            <x v="72"/>
          </reference>
        </references>
      </pivotArea>
    </format>
    <format dxfId="832">
      <pivotArea dataOnly="0" labelOnly="1" fieldPosition="0">
        <references count="4">
          <reference field="4" count="1" selected="0">
            <x v="12"/>
          </reference>
          <reference field="6" count="1" selected="0">
            <x v="0"/>
          </reference>
          <reference field="7" count="1" selected="0">
            <x v="18"/>
          </reference>
          <reference field="8" count="3">
            <x v="74"/>
            <x v="75"/>
            <x v="76"/>
          </reference>
        </references>
      </pivotArea>
    </format>
    <format dxfId="831">
      <pivotArea dataOnly="0" labelOnly="1" fieldPosition="0">
        <references count="4">
          <reference field="4" count="1" selected="0">
            <x v="13"/>
          </reference>
          <reference field="6" count="1" selected="0">
            <x v="3"/>
          </reference>
          <reference field="7" count="1" selected="0">
            <x v="1"/>
          </reference>
          <reference field="8" count="1">
            <x v="6"/>
          </reference>
        </references>
      </pivotArea>
    </format>
    <format dxfId="830">
      <pivotArea dataOnly="0" labelOnly="1" fieldPosition="0">
        <references count="4">
          <reference field="4" count="1" selected="0">
            <x v="13"/>
          </reference>
          <reference field="6" count="1" selected="0">
            <x v="3"/>
          </reference>
          <reference field="7" count="1" selected="0">
            <x v="5"/>
          </reference>
          <reference field="8" count="6">
            <x v="22"/>
            <x v="23"/>
            <x v="24"/>
            <x v="25"/>
            <x v="26"/>
            <x v="27"/>
          </reference>
        </references>
      </pivotArea>
    </format>
    <format dxfId="829">
      <pivotArea dataOnly="0" labelOnly="1" fieldPosition="0">
        <references count="4">
          <reference field="4" count="1" selected="0">
            <x v="14"/>
          </reference>
          <reference field="6" count="1" selected="0">
            <x v="1"/>
          </reference>
          <reference field="7" count="1" selected="0">
            <x v="26"/>
          </reference>
          <reference field="8" count="7">
            <x v="125"/>
            <x v="126"/>
            <x v="127"/>
            <x v="128"/>
            <x v="129"/>
            <x v="130"/>
            <x v="131"/>
          </reference>
        </references>
      </pivotArea>
    </format>
    <format dxfId="828">
      <pivotArea dataOnly="0" labelOnly="1" fieldPosition="0">
        <references count="4">
          <reference field="4" count="1" selected="0">
            <x v="15"/>
          </reference>
          <reference field="6" count="1" selected="0">
            <x v="0"/>
          </reference>
          <reference field="7" count="1" selected="0">
            <x v="20"/>
          </reference>
          <reference field="8" count="5">
            <x v="82"/>
            <x v="83"/>
            <x v="84"/>
            <x v="85"/>
            <x v="86"/>
          </reference>
        </references>
      </pivotArea>
    </format>
    <format dxfId="827">
      <pivotArea dataOnly="0" labelOnly="1" fieldPosition="0">
        <references count="4">
          <reference field="4" count="1" selected="0">
            <x v="16"/>
          </reference>
          <reference field="6" count="1" selected="0">
            <x v="1"/>
          </reference>
          <reference field="7" count="1" selected="0">
            <x v="27"/>
          </reference>
          <reference field="8" count="6">
            <x v="132"/>
            <x v="133"/>
            <x v="134"/>
            <x v="135"/>
            <x v="136"/>
            <x v="137"/>
          </reference>
        </references>
      </pivotArea>
    </format>
    <format dxfId="826">
      <pivotArea dataOnly="0" labelOnly="1" fieldPosition="0">
        <references count="4">
          <reference field="4" count="1" selected="0">
            <x v="16"/>
          </reference>
          <reference field="6" count="1" selected="0">
            <x v="3"/>
          </reference>
          <reference field="7" count="1" selected="0">
            <x v="1"/>
          </reference>
          <reference field="8" count="1">
            <x v="6"/>
          </reference>
        </references>
      </pivotArea>
    </format>
    <format dxfId="825">
      <pivotArea dataOnly="0" labelOnly="1" fieldPosition="0">
        <references count="4">
          <reference field="4" count="1" selected="0">
            <x v="16"/>
          </reference>
          <reference field="6" count="1" selected="0">
            <x v="4"/>
          </reference>
          <reference field="7" count="1" selected="0">
            <x v="8"/>
          </reference>
          <reference field="8" count="1">
            <x v="38"/>
          </reference>
        </references>
      </pivotArea>
    </format>
    <format dxfId="824">
      <pivotArea dataOnly="0" labelOnly="1" fieldPosition="0">
        <references count="4">
          <reference field="4" count="1" selected="0">
            <x v="16"/>
          </reference>
          <reference field="6" count="1" selected="0">
            <x v="4"/>
          </reference>
          <reference field="7" count="1" selected="0">
            <x v="11"/>
          </reference>
          <reference field="8" count="1">
            <x v="48"/>
          </reference>
        </references>
      </pivotArea>
    </format>
    <format dxfId="823">
      <pivotArea dataOnly="0" labelOnly="1" fieldPosition="0">
        <references count="4">
          <reference field="4" count="1" selected="0">
            <x v="17"/>
          </reference>
          <reference field="6" count="1" selected="0">
            <x v="0"/>
          </reference>
          <reference field="7" count="1" selected="0">
            <x v="16"/>
          </reference>
          <reference field="8" count="7">
            <x v="57"/>
            <x v="58"/>
            <x v="59"/>
            <x v="60"/>
            <x v="61"/>
            <x v="62"/>
            <x v="63"/>
          </reference>
        </references>
      </pivotArea>
    </format>
    <format dxfId="822">
      <pivotArea dataOnly="0" labelOnly="1" fieldPosition="0">
        <references count="4">
          <reference field="4" count="1" selected="0">
            <x v="17"/>
          </reference>
          <reference field="6" count="1" selected="0">
            <x v="0"/>
          </reference>
          <reference field="7" count="1" selected="0">
            <x v="22"/>
          </reference>
          <reference field="8" count="1">
            <x v="94"/>
          </reference>
        </references>
      </pivotArea>
    </format>
    <format dxfId="821">
      <pivotArea dataOnly="0" labelOnly="1" fieldPosition="0">
        <references count="4">
          <reference field="4" count="1" selected="0">
            <x v="18"/>
          </reference>
          <reference field="6" count="1" selected="0">
            <x v="3"/>
          </reference>
          <reference field="7" count="1" selected="0">
            <x v="2"/>
          </reference>
          <reference field="8" count="4">
            <x v="8"/>
            <x v="9"/>
            <x v="16"/>
            <x v="17"/>
          </reference>
        </references>
      </pivotArea>
    </format>
    <format dxfId="820">
      <pivotArea dataOnly="0" labelOnly="1" fieldPosition="0">
        <references count="4">
          <reference field="4" count="1" selected="0">
            <x v="19"/>
          </reference>
          <reference field="6" count="1" selected="0">
            <x v="3"/>
          </reference>
          <reference field="7" count="1" selected="0">
            <x v="6"/>
          </reference>
          <reference field="8" count="1">
            <x v="29"/>
          </reference>
        </references>
      </pivotArea>
    </format>
    <format dxfId="819">
      <pivotArea dataOnly="0" labelOnly="1" fieldPosition="0">
        <references count="4">
          <reference field="4" count="1" selected="0">
            <x v="20"/>
          </reference>
          <reference field="6" count="1" selected="0">
            <x v="1"/>
          </reference>
          <reference field="7" count="1" selected="0">
            <x v="24"/>
          </reference>
          <reference field="8" count="1">
            <x v="106"/>
          </reference>
        </references>
      </pivotArea>
    </format>
    <format dxfId="818">
      <pivotArea dataOnly="0" labelOnly="1" fieldPosition="0">
        <references count="5">
          <reference field="4" count="1" selected="0">
            <x v="0"/>
          </reference>
          <reference field="6" count="1" selected="0">
            <x v="0"/>
          </reference>
          <reference field="7" count="1" selected="0">
            <x v="17"/>
          </reference>
          <reference field="8" count="1" selected="0">
            <x v="65"/>
          </reference>
          <reference field="15" count="1">
            <x v="108"/>
          </reference>
        </references>
      </pivotArea>
    </format>
    <format dxfId="817">
      <pivotArea dataOnly="0" labelOnly="1" fieldPosition="0">
        <references count="5">
          <reference field="4" count="1" selected="0">
            <x v="0"/>
          </reference>
          <reference field="6" count="1" selected="0">
            <x v="0"/>
          </reference>
          <reference field="7" count="1" selected="0">
            <x v="17"/>
          </reference>
          <reference field="8" count="1" selected="0">
            <x v="66"/>
          </reference>
          <reference field="15" count="2">
            <x v="365"/>
            <x v="366"/>
          </reference>
        </references>
      </pivotArea>
    </format>
    <format dxfId="816">
      <pivotArea dataOnly="0" labelOnly="1" fieldPosition="0">
        <references count="5">
          <reference field="4" count="1" selected="0">
            <x v="0"/>
          </reference>
          <reference field="6" count="1" selected="0">
            <x v="0"/>
          </reference>
          <reference field="7" count="1" selected="0">
            <x v="17"/>
          </reference>
          <reference field="8" count="1" selected="0">
            <x v="67"/>
          </reference>
          <reference field="15" count="2">
            <x v="364"/>
            <x v="370"/>
          </reference>
        </references>
      </pivotArea>
    </format>
    <format dxfId="815">
      <pivotArea dataOnly="0" labelOnly="1" fieldPosition="0">
        <references count="5">
          <reference field="4" count="1" selected="0">
            <x v="0"/>
          </reference>
          <reference field="6" count="1" selected="0">
            <x v="0"/>
          </reference>
          <reference field="7" count="1" selected="0">
            <x v="17"/>
          </reference>
          <reference field="8" count="1" selected="0">
            <x v="68"/>
          </reference>
          <reference field="15" count="1">
            <x v="79"/>
          </reference>
        </references>
      </pivotArea>
    </format>
    <format dxfId="814">
      <pivotArea dataOnly="0" labelOnly="1" fieldPosition="0">
        <references count="5">
          <reference field="4" count="1" selected="0">
            <x v="0"/>
          </reference>
          <reference field="6" count="1" selected="0">
            <x v="0"/>
          </reference>
          <reference field="7" count="1" selected="0">
            <x v="17"/>
          </reference>
          <reference field="8" count="1" selected="0">
            <x v="69"/>
          </reference>
          <reference field="15" count="1">
            <x v="42"/>
          </reference>
        </references>
      </pivotArea>
    </format>
    <format dxfId="813">
      <pivotArea dataOnly="0" labelOnly="1" fieldPosition="0">
        <references count="5">
          <reference field="4" count="1" selected="0">
            <x v="0"/>
          </reference>
          <reference field="6" count="1" selected="0">
            <x v="0"/>
          </reference>
          <reference field="7" count="1" selected="0">
            <x v="19"/>
          </reference>
          <reference field="8" count="1" selected="0">
            <x v="78"/>
          </reference>
          <reference field="15" count="1">
            <x v="236"/>
          </reference>
        </references>
      </pivotArea>
    </format>
    <format dxfId="812">
      <pivotArea dataOnly="0" labelOnly="1" fieldPosition="0">
        <references count="5">
          <reference field="4" count="1" selected="0">
            <x v="0"/>
          </reference>
          <reference field="6" count="1" selected="0">
            <x v="0"/>
          </reference>
          <reference field="7" count="1" selected="0">
            <x v="19"/>
          </reference>
          <reference field="8" count="1" selected="0">
            <x v="79"/>
          </reference>
          <reference field="15" count="1">
            <x v="12"/>
          </reference>
        </references>
      </pivotArea>
    </format>
    <format dxfId="811">
      <pivotArea dataOnly="0" labelOnly="1" fieldPosition="0">
        <references count="5">
          <reference field="4" count="1" selected="0">
            <x v="0"/>
          </reference>
          <reference field="6" count="1" selected="0">
            <x v="0"/>
          </reference>
          <reference field="7" count="1" selected="0">
            <x v="19"/>
          </reference>
          <reference field="8" count="1" selected="0">
            <x v="80"/>
          </reference>
          <reference field="15" count="2">
            <x v="10"/>
            <x v="11"/>
          </reference>
        </references>
      </pivotArea>
    </format>
    <format dxfId="810">
      <pivotArea dataOnly="0" labelOnly="1" fieldPosition="0">
        <references count="5">
          <reference field="4" count="1" selected="0">
            <x v="0"/>
          </reference>
          <reference field="6" count="1" selected="0">
            <x v="1"/>
          </reference>
          <reference field="7" count="1" selected="0">
            <x v="23"/>
          </reference>
          <reference field="8" count="1" selected="0">
            <x v="95"/>
          </reference>
          <reference field="15" count="1">
            <x v="250"/>
          </reference>
        </references>
      </pivotArea>
    </format>
    <format dxfId="809">
      <pivotArea dataOnly="0" labelOnly="1" fieldPosition="0">
        <references count="5">
          <reference field="4" count="1" selected="0">
            <x v="0"/>
          </reference>
          <reference field="6" count="1" selected="0">
            <x v="1"/>
          </reference>
          <reference field="7" count="1" selected="0">
            <x v="23"/>
          </reference>
          <reference field="8" count="1" selected="0">
            <x v="96"/>
          </reference>
          <reference field="15" count="2">
            <x v="251"/>
            <x v="358"/>
          </reference>
        </references>
      </pivotArea>
    </format>
    <format dxfId="808">
      <pivotArea dataOnly="0" labelOnly="1" fieldPosition="0">
        <references count="5">
          <reference field="4" count="1" selected="0">
            <x v="0"/>
          </reference>
          <reference field="6" count="1" selected="0">
            <x v="1"/>
          </reference>
          <reference field="7" count="1" selected="0">
            <x v="23"/>
          </reference>
          <reference field="8" count="1" selected="0">
            <x v="97"/>
          </reference>
          <reference field="15" count="1">
            <x v="257"/>
          </reference>
        </references>
      </pivotArea>
    </format>
    <format dxfId="807">
      <pivotArea dataOnly="0" labelOnly="1" fieldPosition="0">
        <references count="5">
          <reference field="4" count="1" selected="0">
            <x v="0"/>
          </reference>
          <reference field="6" count="1" selected="0">
            <x v="1"/>
          </reference>
          <reference field="7" count="1" selected="0">
            <x v="23"/>
          </reference>
          <reference field="8" count="1" selected="0">
            <x v="98"/>
          </reference>
          <reference field="15" count="1">
            <x v="43"/>
          </reference>
        </references>
      </pivotArea>
    </format>
    <format dxfId="806">
      <pivotArea dataOnly="0" labelOnly="1" fieldPosition="0">
        <references count="5">
          <reference field="4" count="1" selected="0">
            <x v="0"/>
          </reference>
          <reference field="6" count="1" selected="0">
            <x v="1"/>
          </reference>
          <reference field="7" count="1" selected="0">
            <x v="23"/>
          </reference>
          <reference field="8" count="1" selected="0">
            <x v="99"/>
          </reference>
          <reference field="15" count="1">
            <x v="254"/>
          </reference>
        </references>
      </pivotArea>
    </format>
    <format dxfId="805">
      <pivotArea dataOnly="0" labelOnly="1" fieldPosition="0">
        <references count="5">
          <reference field="4" count="1" selected="0">
            <x v="0"/>
          </reference>
          <reference field="6" count="1" selected="0">
            <x v="1"/>
          </reference>
          <reference field="7" count="1" selected="0">
            <x v="23"/>
          </reference>
          <reference field="8" count="1" selected="0">
            <x v="100"/>
          </reference>
          <reference field="15" count="1">
            <x v="253"/>
          </reference>
        </references>
      </pivotArea>
    </format>
    <format dxfId="804">
      <pivotArea dataOnly="0" labelOnly="1" fieldPosition="0">
        <references count="5">
          <reference field="4" count="1" selected="0">
            <x v="0"/>
          </reference>
          <reference field="6" count="1" selected="0">
            <x v="1"/>
          </reference>
          <reference field="7" count="1" selected="0">
            <x v="23"/>
          </reference>
          <reference field="8" count="1" selected="0">
            <x v="101"/>
          </reference>
          <reference field="15" count="1">
            <x v="255"/>
          </reference>
        </references>
      </pivotArea>
    </format>
    <format dxfId="803">
      <pivotArea dataOnly="0" labelOnly="1" fieldPosition="0">
        <references count="5">
          <reference field="4" count="1" selected="0">
            <x v="0"/>
          </reference>
          <reference field="6" count="1" selected="0">
            <x v="1"/>
          </reference>
          <reference field="7" count="1" selected="0">
            <x v="23"/>
          </reference>
          <reference field="8" count="1" selected="0">
            <x v="102"/>
          </reference>
          <reference field="15" count="1">
            <x v="40"/>
          </reference>
        </references>
      </pivotArea>
    </format>
    <format dxfId="802">
      <pivotArea dataOnly="0" labelOnly="1" fieldPosition="0">
        <references count="5">
          <reference field="4" count="1" selected="0">
            <x v="0"/>
          </reference>
          <reference field="6" count="1" selected="0">
            <x v="1"/>
          </reference>
          <reference field="7" count="1" selected="0">
            <x v="23"/>
          </reference>
          <reference field="8" count="1" selected="0">
            <x v="103"/>
          </reference>
          <reference field="15" count="1">
            <x v="252"/>
          </reference>
        </references>
      </pivotArea>
    </format>
    <format dxfId="801">
      <pivotArea dataOnly="0" labelOnly="1" fieldPosition="0">
        <references count="5">
          <reference field="4" count="1" selected="0">
            <x v="0"/>
          </reference>
          <reference field="6" count="1" selected="0">
            <x v="1"/>
          </reference>
          <reference field="7" count="1" selected="0">
            <x v="23"/>
          </reference>
          <reference field="8" count="1" selected="0">
            <x v="104"/>
          </reference>
          <reference field="15" count="1">
            <x v="256"/>
          </reference>
        </references>
      </pivotArea>
    </format>
    <format dxfId="800">
      <pivotArea dataOnly="0" labelOnly="1" fieldPosition="0">
        <references count="5">
          <reference field="4" count="1" selected="0">
            <x v="0"/>
          </reference>
          <reference field="6" count="1" selected="0">
            <x v="1"/>
          </reference>
          <reference field="7" count="1" selected="0">
            <x v="26"/>
          </reference>
          <reference field="8" count="1" selected="0">
            <x v="131"/>
          </reference>
          <reference field="15" count="1">
            <x v="13"/>
          </reference>
        </references>
      </pivotArea>
    </format>
    <format dxfId="799">
      <pivotArea dataOnly="0" labelOnly="1" fieldPosition="0">
        <references count="5">
          <reference field="4" count="1" selected="0">
            <x v="1"/>
          </reference>
          <reference field="6" count="1" selected="0">
            <x v="0"/>
          </reference>
          <reference field="7" count="1" selected="0">
            <x v="19"/>
          </reference>
          <reference field="8" count="1" selected="0">
            <x v="81"/>
          </reference>
          <reference field="15" count="1">
            <x v="231"/>
          </reference>
        </references>
      </pivotArea>
    </format>
    <format dxfId="798">
      <pivotArea dataOnly="0" labelOnly="1" fieldPosition="0">
        <references count="5">
          <reference field="4" count="1" selected="0">
            <x v="1"/>
          </reference>
          <reference field="6" count="1" selected="0">
            <x v="3"/>
          </reference>
          <reference field="7" count="1" selected="0">
            <x v="2"/>
          </reference>
          <reference field="8" count="1" selected="0">
            <x v="7"/>
          </reference>
          <reference field="15" count="5">
            <x v="117"/>
            <x v="124"/>
            <x v="131"/>
            <x v="380"/>
            <x v="400"/>
          </reference>
        </references>
      </pivotArea>
    </format>
    <format dxfId="797">
      <pivotArea dataOnly="0" labelOnly="1" fieldPosition="0">
        <references count="5">
          <reference field="4" count="1" selected="0">
            <x v="1"/>
          </reference>
          <reference field="6" count="1" selected="0">
            <x v="3"/>
          </reference>
          <reference field="7" count="1" selected="0">
            <x v="2"/>
          </reference>
          <reference field="8" count="1" selected="0">
            <x v="10"/>
          </reference>
          <reference field="15" count="2">
            <x v="17"/>
            <x v="18"/>
          </reference>
        </references>
      </pivotArea>
    </format>
    <format dxfId="796">
      <pivotArea dataOnly="0" labelOnly="1" fieldPosition="0">
        <references count="5">
          <reference field="4" count="1" selected="0">
            <x v="1"/>
          </reference>
          <reference field="6" count="1" selected="0">
            <x v="3"/>
          </reference>
          <reference field="7" count="1" selected="0">
            <x v="2"/>
          </reference>
          <reference field="8" count="1" selected="0">
            <x v="11"/>
          </reference>
          <reference field="15" count="2">
            <x v="7"/>
            <x v="8"/>
          </reference>
        </references>
      </pivotArea>
    </format>
    <format dxfId="795">
      <pivotArea dataOnly="0" labelOnly="1" fieldPosition="0">
        <references count="5">
          <reference field="4" count="1" selected="0">
            <x v="1"/>
          </reference>
          <reference field="6" count="1" selected="0">
            <x v="3"/>
          </reference>
          <reference field="7" count="1" selected="0">
            <x v="2"/>
          </reference>
          <reference field="8" count="1" selected="0">
            <x v="12"/>
          </reference>
          <reference field="15" count="1">
            <x v="107"/>
          </reference>
        </references>
      </pivotArea>
    </format>
    <format dxfId="794">
      <pivotArea dataOnly="0" labelOnly="1" fieldPosition="0">
        <references count="5">
          <reference field="4" count="1" selected="0">
            <x v="1"/>
          </reference>
          <reference field="6" count="1" selected="0">
            <x v="3"/>
          </reference>
          <reference field="7" count="1" selected="0">
            <x v="2"/>
          </reference>
          <reference field="8" count="1" selected="0">
            <x v="13"/>
          </reference>
          <reference field="15" count="1">
            <x v="6"/>
          </reference>
        </references>
      </pivotArea>
    </format>
    <format dxfId="793">
      <pivotArea dataOnly="0" labelOnly="1" fieldPosition="0">
        <references count="5">
          <reference field="4" count="1" selected="0">
            <x v="1"/>
          </reference>
          <reference field="6" count="1" selected="0">
            <x v="3"/>
          </reference>
          <reference field="7" count="1" selected="0">
            <x v="2"/>
          </reference>
          <reference field="8" count="1" selected="0">
            <x v="14"/>
          </reference>
          <reference field="15" count="2">
            <x v="46"/>
            <x v="47"/>
          </reference>
        </references>
      </pivotArea>
    </format>
    <format dxfId="792">
      <pivotArea dataOnly="0" labelOnly="1" fieldPosition="0">
        <references count="5">
          <reference field="4" count="1" selected="0">
            <x v="1"/>
          </reference>
          <reference field="6" count="1" selected="0">
            <x v="3"/>
          </reference>
          <reference field="7" count="1" selected="0">
            <x v="2"/>
          </reference>
          <reference field="8" count="1" selected="0">
            <x v="15"/>
          </reference>
          <reference field="15" count="1">
            <x v="372"/>
          </reference>
        </references>
      </pivotArea>
    </format>
    <format dxfId="791">
      <pivotArea dataOnly="0" labelOnly="1" fieldPosition="0">
        <references count="5">
          <reference field="4" count="1" selected="0">
            <x v="1"/>
          </reference>
          <reference field="6" count="1" selected="0">
            <x v="3"/>
          </reference>
          <reference field="7" count="1" selected="0">
            <x v="3"/>
          </reference>
          <reference field="8" count="1" selected="0">
            <x v="18"/>
          </reference>
          <reference field="15" count="1">
            <x v="232"/>
          </reference>
        </references>
      </pivotArea>
    </format>
    <format dxfId="790">
      <pivotArea dataOnly="0" labelOnly="1" fieldPosition="0">
        <references count="5">
          <reference field="4" count="1" selected="0">
            <x v="1"/>
          </reference>
          <reference field="6" count="1" selected="0">
            <x v="3"/>
          </reference>
          <reference field="7" count="1" selected="0">
            <x v="3"/>
          </reference>
          <reference field="8" count="1" selected="0">
            <x v="19"/>
          </reference>
          <reference field="15" count="1">
            <x v="9"/>
          </reference>
        </references>
      </pivotArea>
    </format>
    <format dxfId="789">
      <pivotArea dataOnly="0" labelOnly="1" fieldPosition="0">
        <references count="5">
          <reference field="4" count="1" selected="0">
            <x v="1"/>
          </reference>
          <reference field="6" count="1" selected="0">
            <x v="3"/>
          </reference>
          <reference field="7" count="1" selected="0">
            <x v="4"/>
          </reference>
          <reference field="8" count="1" selected="0">
            <x v="20"/>
          </reference>
          <reference field="15" count="1">
            <x v="34"/>
          </reference>
        </references>
      </pivotArea>
    </format>
    <format dxfId="788">
      <pivotArea dataOnly="0" labelOnly="1" fieldPosition="0">
        <references count="5">
          <reference field="4" count="1" selected="0">
            <x v="1"/>
          </reference>
          <reference field="6" count="1" selected="0">
            <x v="3"/>
          </reference>
          <reference field="7" count="1" selected="0">
            <x v="4"/>
          </reference>
          <reference field="8" count="1" selected="0">
            <x v="21"/>
          </reference>
          <reference field="15" count="1">
            <x v="98"/>
          </reference>
        </references>
      </pivotArea>
    </format>
    <format dxfId="787">
      <pivotArea dataOnly="0" labelOnly="1" fieldPosition="0">
        <references count="5">
          <reference field="4" count="1" selected="0">
            <x v="1"/>
          </reference>
          <reference field="6" count="1" selected="0">
            <x v="4"/>
          </reference>
          <reference field="7" count="1" selected="0">
            <x v="8"/>
          </reference>
          <reference field="8" count="1" selected="0">
            <x v="33"/>
          </reference>
          <reference field="15" count="1">
            <x v="237"/>
          </reference>
        </references>
      </pivotArea>
    </format>
    <format dxfId="786">
      <pivotArea dataOnly="0" labelOnly="1" fieldPosition="0">
        <references count="5">
          <reference field="4" count="1" selected="0">
            <x v="1"/>
          </reference>
          <reference field="6" count="1" selected="0">
            <x v="4"/>
          </reference>
          <reference field="7" count="1" selected="0">
            <x v="8"/>
          </reference>
          <reference field="8" count="1" selected="0">
            <x v="34"/>
          </reference>
          <reference field="15" count="1">
            <x v="373"/>
          </reference>
        </references>
      </pivotArea>
    </format>
    <format dxfId="785">
      <pivotArea dataOnly="0" labelOnly="1" fieldPosition="0">
        <references count="5">
          <reference field="4" count="1" selected="0">
            <x v="1"/>
          </reference>
          <reference field="6" count="1" selected="0">
            <x v="4"/>
          </reference>
          <reference field="7" count="1" selected="0">
            <x v="8"/>
          </reference>
          <reference field="8" count="1" selected="0">
            <x v="39"/>
          </reference>
          <reference field="15" count="2">
            <x v="233"/>
            <x v="234"/>
          </reference>
        </references>
      </pivotArea>
    </format>
    <format dxfId="784">
      <pivotArea dataOnly="0" labelOnly="1" fieldPosition="0">
        <references count="5">
          <reference field="4" count="1" selected="0">
            <x v="2"/>
          </reference>
          <reference field="6" count="1" selected="0">
            <x v="2"/>
          </reference>
          <reference field="7" count="1" selected="0">
            <x v="29"/>
          </reference>
          <reference field="8" count="1" selected="0">
            <x v="145"/>
          </reference>
          <reference field="15" count="1">
            <x v="377"/>
          </reference>
        </references>
      </pivotArea>
    </format>
    <format dxfId="783">
      <pivotArea dataOnly="0" labelOnly="1" fieldPosition="0">
        <references count="5">
          <reference field="4" count="1" selected="0">
            <x v="2"/>
          </reference>
          <reference field="6" count="1" selected="0">
            <x v="2"/>
          </reference>
          <reference field="7" count="1" selected="0">
            <x v="29"/>
          </reference>
          <reference field="8" count="1" selected="0">
            <x v="146"/>
          </reference>
          <reference field="15" count="1">
            <x v="139"/>
          </reference>
        </references>
      </pivotArea>
    </format>
    <format dxfId="782">
      <pivotArea dataOnly="0" labelOnly="1" fieldPosition="0">
        <references count="5">
          <reference field="4" count="1" selected="0">
            <x v="2"/>
          </reference>
          <reference field="6" count="1" selected="0">
            <x v="2"/>
          </reference>
          <reference field="7" count="1" selected="0">
            <x v="29"/>
          </reference>
          <reference field="8" count="1" selected="0">
            <x v="147"/>
          </reference>
          <reference field="15" count="1">
            <x v="127"/>
          </reference>
        </references>
      </pivotArea>
    </format>
    <format dxfId="781">
      <pivotArea dataOnly="0" labelOnly="1" fieldPosition="0">
        <references count="5">
          <reference field="4" count="1" selected="0">
            <x v="2"/>
          </reference>
          <reference field="6" count="1" selected="0">
            <x v="2"/>
          </reference>
          <reference field="7" count="1" selected="0">
            <x v="29"/>
          </reference>
          <reference field="8" count="1" selected="0">
            <x v="148"/>
          </reference>
          <reference field="15" count="1">
            <x v="142"/>
          </reference>
        </references>
      </pivotArea>
    </format>
    <format dxfId="780">
      <pivotArea dataOnly="0" labelOnly="1" fieldPosition="0">
        <references count="5">
          <reference field="4" count="1" selected="0">
            <x v="2"/>
          </reference>
          <reference field="6" count="1" selected="0">
            <x v="2"/>
          </reference>
          <reference field="7" count="1" selected="0">
            <x v="29"/>
          </reference>
          <reference field="8" count="1" selected="0">
            <x v="149"/>
          </reference>
          <reference field="15" count="1">
            <x v="140"/>
          </reference>
        </references>
      </pivotArea>
    </format>
    <format dxfId="779">
      <pivotArea dataOnly="0" labelOnly="1" fieldPosition="0">
        <references count="5">
          <reference field="4" count="1" selected="0">
            <x v="2"/>
          </reference>
          <reference field="6" count="1" selected="0">
            <x v="2"/>
          </reference>
          <reference field="7" count="1" selected="0">
            <x v="29"/>
          </reference>
          <reference field="8" count="1" selected="0">
            <x v="150"/>
          </reference>
          <reference field="15" count="1">
            <x v="144"/>
          </reference>
        </references>
      </pivotArea>
    </format>
    <format dxfId="778">
      <pivotArea dataOnly="0" labelOnly="1" fieldPosition="0">
        <references count="5">
          <reference field="4" count="1" selected="0">
            <x v="2"/>
          </reference>
          <reference field="6" count="1" selected="0">
            <x v="2"/>
          </reference>
          <reference field="7" count="1" selected="0">
            <x v="30"/>
          </reference>
          <reference field="8" count="1" selected="0">
            <x v="152"/>
          </reference>
          <reference field="15" count="2">
            <x v="128"/>
            <x v="129"/>
          </reference>
        </references>
      </pivotArea>
    </format>
    <format dxfId="777">
      <pivotArea dataOnly="0" labelOnly="1" fieldPosition="0">
        <references count="5">
          <reference field="4" count="1" selected="0">
            <x v="2"/>
          </reference>
          <reference field="6" count="1" selected="0">
            <x v="2"/>
          </reference>
          <reference field="7" count="1" selected="0">
            <x v="30"/>
          </reference>
          <reference field="8" count="1" selected="0">
            <x v="153"/>
          </reference>
          <reference field="15" count="1">
            <x v="141"/>
          </reference>
        </references>
      </pivotArea>
    </format>
    <format dxfId="776">
      <pivotArea dataOnly="0" labelOnly="1" fieldPosition="0">
        <references count="5">
          <reference field="4" count="1" selected="0">
            <x v="2"/>
          </reference>
          <reference field="6" count="1" selected="0">
            <x v="3"/>
          </reference>
          <reference field="7" count="1" selected="0">
            <x v="5"/>
          </reference>
          <reference field="8" count="1" selected="0">
            <x v="24"/>
          </reference>
          <reference field="15" count="1">
            <x v="339"/>
          </reference>
        </references>
      </pivotArea>
    </format>
    <format dxfId="775">
      <pivotArea dataOnly="0" labelOnly="1" fieldPosition="0">
        <references count="5">
          <reference field="4" count="1" selected="0">
            <x v="2"/>
          </reference>
          <reference field="6" count="1" selected="0">
            <x v="3"/>
          </reference>
          <reference field="7" count="1" selected="0">
            <x v="7"/>
          </reference>
          <reference field="8" count="1" selected="0">
            <x v="31"/>
          </reference>
          <reference field="15" count="2">
            <x v="391"/>
            <x v="392"/>
          </reference>
        </references>
      </pivotArea>
    </format>
    <format dxfId="774">
      <pivotArea dataOnly="0" labelOnly="1" fieldPosition="0">
        <references count="5">
          <reference field="4" count="1" selected="0">
            <x v="2"/>
          </reference>
          <reference field="6" count="1" selected="0">
            <x v="3"/>
          </reference>
          <reference field="7" count="1" selected="0">
            <x v="7"/>
          </reference>
          <reference field="8" count="1" selected="0">
            <x v="32"/>
          </reference>
          <reference field="15" count="1">
            <x v="371"/>
          </reference>
        </references>
      </pivotArea>
    </format>
    <format dxfId="773">
      <pivotArea dataOnly="0" labelOnly="1" fieldPosition="0">
        <references count="5">
          <reference field="4" count="1" selected="0">
            <x v="2"/>
          </reference>
          <reference field="6" count="1" selected="0">
            <x v="4"/>
          </reference>
          <reference field="7" count="1" selected="0">
            <x v="8"/>
          </reference>
          <reference field="8" count="1" selected="0">
            <x v="36"/>
          </reference>
          <reference field="15" count="1">
            <x v="379"/>
          </reference>
        </references>
      </pivotArea>
    </format>
    <format dxfId="772">
      <pivotArea dataOnly="0" labelOnly="1" fieldPosition="0">
        <references count="5">
          <reference field="4" count="1" selected="0">
            <x v="2"/>
          </reference>
          <reference field="6" count="1" selected="0">
            <x v="4"/>
          </reference>
          <reference field="7" count="1" selected="0">
            <x v="8"/>
          </reference>
          <reference field="8" count="1" selected="0">
            <x v="39"/>
          </reference>
          <reference field="15" count="1">
            <x v="378"/>
          </reference>
        </references>
      </pivotArea>
    </format>
    <format dxfId="771">
      <pivotArea dataOnly="0" labelOnly="1" fieldPosition="0">
        <references count="5">
          <reference field="4" count="1" selected="0">
            <x v="3"/>
          </reference>
          <reference field="6" count="1" selected="0">
            <x v="3"/>
          </reference>
          <reference field="7" count="1" selected="0">
            <x v="6"/>
          </reference>
          <reference field="8" count="1" selected="0">
            <x v="29"/>
          </reference>
          <reference field="15" count="41">
            <x v="0"/>
            <x v="1"/>
            <x v="167"/>
            <x v="175"/>
            <x v="176"/>
            <x v="177"/>
            <x v="178"/>
            <x v="179"/>
            <x v="180"/>
            <x v="181"/>
            <x v="182"/>
            <x v="201"/>
            <x v="202"/>
            <x v="205"/>
            <x v="206"/>
            <x v="207"/>
            <x v="208"/>
            <x v="209"/>
            <x v="210"/>
            <x v="211"/>
            <x v="212"/>
            <x v="213"/>
            <x v="214"/>
            <x v="215"/>
            <x v="216"/>
            <x v="217"/>
            <x v="218"/>
            <x v="219"/>
            <x v="220"/>
            <x v="221"/>
            <x v="224"/>
            <x v="225"/>
            <x v="226"/>
            <x v="227"/>
            <x v="228"/>
            <x v="393"/>
            <x v="394"/>
            <x v="396"/>
            <x v="397"/>
            <x v="398"/>
            <x v="399"/>
          </reference>
        </references>
      </pivotArea>
    </format>
    <format dxfId="770">
      <pivotArea dataOnly="0" labelOnly="1" fieldPosition="0">
        <references count="5">
          <reference field="4" count="1" selected="0">
            <x v="4"/>
          </reference>
          <reference field="6" count="1" selected="0">
            <x v="0"/>
          </reference>
          <reference field="7" count="1" selected="0">
            <x v="21"/>
          </reference>
          <reference field="8" count="1" selected="0">
            <x v="87"/>
          </reference>
          <reference field="15" count="8">
            <x v="126"/>
            <x v="293"/>
            <x v="305"/>
            <x v="306"/>
            <x v="317"/>
            <x v="388"/>
            <x v="389"/>
            <x v="390"/>
          </reference>
        </references>
      </pivotArea>
    </format>
    <format dxfId="769">
      <pivotArea dataOnly="0" labelOnly="1" fieldPosition="0">
        <references count="5">
          <reference field="4" count="1" selected="0">
            <x v="4"/>
          </reference>
          <reference field="6" count="1" selected="0">
            <x v="0"/>
          </reference>
          <reference field="7" count="1" selected="0">
            <x v="21"/>
          </reference>
          <reference field="8" count="1" selected="0">
            <x v="88"/>
          </reference>
          <reference field="15" count="3">
            <x v="291"/>
            <x v="292"/>
            <x v="301"/>
          </reference>
        </references>
      </pivotArea>
    </format>
    <format dxfId="768">
      <pivotArea dataOnly="0" labelOnly="1" fieldPosition="0">
        <references count="5">
          <reference field="4" count="1" selected="0">
            <x v="4"/>
          </reference>
          <reference field="6" count="1" selected="0">
            <x v="0"/>
          </reference>
          <reference field="7" count="1" selected="0">
            <x v="21"/>
          </reference>
          <reference field="8" count="1" selected="0">
            <x v="89"/>
          </reference>
          <reference field="15" count="1">
            <x v="310"/>
          </reference>
        </references>
      </pivotArea>
    </format>
    <format dxfId="767">
      <pivotArea dataOnly="0" labelOnly="1" fieldPosition="0">
        <references count="5">
          <reference field="4" count="1" selected="0">
            <x v="4"/>
          </reference>
          <reference field="6" count="1" selected="0">
            <x v="0"/>
          </reference>
          <reference field="7" count="1" selected="0">
            <x v="21"/>
          </reference>
          <reference field="8" count="1" selected="0">
            <x v="90"/>
          </reference>
          <reference field="15" count="1">
            <x v="385"/>
          </reference>
        </references>
      </pivotArea>
    </format>
    <format dxfId="766">
      <pivotArea dataOnly="0" labelOnly="1" fieldPosition="0">
        <references count="5">
          <reference field="4" count="1" selected="0">
            <x v="4"/>
          </reference>
          <reference field="6" count="1" selected="0">
            <x v="0"/>
          </reference>
          <reference field="7" count="1" selected="0">
            <x v="21"/>
          </reference>
          <reference field="8" count="1" selected="0">
            <x v="91"/>
          </reference>
          <reference field="15" count="2">
            <x v="264"/>
            <x v="265"/>
          </reference>
        </references>
      </pivotArea>
    </format>
    <format dxfId="765">
      <pivotArea dataOnly="0" labelOnly="1" fieldPosition="0">
        <references count="5">
          <reference field="4" count="1" selected="0">
            <x v="4"/>
          </reference>
          <reference field="6" count="1" selected="0">
            <x v="1"/>
          </reference>
          <reference field="7" count="1" selected="0">
            <x v="24"/>
          </reference>
          <reference field="8" count="1" selected="0">
            <x v="114"/>
          </reference>
          <reference field="15" count="1">
            <x v="263"/>
          </reference>
        </references>
      </pivotArea>
    </format>
    <format dxfId="764">
      <pivotArea dataOnly="0" labelOnly="1" fieldPosition="0">
        <references count="5">
          <reference field="4" count="1" selected="0">
            <x v="4"/>
          </reference>
          <reference field="6" count="1" selected="0">
            <x v="2"/>
          </reference>
          <reference field="7" count="1" selected="0">
            <x v="29"/>
          </reference>
          <reference field="8" count="1" selected="0">
            <x v="142"/>
          </reference>
          <reference field="15" count="1">
            <x v="283"/>
          </reference>
        </references>
      </pivotArea>
    </format>
    <format dxfId="763">
      <pivotArea dataOnly="0" labelOnly="1" fieldPosition="0">
        <references count="5">
          <reference field="4" count="1" selected="0">
            <x v="4"/>
          </reference>
          <reference field="6" count="1" selected="0">
            <x v="2"/>
          </reference>
          <reference field="7" count="1" selected="0">
            <x v="29"/>
          </reference>
          <reference field="8" count="1" selected="0">
            <x v="143"/>
          </reference>
          <reference field="15" count="2">
            <x v="289"/>
            <x v="314"/>
          </reference>
        </references>
      </pivotArea>
    </format>
    <format dxfId="762">
      <pivotArea dataOnly="0" labelOnly="1" fieldPosition="0">
        <references count="5">
          <reference field="4" count="1" selected="0">
            <x v="4"/>
          </reference>
          <reference field="6" count="1" selected="0">
            <x v="2"/>
          </reference>
          <reference field="7" count="1" selected="0">
            <x v="29"/>
          </reference>
          <reference field="8" count="1" selected="0">
            <x v="151"/>
          </reference>
          <reference field="15" count="1">
            <x v="387"/>
          </reference>
        </references>
      </pivotArea>
    </format>
    <format dxfId="761">
      <pivotArea dataOnly="0" labelOnly="1" fieldPosition="0">
        <references count="5">
          <reference field="4" count="1" selected="0">
            <x v="4"/>
          </reference>
          <reference field="6" count="1" selected="0">
            <x v="2"/>
          </reference>
          <reference field="7" count="1" selected="0">
            <x v="31"/>
          </reference>
          <reference field="8" count="1" selected="0">
            <x v="155"/>
          </reference>
          <reference field="15" count="4">
            <x v="235"/>
            <x v="303"/>
            <x v="374"/>
            <x v="386"/>
          </reference>
        </references>
      </pivotArea>
    </format>
    <format dxfId="760">
      <pivotArea dataOnly="0" labelOnly="1" fieldPosition="0">
        <references count="5">
          <reference field="4" count="1" selected="0">
            <x v="4"/>
          </reference>
          <reference field="6" count="1" selected="0">
            <x v="2"/>
          </reference>
          <reference field="7" count="1" selected="0">
            <x v="31"/>
          </reference>
          <reference field="8" count="1" selected="0">
            <x v="156"/>
          </reference>
          <reference field="15" count="1">
            <x v="304"/>
          </reference>
        </references>
      </pivotArea>
    </format>
    <format dxfId="759">
      <pivotArea dataOnly="0" labelOnly="1" fieldPosition="0">
        <references count="5">
          <reference field="4" count="1" selected="0">
            <x v="4"/>
          </reference>
          <reference field="6" count="1" selected="0">
            <x v="2"/>
          </reference>
          <reference field="7" count="1" selected="0">
            <x v="31"/>
          </reference>
          <reference field="8" count="1" selected="0">
            <x v="157"/>
          </reference>
          <reference field="15" count="1">
            <x v="302"/>
          </reference>
        </references>
      </pivotArea>
    </format>
    <format dxfId="758">
      <pivotArea dataOnly="0" labelOnly="1" fieldPosition="0">
        <references count="5">
          <reference field="4" count="1" selected="0">
            <x v="4"/>
          </reference>
          <reference field="6" count="1" selected="0">
            <x v="3"/>
          </reference>
          <reference field="7" count="1" selected="0">
            <x v="0"/>
          </reference>
          <reference field="8" count="1" selected="0">
            <x v="0"/>
          </reference>
          <reference field="15" count="2">
            <x v="125"/>
            <x v="269"/>
          </reference>
        </references>
      </pivotArea>
    </format>
    <format dxfId="757">
      <pivotArea dataOnly="0" labelOnly="1" fieldPosition="0">
        <references count="5">
          <reference field="4" count="1" selected="0">
            <x v="4"/>
          </reference>
          <reference field="6" count="1" selected="0">
            <x v="3"/>
          </reference>
          <reference field="7" count="1" selected="0">
            <x v="0"/>
          </reference>
          <reference field="8" count="1" selected="0">
            <x v="1"/>
          </reference>
          <reference field="15" count="1">
            <x v="382"/>
          </reference>
        </references>
      </pivotArea>
    </format>
    <format dxfId="756">
      <pivotArea dataOnly="0" labelOnly="1" fieldPosition="0">
        <references count="5">
          <reference field="4" count="1" selected="0">
            <x v="4"/>
          </reference>
          <reference field="6" count="1" selected="0">
            <x v="3"/>
          </reference>
          <reference field="7" count="1" selected="0">
            <x v="1"/>
          </reference>
          <reference field="8" count="1" selected="0">
            <x v="2"/>
          </reference>
          <reference field="15" count="1">
            <x v="282"/>
          </reference>
        </references>
      </pivotArea>
    </format>
    <format dxfId="755">
      <pivotArea dataOnly="0" labelOnly="1" fieldPosition="0">
        <references count="5">
          <reference field="4" count="1" selected="0">
            <x v="4"/>
          </reference>
          <reference field="6" count="1" selected="0">
            <x v="3"/>
          </reference>
          <reference field="7" count="1" selected="0">
            <x v="1"/>
          </reference>
          <reference field="8" count="1" selected="0">
            <x v="3"/>
          </reference>
          <reference field="15" count="1">
            <x v="384"/>
          </reference>
        </references>
      </pivotArea>
    </format>
    <format dxfId="754">
      <pivotArea dataOnly="0" labelOnly="1" fieldPosition="0">
        <references count="5">
          <reference field="4" count="1" selected="0">
            <x v="4"/>
          </reference>
          <reference field="6" count="1" selected="0">
            <x v="3"/>
          </reference>
          <reference field="7" count="1" selected="0">
            <x v="1"/>
          </reference>
          <reference field="8" count="1" selected="0">
            <x v="4"/>
          </reference>
          <reference field="15" count="1">
            <x v="298"/>
          </reference>
        </references>
      </pivotArea>
    </format>
    <format dxfId="753">
      <pivotArea dataOnly="0" labelOnly="1" fieldPosition="0">
        <references count="5">
          <reference field="4" count="1" selected="0">
            <x v="4"/>
          </reference>
          <reference field="6" count="1" selected="0">
            <x v="3"/>
          </reference>
          <reference field="7" count="1" selected="0">
            <x v="1"/>
          </reference>
          <reference field="8" count="1" selected="0">
            <x v="5"/>
          </reference>
          <reference field="15" count="2">
            <x v="381"/>
            <x v="383"/>
          </reference>
        </references>
      </pivotArea>
    </format>
    <format dxfId="752">
      <pivotArea dataOnly="0" labelOnly="1" fieldPosition="0">
        <references count="5">
          <reference field="4" count="1" selected="0">
            <x v="5"/>
          </reference>
          <reference field="6" count="1" selected="0">
            <x v="0"/>
          </reference>
          <reference field="7" count="1" selected="0">
            <x v="18"/>
          </reference>
          <reference field="8" count="1" selected="0">
            <x v="73"/>
          </reference>
          <reference field="15" count="3">
            <x v="245"/>
            <x v="246"/>
            <x v="313"/>
          </reference>
        </references>
      </pivotArea>
    </format>
    <format dxfId="751">
      <pivotArea dataOnly="0" labelOnly="1" fieldPosition="0">
        <references count="5">
          <reference field="4" count="1" selected="0">
            <x v="5"/>
          </reference>
          <reference field="6" count="1" selected="0">
            <x v="0"/>
          </reference>
          <reference field="7" count="1" selected="0">
            <x v="18"/>
          </reference>
          <reference field="8" count="1" selected="0">
            <x v="74"/>
          </reference>
          <reference field="15" count="1">
            <x v="230"/>
          </reference>
        </references>
      </pivotArea>
    </format>
    <format dxfId="750">
      <pivotArea dataOnly="0" labelOnly="1" fieldPosition="0">
        <references count="5">
          <reference field="4" count="1" selected="0">
            <x v="5"/>
          </reference>
          <reference field="6" count="1" selected="0">
            <x v="0"/>
          </reference>
          <reference field="7" count="1" selected="0">
            <x v="18"/>
          </reference>
          <reference field="8" count="1" selected="0">
            <x v="77"/>
          </reference>
          <reference field="15" count="2">
            <x v="276"/>
            <x v="277"/>
          </reference>
        </references>
      </pivotArea>
    </format>
    <format dxfId="749">
      <pivotArea dataOnly="0" labelOnly="1" fieldPosition="0">
        <references count="5">
          <reference field="4" count="1" selected="0">
            <x v="5"/>
          </reference>
          <reference field="6" count="1" selected="0">
            <x v="0"/>
          </reference>
          <reference field="7" count="1" selected="0">
            <x v="22"/>
          </reference>
          <reference field="8" count="1" selected="0">
            <x v="94"/>
          </reference>
          <reference field="15" count="1">
            <x v="164"/>
          </reference>
        </references>
      </pivotArea>
    </format>
    <format dxfId="748">
      <pivotArea dataOnly="0" labelOnly="1" fieldPosition="0">
        <references count="5">
          <reference field="4" count="1" selected="0">
            <x v="5"/>
          </reference>
          <reference field="6" count="1" selected="0">
            <x v="4"/>
          </reference>
          <reference field="7" count="1" selected="0">
            <x v="8"/>
          </reference>
          <reference field="8" count="1" selected="0">
            <x v="37"/>
          </reference>
          <reference field="15" count="1">
            <x v="222"/>
          </reference>
        </references>
      </pivotArea>
    </format>
    <format dxfId="747">
      <pivotArea dataOnly="0" labelOnly="1" fieldPosition="0">
        <references count="5">
          <reference field="4" count="1" selected="0">
            <x v="6"/>
          </reference>
          <reference field="6" count="1" selected="0">
            <x v="1"/>
          </reference>
          <reference field="7" count="1" selected="0">
            <x v="24"/>
          </reference>
          <reference field="8" count="1" selected="0">
            <x v="105"/>
          </reference>
          <reference field="15" count="13">
            <x v="24"/>
            <x v="25"/>
            <x v="31"/>
            <x v="37"/>
            <x v="44"/>
            <x v="45"/>
            <x v="48"/>
            <x v="49"/>
            <x v="50"/>
            <x v="56"/>
            <x v="66"/>
            <x v="100"/>
            <x v="101"/>
          </reference>
        </references>
      </pivotArea>
    </format>
    <format dxfId="746">
      <pivotArea dataOnly="0" labelOnly="1" fieldPosition="0">
        <references count="5">
          <reference field="4" count="1" selected="0">
            <x v="6"/>
          </reference>
          <reference field="6" count="1" selected="0">
            <x v="1"/>
          </reference>
          <reference field="7" count="1" selected="0">
            <x v="24"/>
          </reference>
          <reference field="8" count="1" selected="0">
            <x v="107"/>
          </reference>
          <reference field="15" count="3">
            <x v="118"/>
            <x v="123"/>
            <x v="165"/>
          </reference>
        </references>
      </pivotArea>
    </format>
    <format dxfId="745">
      <pivotArea dataOnly="0" labelOnly="1" fieldPosition="0">
        <references count="5">
          <reference field="4" count="1" selected="0">
            <x v="6"/>
          </reference>
          <reference field="6" count="1" selected="0">
            <x v="1"/>
          </reference>
          <reference field="7" count="1" selected="0">
            <x v="24"/>
          </reference>
          <reference field="8" count="1" selected="0">
            <x v="108"/>
          </reference>
          <reference field="15" count="2">
            <x v="97"/>
            <x v="119"/>
          </reference>
        </references>
      </pivotArea>
    </format>
    <format dxfId="744">
      <pivotArea dataOnly="0" labelOnly="1" fieldPosition="0">
        <references count="5">
          <reference field="4" count="1" selected="0">
            <x v="6"/>
          </reference>
          <reference field="6" count="1" selected="0">
            <x v="1"/>
          </reference>
          <reference field="7" count="1" selected="0">
            <x v="24"/>
          </reference>
          <reference field="8" count="1" selected="0">
            <x v="109"/>
          </reference>
          <reference field="15" count="2">
            <x v="96"/>
            <x v="327"/>
          </reference>
        </references>
      </pivotArea>
    </format>
    <format dxfId="743">
      <pivotArea dataOnly="0" labelOnly="1" fieldPosition="0">
        <references count="5">
          <reference field="4" count="1" selected="0">
            <x v="6"/>
          </reference>
          <reference field="6" count="1" selected="0">
            <x v="1"/>
          </reference>
          <reference field="7" count="1" selected="0">
            <x v="24"/>
          </reference>
          <reference field="8" count="1" selected="0">
            <x v="110"/>
          </reference>
          <reference field="15" count="2">
            <x v="115"/>
            <x v="324"/>
          </reference>
        </references>
      </pivotArea>
    </format>
    <format dxfId="742">
      <pivotArea dataOnly="0" labelOnly="1" fieldPosition="0">
        <references count="5">
          <reference field="4" count="1" selected="0">
            <x v="6"/>
          </reference>
          <reference field="6" count="1" selected="0">
            <x v="1"/>
          </reference>
          <reference field="7" count="1" selected="0">
            <x v="24"/>
          </reference>
          <reference field="8" count="1" selected="0">
            <x v="111"/>
          </reference>
          <reference field="15" count="1">
            <x v="326"/>
          </reference>
        </references>
      </pivotArea>
    </format>
    <format dxfId="741">
      <pivotArea dataOnly="0" labelOnly="1" fieldPosition="0">
        <references count="5">
          <reference field="4" count="1" selected="0">
            <x v="6"/>
          </reference>
          <reference field="6" count="1" selected="0">
            <x v="1"/>
          </reference>
          <reference field="7" count="1" selected="0">
            <x v="24"/>
          </reference>
          <reference field="8" count="1" selected="0">
            <x v="112"/>
          </reference>
          <reference field="15" count="5">
            <x v="80"/>
            <x v="120"/>
            <x v="121"/>
            <x v="122"/>
            <x v="135"/>
          </reference>
        </references>
      </pivotArea>
    </format>
    <format dxfId="740">
      <pivotArea dataOnly="0" labelOnly="1" fieldPosition="0">
        <references count="5">
          <reference field="4" count="1" selected="0">
            <x v="6"/>
          </reference>
          <reference field="6" count="1" selected="0">
            <x v="1"/>
          </reference>
          <reference field="7" count="1" selected="0">
            <x v="24"/>
          </reference>
          <reference field="8" count="1" selected="0">
            <x v="113"/>
          </reference>
          <reference field="15" count="3">
            <x v="67"/>
            <x v="84"/>
            <x v="166"/>
          </reference>
        </references>
      </pivotArea>
    </format>
    <format dxfId="739">
      <pivotArea dataOnly="0" labelOnly="1" fieldPosition="0">
        <references count="5">
          <reference field="4" count="1" selected="0">
            <x v="7"/>
          </reference>
          <reference field="6" count="1" selected="0">
            <x v="0"/>
          </reference>
          <reference field="7" count="1" selected="0">
            <x v="16"/>
          </reference>
          <reference field="8" count="1" selected="0">
            <x v="64"/>
          </reference>
          <reference field="15" count="3">
            <x v="274"/>
            <x v="278"/>
            <x v="325"/>
          </reference>
        </references>
      </pivotArea>
    </format>
    <format dxfId="738">
      <pivotArea dataOnly="0" labelOnly="1" fieldPosition="0">
        <references count="5">
          <reference field="4" count="1" selected="0">
            <x v="7"/>
          </reference>
          <reference field="6" count="1" selected="0">
            <x v="2"/>
          </reference>
          <reference field="7" count="1" selected="0">
            <x v="29"/>
          </reference>
          <reference field="8" count="1" selected="0">
            <x v="140"/>
          </reference>
          <reference field="15" count="1">
            <x v="53"/>
          </reference>
        </references>
      </pivotArea>
    </format>
    <format dxfId="737">
      <pivotArea dataOnly="0" labelOnly="1" fieldPosition="0">
        <references count="5">
          <reference field="4" count="1" selected="0">
            <x v="7"/>
          </reference>
          <reference field="6" count="1" selected="0">
            <x v="2"/>
          </reference>
          <reference field="7" count="1" selected="0">
            <x v="29"/>
          </reference>
          <reference field="8" count="1" selected="0">
            <x v="141"/>
          </reference>
          <reference field="15" count="1">
            <x v="279"/>
          </reference>
        </references>
      </pivotArea>
    </format>
    <format dxfId="736">
      <pivotArea dataOnly="0" labelOnly="1" fieldPosition="0">
        <references count="5">
          <reference field="4" count="1" selected="0">
            <x v="7"/>
          </reference>
          <reference field="6" count="1" selected="0">
            <x v="2"/>
          </reference>
          <reference field="7" count="1" selected="0">
            <x v="29"/>
          </reference>
          <reference field="8" count="1" selected="0">
            <x v="144"/>
          </reference>
          <reference field="15" count="1">
            <x v="52"/>
          </reference>
        </references>
      </pivotArea>
    </format>
    <format dxfId="735">
      <pivotArea dataOnly="0" labelOnly="1" fieldPosition="0">
        <references count="5">
          <reference field="4" count="1" selected="0">
            <x v="7"/>
          </reference>
          <reference field="6" count="1" selected="0">
            <x v="2"/>
          </reference>
          <reference field="7" count="1" selected="0">
            <x v="29"/>
          </reference>
          <reference field="8" count="1" selected="0">
            <x v="145"/>
          </reference>
          <reference field="15" count="1">
            <x v="51"/>
          </reference>
        </references>
      </pivotArea>
    </format>
    <format dxfId="734">
      <pivotArea dataOnly="0" labelOnly="1" fieldPosition="0">
        <references count="5">
          <reference field="4" count="1" selected="0">
            <x v="7"/>
          </reference>
          <reference field="6" count="1" selected="0">
            <x v="2"/>
          </reference>
          <reference field="7" count="1" selected="0">
            <x v="30"/>
          </reference>
          <reference field="8" count="1" selected="0">
            <x v="154"/>
          </reference>
          <reference field="15" count="1">
            <x v="275"/>
          </reference>
        </references>
      </pivotArea>
    </format>
    <format dxfId="733">
      <pivotArea dataOnly="0" labelOnly="1" fieldPosition="0">
        <references count="5">
          <reference field="4" count="1" selected="0">
            <x v="7"/>
          </reference>
          <reference field="6" count="1" selected="0">
            <x v="3"/>
          </reference>
          <reference field="7" count="1" selected="0">
            <x v="6"/>
          </reference>
          <reference field="8" count="1" selected="0">
            <x v="28"/>
          </reference>
          <reference field="15" count="3">
            <x v="318"/>
            <x v="319"/>
            <x v="320"/>
          </reference>
        </references>
      </pivotArea>
    </format>
    <format dxfId="732">
      <pivotArea dataOnly="0" labelOnly="1" fieldPosition="0">
        <references count="5">
          <reference field="4" count="1" selected="0">
            <x v="7"/>
          </reference>
          <reference field="6" count="1" selected="0">
            <x v="4"/>
          </reference>
          <reference field="7" count="1" selected="0">
            <x v="8"/>
          </reference>
          <reference field="8" count="1" selected="0">
            <x v="35"/>
          </reference>
          <reference field="15" count="1">
            <x v="337"/>
          </reference>
        </references>
      </pivotArea>
    </format>
    <format dxfId="731">
      <pivotArea dataOnly="0" labelOnly="1" fieldPosition="0">
        <references count="5">
          <reference field="4" count="1" selected="0">
            <x v="7"/>
          </reference>
          <reference field="6" count="1" selected="0">
            <x v="4"/>
          </reference>
          <reference field="7" count="1" selected="0">
            <x v="8"/>
          </reference>
          <reference field="8" count="1" selected="0">
            <x v="36"/>
          </reference>
          <reference field="15" count="1">
            <x v="280"/>
          </reference>
        </references>
      </pivotArea>
    </format>
    <format dxfId="730">
      <pivotArea dataOnly="0" labelOnly="1" fieldPosition="0">
        <references count="5">
          <reference field="4" count="1" selected="0">
            <x v="7"/>
          </reference>
          <reference field="6" count="1" selected="0">
            <x v="4"/>
          </reference>
          <reference field="7" count="1" selected="0">
            <x v="9"/>
          </reference>
          <reference field="8" count="1" selected="0">
            <x v="40"/>
          </reference>
          <reference field="15" count="3">
            <x v="311"/>
            <x v="312"/>
            <x v="334"/>
          </reference>
        </references>
      </pivotArea>
    </format>
    <format dxfId="729">
      <pivotArea dataOnly="0" labelOnly="1" fieldPosition="0">
        <references count="5">
          <reference field="4" count="1" selected="0">
            <x v="7"/>
          </reference>
          <reference field="6" count="1" selected="0">
            <x v="4"/>
          </reference>
          <reference field="7" count="1" selected="0">
            <x v="9"/>
          </reference>
          <reference field="8" count="1" selected="0">
            <x v="41"/>
          </reference>
          <reference field="15" count="1">
            <x v="328"/>
          </reference>
        </references>
      </pivotArea>
    </format>
    <format dxfId="728">
      <pivotArea dataOnly="0" labelOnly="1" fieldPosition="0">
        <references count="5">
          <reference field="4" count="1" selected="0">
            <x v="7"/>
          </reference>
          <reference field="6" count="1" selected="0">
            <x v="4"/>
          </reference>
          <reference field="7" count="1" selected="0">
            <x v="9"/>
          </reference>
          <reference field="8" count="1" selected="0">
            <x v="42"/>
          </reference>
          <reference field="15" count="1">
            <x v="329"/>
          </reference>
        </references>
      </pivotArea>
    </format>
    <format dxfId="727">
      <pivotArea dataOnly="0" labelOnly="1" fieldPosition="0">
        <references count="5">
          <reference field="4" count="1" selected="0">
            <x v="7"/>
          </reference>
          <reference field="6" count="1" selected="0">
            <x v="4"/>
          </reference>
          <reference field="7" count="1" selected="0">
            <x v="9"/>
          </reference>
          <reference field="8" count="1" selected="0">
            <x v="43"/>
          </reference>
          <reference field="15" count="1">
            <x v="321"/>
          </reference>
        </references>
      </pivotArea>
    </format>
    <format dxfId="726">
      <pivotArea dataOnly="0" labelOnly="1" fieldPosition="0">
        <references count="5">
          <reference field="4" count="1" selected="0">
            <x v="7"/>
          </reference>
          <reference field="6" count="1" selected="0">
            <x v="4"/>
          </reference>
          <reference field="7" count="1" selected="0">
            <x v="10"/>
          </reference>
          <reference field="8" count="1" selected="0">
            <x v="44"/>
          </reference>
          <reference field="15" count="2">
            <x v="57"/>
            <x v="58"/>
          </reference>
        </references>
      </pivotArea>
    </format>
    <format dxfId="725">
      <pivotArea dataOnly="0" labelOnly="1" fieldPosition="0">
        <references count="5">
          <reference field="4" count="1" selected="0">
            <x v="7"/>
          </reference>
          <reference field="6" count="1" selected="0">
            <x v="4"/>
          </reference>
          <reference field="7" count="1" selected="0">
            <x v="10"/>
          </reference>
          <reference field="8" count="1" selected="0">
            <x v="45"/>
          </reference>
          <reference field="15" count="1">
            <x v="55"/>
          </reference>
        </references>
      </pivotArea>
    </format>
    <format dxfId="724">
      <pivotArea dataOnly="0" labelOnly="1" fieldPosition="0">
        <references count="5">
          <reference field="4" count="1" selected="0">
            <x v="7"/>
          </reference>
          <reference field="6" count="1" selected="0">
            <x v="4"/>
          </reference>
          <reference field="7" count="1" selected="0">
            <x v="10"/>
          </reference>
          <reference field="8" count="1" selected="0">
            <x v="46"/>
          </reference>
          <reference field="15" count="1">
            <x v="59"/>
          </reference>
        </references>
      </pivotArea>
    </format>
    <format dxfId="723">
      <pivotArea dataOnly="0" labelOnly="1" fieldPosition="0">
        <references count="5">
          <reference field="4" count="1" selected="0">
            <x v="7"/>
          </reference>
          <reference field="6" count="1" selected="0">
            <x v="4"/>
          </reference>
          <reference field="7" count="1" selected="0">
            <x v="10"/>
          </reference>
          <reference field="8" count="1" selected="0">
            <x v="47"/>
          </reference>
          <reference field="15" count="1">
            <x v="54"/>
          </reference>
        </references>
      </pivotArea>
    </format>
    <format dxfId="722">
      <pivotArea dataOnly="0" labelOnly="1" fieldPosition="0">
        <references count="5">
          <reference field="4" count="1" selected="0">
            <x v="7"/>
          </reference>
          <reference field="6" count="1" selected="0">
            <x v="4"/>
          </reference>
          <reference field="7" count="1" selected="0">
            <x v="11"/>
          </reference>
          <reference field="8" count="1" selected="0">
            <x v="48"/>
          </reference>
          <reference field="15" count="1">
            <x v="88"/>
          </reference>
        </references>
      </pivotArea>
    </format>
    <format dxfId="721">
      <pivotArea dataOnly="0" labelOnly="1" fieldPosition="0">
        <references count="5">
          <reference field="4" count="1" selected="0">
            <x v="7"/>
          </reference>
          <reference field="6" count="1" selected="0">
            <x v="4"/>
          </reference>
          <reference field="7" count="1" selected="0">
            <x v="11"/>
          </reference>
          <reference field="8" count="1" selected="0">
            <x v="49"/>
          </reference>
          <reference field="15" count="1">
            <x v="86"/>
          </reference>
        </references>
      </pivotArea>
    </format>
    <format dxfId="720">
      <pivotArea dataOnly="0" labelOnly="1" fieldPosition="0">
        <references count="5">
          <reference field="4" count="1" selected="0">
            <x v="7"/>
          </reference>
          <reference field="6" count="1" selected="0">
            <x v="4"/>
          </reference>
          <reference field="7" count="1" selected="0">
            <x v="12"/>
          </reference>
          <reference field="8" count="1" selected="0">
            <x v="50"/>
          </reference>
          <reference field="15" count="3">
            <x v="64"/>
            <x v="65"/>
            <x v="136"/>
          </reference>
        </references>
      </pivotArea>
    </format>
    <format dxfId="719">
      <pivotArea dataOnly="0" labelOnly="1" fieldPosition="0">
        <references count="5">
          <reference field="4" count="1" selected="0">
            <x v="7"/>
          </reference>
          <reference field="6" count="1" selected="0">
            <x v="4"/>
          </reference>
          <reference field="7" count="1" selected="0">
            <x v="13"/>
          </reference>
          <reference field="8" count="1" selected="0">
            <x v="51"/>
          </reference>
          <reference field="15" count="1">
            <x v="307"/>
          </reference>
        </references>
      </pivotArea>
    </format>
    <format dxfId="718">
      <pivotArea dataOnly="0" labelOnly="1" fieldPosition="0">
        <references count="5">
          <reference field="4" count="1" selected="0">
            <x v="7"/>
          </reference>
          <reference field="6" count="1" selected="0">
            <x v="4"/>
          </reference>
          <reference field="7" count="1" selected="0">
            <x v="13"/>
          </reference>
          <reference field="8" count="1" selected="0">
            <x v="52"/>
          </reference>
          <reference field="15" count="1">
            <x v="309"/>
          </reference>
        </references>
      </pivotArea>
    </format>
    <format dxfId="717">
      <pivotArea dataOnly="0" labelOnly="1" fieldPosition="0">
        <references count="5">
          <reference field="4" count="1" selected="0">
            <x v="7"/>
          </reference>
          <reference field="6" count="1" selected="0">
            <x v="4"/>
          </reference>
          <reference field="7" count="1" selected="0">
            <x v="13"/>
          </reference>
          <reference field="8" count="1" selected="0">
            <x v="53"/>
          </reference>
          <reference field="15" count="1">
            <x v="308"/>
          </reference>
        </references>
      </pivotArea>
    </format>
    <format dxfId="716">
      <pivotArea dataOnly="0" labelOnly="1" fieldPosition="0">
        <references count="5">
          <reference field="4" count="1" selected="0">
            <x v="7"/>
          </reference>
          <reference field="6" count="1" selected="0">
            <x v="4"/>
          </reference>
          <reference field="7" count="1" selected="0">
            <x v="14"/>
          </reference>
          <reference field="8" count="1" selected="0">
            <x v="54"/>
          </reference>
          <reference field="15" count="1">
            <x v="281"/>
          </reference>
        </references>
      </pivotArea>
    </format>
    <format dxfId="715">
      <pivotArea dataOnly="0" labelOnly="1" fieldPosition="0">
        <references count="5">
          <reference field="4" count="1" selected="0">
            <x v="7"/>
          </reference>
          <reference field="6" count="1" selected="0">
            <x v="4"/>
          </reference>
          <reference field="7" count="1" selected="0">
            <x v="14"/>
          </reference>
          <reference field="8" count="1" selected="0">
            <x v="55"/>
          </reference>
          <reference field="15" count="1">
            <x v="138"/>
          </reference>
        </references>
      </pivotArea>
    </format>
    <format dxfId="714">
      <pivotArea dataOnly="0" labelOnly="1" fieldPosition="0">
        <references count="5">
          <reference field="4" count="1" selected="0">
            <x v="7"/>
          </reference>
          <reference field="6" count="1" selected="0">
            <x v="4"/>
          </reference>
          <reference field="7" count="1" selected="0">
            <x v="15"/>
          </reference>
          <reference field="8" count="1" selected="0">
            <x v="56"/>
          </reference>
          <reference field="15" count="2">
            <x v="335"/>
            <x v="336"/>
          </reference>
        </references>
      </pivotArea>
    </format>
    <format dxfId="713">
      <pivotArea dataOnly="0" labelOnly="1" fieldPosition="0">
        <references count="5">
          <reference field="4" count="1" selected="0">
            <x v="8"/>
          </reference>
          <reference field="6" count="1" selected="0">
            <x v="0"/>
          </reference>
          <reference field="7" count="1" selected="0">
            <x v="18"/>
          </reference>
          <reference field="8" count="1" selected="0">
            <x v="77"/>
          </reference>
          <reference field="15" count="1">
            <x v="290"/>
          </reference>
        </references>
      </pivotArea>
    </format>
    <format dxfId="712">
      <pivotArea dataOnly="0" labelOnly="1" fieldPosition="0">
        <references count="5">
          <reference field="4" count="1" selected="0">
            <x v="8"/>
          </reference>
          <reference field="6" count="1" selected="0">
            <x v="0"/>
          </reference>
          <reference field="7" count="1" selected="0">
            <x v="22"/>
          </reference>
          <reference field="8" count="1" selected="0">
            <x v="92"/>
          </reference>
          <reference field="15" count="4">
            <x v="130"/>
            <x v="359"/>
            <x v="360"/>
            <x v="361"/>
          </reference>
        </references>
      </pivotArea>
    </format>
    <format dxfId="711">
      <pivotArea dataOnly="0" labelOnly="1" fieldPosition="0">
        <references count="5">
          <reference field="4" count="1" selected="0">
            <x v="8"/>
          </reference>
          <reference field="6" count="1" selected="0">
            <x v="0"/>
          </reference>
          <reference field="7" count="1" selected="0">
            <x v="22"/>
          </reference>
          <reference field="8" count="1" selected="0">
            <x v="93"/>
          </reference>
          <reference field="15" count="1">
            <x v="369"/>
          </reference>
        </references>
      </pivotArea>
    </format>
    <format dxfId="710">
      <pivotArea dataOnly="0" labelOnly="1" fieldPosition="0">
        <references count="5">
          <reference field="4" count="1" selected="0">
            <x v="8"/>
          </reference>
          <reference field="6" count="1" selected="0">
            <x v="0"/>
          </reference>
          <reference field="7" count="1" selected="0">
            <x v="22"/>
          </reference>
          <reference field="8" count="1" selected="0">
            <x v="94"/>
          </reference>
          <reference field="15" count="1">
            <x v="273"/>
          </reference>
        </references>
      </pivotArea>
    </format>
    <format dxfId="709">
      <pivotArea dataOnly="0" labelOnly="1" fieldPosition="0">
        <references count="5">
          <reference field="4" count="1" selected="0">
            <x v="8"/>
          </reference>
          <reference field="6" count="1" selected="0">
            <x v="1"/>
          </reference>
          <reference field="7" count="1" selected="0">
            <x v="28"/>
          </reference>
          <reference field="8" count="1" selected="0">
            <x v="138"/>
          </reference>
          <reference field="15" count="3">
            <x v="270"/>
            <x v="343"/>
            <x v="355"/>
          </reference>
        </references>
      </pivotArea>
    </format>
    <format dxfId="708">
      <pivotArea dataOnly="0" labelOnly="1" fieldPosition="0">
        <references count="5">
          <reference field="4" count="1" selected="0">
            <x v="8"/>
          </reference>
          <reference field="6" count="1" selected="0">
            <x v="1"/>
          </reference>
          <reference field="7" count="1" selected="0">
            <x v="28"/>
          </reference>
          <reference field="8" count="1" selected="0">
            <x v="139"/>
          </reference>
          <reference field="15" count="1">
            <x v="147"/>
          </reference>
        </references>
      </pivotArea>
    </format>
    <format dxfId="707">
      <pivotArea dataOnly="0" labelOnly="1" fieldPosition="0">
        <references count="5">
          <reference field="4" count="1" selected="0">
            <x v="8"/>
          </reference>
          <reference field="6" count="1" selected="0">
            <x v="2"/>
          </reference>
          <reference field="7" count="1" selected="0">
            <x v="32"/>
          </reference>
          <reference field="8" count="1" selected="0">
            <x v="158"/>
          </reference>
          <reference field="15" count="1">
            <x v="344"/>
          </reference>
        </references>
      </pivotArea>
    </format>
    <format dxfId="706">
      <pivotArea dataOnly="0" labelOnly="1" fieldPosition="0">
        <references count="5">
          <reference field="4" count="1" selected="0">
            <x v="8"/>
          </reference>
          <reference field="6" count="1" selected="0">
            <x v="2"/>
          </reference>
          <reference field="7" count="1" selected="0">
            <x v="32"/>
          </reference>
          <reference field="8" count="1" selected="0">
            <x v="159"/>
          </reference>
          <reference field="15" count="1">
            <x v="137"/>
          </reference>
        </references>
      </pivotArea>
    </format>
    <format dxfId="705">
      <pivotArea dataOnly="0" labelOnly="1" fieldPosition="0">
        <references count="5">
          <reference field="4" count="1" selected="0">
            <x v="8"/>
          </reference>
          <reference field="6" count="1" selected="0">
            <x v="3"/>
          </reference>
          <reference field="7" count="1" selected="0">
            <x v="6"/>
          </reference>
          <reference field="8" count="1" selected="0">
            <x v="29"/>
          </reference>
          <reference field="15" count="4">
            <x v="145"/>
            <x v="146"/>
            <x v="356"/>
            <x v="357"/>
          </reference>
        </references>
      </pivotArea>
    </format>
    <format dxfId="704">
      <pivotArea dataOnly="0" labelOnly="1" fieldPosition="0">
        <references count="5">
          <reference field="4" count="1" selected="0">
            <x v="8"/>
          </reference>
          <reference field="6" count="1" selected="0">
            <x v="3"/>
          </reference>
          <reference field="7" count="1" selected="0">
            <x v="6"/>
          </reference>
          <reference field="8" count="1" selected="0">
            <x v="30"/>
          </reference>
          <reference field="15" count="2">
            <x v="267"/>
            <x v="268"/>
          </reference>
        </references>
      </pivotArea>
    </format>
    <format dxfId="703">
      <pivotArea dataOnly="0" labelOnly="1" fieldPosition="0">
        <references count="5">
          <reference field="4" count="1" selected="0">
            <x v="9"/>
          </reference>
          <reference field="6" count="1" selected="0">
            <x v="1"/>
          </reference>
          <reference field="7" count="1" selected="0">
            <x v="25"/>
          </reference>
          <reference field="8" count="1" selected="0">
            <x v="115"/>
          </reference>
          <reference field="15" count="13">
            <x v="35"/>
            <x v="36"/>
            <x v="63"/>
            <x v="72"/>
            <x v="77"/>
            <x v="238"/>
            <x v="241"/>
            <x v="242"/>
            <x v="243"/>
            <x v="247"/>
            <x v="248"/>
            <x v="260"/>
            <x v="262"/>
          </reference>
        </references>
      </pivotArea>
    </format>
    <format dxfId="702">
      <pivotArea dataOnly="0" labelOnly="1" fieldPosition="0">
        <references count="5">
          <reference field="4" count="1" selected="0">
            <x v="9"/>
          </reference>
          <reference field="6" count="1" selected="0">
            <x v="1"/>
          </reference>
          <reference field="7" count="1" selected="0">
            <x v="25"/>
          </reference>
          <reference field="8" count="1" selected="0">
            <x v="116"/>
          </reference>
          <reference field="15" count="1">
            <x v="61"/>
          </reference>
        </references>
      </pivotArea>
    </format>
    <format dxfId="701">
      <pivotArea dataOnly="0" labelOnly="1" fieldPosition="0">
        <references count="5">
          <reference field="4" count="1" selected="0">
            <x v="9"/>
          </reference>
          <reference field="6" count="1" selected="0">
            <x v="1"/>
          </reference>
          <reference field="7" count="1" selected="0">
            <x v="25"/>
          </reference>
          <reference field="8" count="1" selected="0">
            <x v="117"/>
          </reference>
          <reference field="15" count="2">
            <x v="92"/>
            <x v="249"/>
          </reference>
        </references>
      </pivotArea>
    </format>
    <format dxfId="700">
      <pivotArea dataOnly="0" labelOnly="1" fieldPosition="0">
        <references count="5">
          <reference field="4" count="1" selected="0">
            <x v="9"/>
          </reference>
          <reference field="6" count="1" selected="0">
            <x v="1"/>
          </reference>
          <reference field="7" count="1" selected="0">
            <x v="25"/>
          </reference>
          <reference field="8" count="1" selected="0">
            <x v="118"/>
          </reference>
          <reference field="15" count="3">
            <x v="71"/>
            <x v="87"/>
            <x v="91"/>
          </reference>
        </references>
      </pivotArea>
    </format>
    <format dxfId="699">
      <pivotArea dataOnly="0" labelOnly="1" fieldPosition="0">
        <references count="5">
          <reference field="4" count="1" selected="0">
            <x v="9"/>
          </reference>
          <reference field="6" count="1" selected="0">
            <x v="1"/>
          </reference>
          <reference field="7" count="1" selected="0">
            <x v="25"/>
          </reference>
          <reference field="8" count="1" selected="0">
            <x v="119"/>
          </reference>
          <reference field="15" count="4">
            <x v="62"/>
            <x v="68"/>
            <x v="69"/>
            <x v="70"/>
          </reference>
        </references>
      </pivotArea>
    </format>
    <format dxfId="698">
      <pivotArea dataOnly="0" labelOnly="1" fieldPosition="0">
        <references count="5">
          <reference field="4" count="1" selected="0">
            <x v="9"/>
          </reference>
          <reference field="6" count="1" selected="0">
            <x v="1"/>
          </reference>
          <reference field="7" count="1" selected="0">
            <x v="25"/>
          </reference>
          <reference field="8" count="1" selected="0">
            <x v="120"/>
          </reference>
          <reference field="15" count="1">
            <x v="85"/>
          </reference>
        </references>
      </pivotArea>
    </format>
    <format dxfId="697">
      <pivotArea dataOnly="0" labelOnly="1" fieldPosition="0">
        <references count="5">
          <reference field="4" count="1" selected="0">
            <x v="9"/>
          </reference>
          <reference field="6" count="1" selected="0">
            <x v="1"/>
          </reference>
          <reference field="7" count="1" selected="0">
            <x v="25"/>
          </reference>
          <reference field="8" count="1" selected="0">
            <x v="121"/>
          </reference>
          <reference field="15" count="2">
            <x v="41"/>
            <x v="78"/>
          </reference>
        </references>
      </pivotArea>
    </format>
    <format dxfId="696">
      <pivotArea dataOnly="0" labelOnly="1" fieldPosition="0">
        <references count="5">
          <reference field="4" count="1" selected="0">
            <x v="9"/>
          </reference>
          <reference field="6" count="1" selected="0">
            <x v="1"/>
          </reference>
          <reference field="7" count="1" selected="0">
            <x v="25"/>
          </reference>
          <reference field="8" count="1" selected="0">
            <x v="122"/>
          </reference>
          <reference field="15" count="2">
            <x v="38"/>
            <x v="39"/>
          </reference>
        </references>
      </pivotArea>
    </format>
    <format dxfId="695">
      <pivotArea dataOnly="0" labelOnly="1" fieldPosition="0">
        <references count="5">
          <reference field="4" count="1" selected="0">
            <x v="9"/>
          </reference>
          <reference field="6" count="1" selected="0">
            <x v="1"/>
          </reference>
          <reference field="7" count="1" selected="0">
            <x v="25"/>
          </reference>
          <reference field="8" count="1" selected="0">
            <x v="123"/>
          </reference>
          <reference field="15" count="7">
            <x v="32"/>
            <x v="33"/>
            <x v="60"/>
            <x v="82"/>
            <x v="83"/>
            <x v="89"/>
            <x v="90"/>
          </reference>
        </references>
      </pivotArea>
    </format>
    <format dxfId="694">
      <pivotArea dataOnly="0" labelOnly="1" fieldPosition="0">
        <references count="5">
          <reference field="4" count="1" selected="0">
            <x v="9"/>
          </reference>
          <reference field="6" count="1" selected="0">
            <x v="1"/>
          </reference>
          <reference field="7" count="1" selected="0">
            <x v="25"/>
          </reference>
          <reference field="8" count="1" selected="0">
            <x v="124"/>
          </reference>
          <reference field="15" count="1">
            <x v="261"/>
          </reference>
        </references>
      </pivotArea>
    </format>
    <format dxfId="693">
      <pivotArea dataOnly="0" labelOnly="1" fieldPosition="0">
        <references count="5">
          <reference field="4" count="1" selected="0">
            <x v="10"/>
          </reference>
          <reference field="6" count="1" selected="0">
            <x v="3"/>
          </reference>
          <reference field="7" count="1" selected="0">
            <x v="6"/>
          </reference>
          <reference field="8" count="1" selected="0">
            <x v="29"/>
          </reference>
          <reference field="15" count="21">
            <x v="2"/>
            <x v="3"/>
            <x v="5"/>
            <x v="152"/>
            <x v="153"/>
            <x v="154"/>
            <x v="155"/>
            <x v="156"/>
            <x v="157"/>
            <x v="158"/>
            <x v="159"/>
            <x v="160"/>
            <x v="161"/>
            <x v="162"/>
            <x v="163"/>
            <x v="189"/>
            <x v="190"/>
            <x v="191"/>
            <x v="192"/>
            <x v="193"/>
            <x v="395"/>
          </reference>
        </references>
      </pivotArea>
    </format>
    <format dxfId="692">
      <pivotArea dataOnly="0" labelOnly="1" fieldPosition="0">
        <references count="5">
          <reference field="4" count="1" selected="0">
            <x v="11"/>
          </reference>
          <reference field="6" count="1" selected="0">
            <x v="0"/>
          </reference>
          <reference field="7" count="1" selected="0">
            <x v="17"/>
          </reference>
          <reference field="8" count="1" selected="0">
            <x v="70"/>
          </reference>
          <reference field="15" count="4">
            <x v="345"/>
            <x v="346"/>
            <x v="347"/>
            <x v="351"/>
          </reference>
        </references>
      </pivotArea>
    </format>
    <format dxfId="691">
      <pivotArea dataOnly="0" labelOnly="1" fieldPosition="0">
        <references count="5">
          <reference field="4" count="1" selected="0">
            <x v="11"/>
          </reference>
          <reference field="6" count="1" selected="0">
            <x v="0"/>
          </reference>
          <reference field="7" count="1" selected="0">
            <x v="17"/>
          </reference>
          <reference field="8" count="1" selected="0">
            <x v="71"/>
          </reference>
          <reference field="15" count="3">
            <x v="348"/>
            <x v="352"/>
            <x v="353"/>
          </reference>
        </references>
      </pivotArea>
    </format>
    <format dxfId="690">
      <pivotArea dataOnly="0" labelOnly="1" fieldPosition="0">
        <references count="5">
          <reference field="4" count="1" selected="0">
            <x v="11"/>
          </reference>
          <reference field="6" count="1" selected="0">
            <x v="0"/>
          </reference>
          <reference field="7" count="1" selected="0">
            <x v="17"/>
          </reference>
          <reference field="8" count="1" selected="0">
            <x v="72"/>
          </reference>
          <reference field="15" count="3">
            <x v="143"/>
            <x v="349"/>
            <x v="350"/>
          </reference>
        </references>
      </pivotArea>
    </format>
    <format dxfId="689">
      <pivotArea dataOnly="0" labelOnly="1" fieldPosition="0">
        <references count="5">
          <reference field="4" count="1" selected="0">
            <x v="12"/>
          </reference>
          <reference field="6" count="1" selected="0">
            <x v="0"/>
          </reference>
          <reference field="7" count="1" selected="0">
            <x v="18"/>
          </reference>
          <reference field="8" count="1" selected="0">
            <x v="74"/>
          </reference>
          <reference field="15" count="2">
            <x v="113"/>
            <x v="114"/>
          </reference>
        </references>
      </pivotArea>
    </format>
    <format dxfId="688">
      <pivotArea dataOnly="0" labelOnly="1" fieldPosition="0">
        <references count="5">
          <reference field="4" count="1" selected="0">
            <x v="12"/>
          </reference>
          <reference field="6" count="1" selected="0">
            <x v="0"/>
          </reference>
          <reference field="7" count="1" selected="0">
            <x v="18"/>
          </reference>
          <reference field="8" count="1" selected="0">
            <x v="75"/>
          </reference>
          <reference field="15" count="1">
            <x v="116"/>
          </reference>
        </references>
      </pivotArea>
    </format>
    <format dxfId="687">
      <pivotArea dataOnly="0" labelOnly="1" fieldPosition="0">
        <references count="5">
          <reference field="4" count="1" selected="0">
            <x v="12"/>
          </reference>
          <reference field="6" count="1" selected="0">
            <x v="0"/>
          </reference>
          <reference field="7" count="1" selected="0">
            <x v="18"/>
          </reference>
          <reference field="8" count="1" selected="0">
            <x v="76"/>
          </reference>
          <reference field="15" count="1">
            <x v="244"/>
          </reference>
        </references>
      </pivotArea>
    </format>
    <format dxfId="686">
      <pivotArea dataOnly="0" labelOnly="1" fieldPosition="0">
        <references count="5">
          <reference field="4" count="1" selected="0">
            <x v="13"/>
          </reference>
          <reference field="6" count="1" selected="0">
            <x v="3"/>
          </reference>
          <reference field="7" count="1" selected="0">
            <x v="1"/>
          </reference>
          <reference field="8" count="1" selected="0">
            <x v="6"/>
          </reference>
          <reference field="15" count="1">
            <x v="340"/>
          </reference>
        </references>
      </pivotArea>
    </format>
    <format dxfId="685">
      <pivotArea dataOnly="0" labelOnly="1" fieldPosition="0">
        <references count="5">
          <reference field="4" count="1" selected="0">
            <x v="13"/>
          </reference>
          <reference field="6" count="1" selected="0">
            <x v="3"/>
          </reference>
          <reference field="7" count="1" selected="0">
            <x v="5"/>
          </reference>
          <reference field="8" count="1" selected="0">
            <x v="22"/>
          </reference>
          <reference field="15" count="1">
            <x v="333"/>
          </reference>
        </references>
      </pivotArea>
    </format>
    <format dxfId="684">
      <pivotArea dataOnly="0" labelOnly="1" fieldPosition="0">
        <references count="5">
          <reference field="4" count="1" selected="0">
            <x v="13"/>
          </reference>
          <reference field="6" count="1" selected="0">
            <x v="3"/>
          </reference>
          <reference field="7" count="1" selected="0">
            <x v="5"/>
          </reference>
          <reference field="8" count="1" selected="0">
            <x v="23"/>
          </reference>
          <reference field="15" count="1">
            <x v="332"/>
          </reference>
        </references>
      </pivotArea>
    </format>
    <format dxfId="683">
      <pivotArea dataOnly="0" labelOnly="1" fieldPosition="0">
        <references count="5">
          <reference field="4" count="1" selected="0">
            <x v="13"/>
          </reference>
          <reference field="6" count="1" selected="0">
            <x v="3"/>
          </reference>
          <reference field="7" count="1" selected="0">
            <x v="5"/>
          </reference>
          <reference field="8" count="1" selected="0">
            <x v="24"/>
          </reference>
          <reference field="15" count="1">
            <x v="339"/>
          </reference>
        </references>
      </pivotArea>
    </format>
    <format dxfId="682">
      <pivotArea dataOnly="0" labelOnly="1" fieldPosition="0">
        <references count="5">
          <reference field="4" count="1" selected="0">
            <x v="13"/>
          </reference>
          <reference field="6" count="1" selected="0">
            <x v="3"/>
          </reference>
          <reference field="7" count="1" selected="0">
            <x v="5"/>
          </reference>
          <reference field="8" count="1" selected="0">
            <x v="25"/>
          </reference>
          <reference field="15" count="1">
            <x v="342"/>
          </reference>
        </references>
      </pivotArea>
    </format>
    <format dxfId="681">
      <pivotArea dataOnly="0" labelOnly="1" fieldPosition="0">
        <references count="5">
          <reference field="4" count="1" selected="0">
            <x v="13"/>
          </reference>
          <reference field="6" count="1" selected="0">
            <x v="3"/>
          </reference>
          <reference field="7" count="1" selected="0">
            <x v="5"/>
          </reference>
          <reference field="8" count="1" selected="0">
            <x v="26"/>
          </reference>
          <reference field="15" count="1">
            <x v="338"/>
          </reference>
        </references>
      </pivotArea>
    </format>
    <format dxfId="680">
      <pivotArea dataOnly="0" labelOnly="1" fieldPosition="0">
        <references count="5">
          <reference field="4" count="1" selected="0">
            <x v="13"/>
          </reference>
          <reference field="6" count="1" selected="0">
            <x v="3"/>
          </reference>
          <reference field="7" count="1" selected="0">
            <x v="5"/>
          </reference>
          <reference field="8" count="1" selected="0">
            <x v="27"/>
          </reference>
          <reference field="15" count="1">
            <x v="341"/>
          </reference>
        </references>
      </pivotArea>
    </format>
    <format dxfId="679">
      <pivotArea dataOnly="0" labelOnly="1" fieldPosition="0">
        <references count="5">
          <reference field="4" count="1" selected="0">
            <x v="14"/>
          </reference>
          <reference field="6" count="1" selected="0">
            <x v="1"/>
          </reference>
          <reference field="7" count="1" selected="0">
            <x v="26"/>
          </reference>
          <reference field="8" count="1" selected="0">
            <x v="125"/>
          </reference>
          <reference field="15" count="4">
            <x v="26"/>
            <x v="27"/>
            <x v="28"/>
            <x v="99"/>
          </reference>
        </references>
      </pivotArea>
    </format>
    <format dxfId="678">
      <pivotArea dataOnly="0" labelOnly="1" fieldPosition="0">
        <references count="5">
          <reference field="4" count="1" selected="0">
            <x v="14"/>
          </reference>
          <reference field="6" count="1" selected="0">
            <x v="1"/>
          </reference>
          <reference field="7" count="1" selected="0">
            <x v="26"/>
          </reference>
          <reference field="8" count="1" selected="0">
            <x v="126"/>
          </reference>
          <reference field="15" count="1">
            <x v="19"/>
          </reference>
        </references>
      </pivotArea>
    </format>
    <format dxfId="677">
      <pivotArea dataOnly="0" labelOnly="1" fieldPosition="0">
        <references count="5">
          <reference field="4" count="1" selected="0">
            <x v="14"/>
          </reference>
          <reference field="6" count="1" selected="0">
            <x v="1"/>
          </reference>
          <reference field="7" count="1" selected="0">
            <x v="26"/>
          </reference>
          <reference field="8" count="1" selected="0">
            <x v="127"/>
          </reference>
          <reference field="15" count="2">
            <x v="150"/>
            <x v="151"/>
          </reference>
        </references>
      </pivotArea>
    </format>
    <format dxfId="676">
      <pivotArea dataOnly="0" labelOnly="1" fieldPosition="0">
        <references count="5">
          <reference field="4" count="1" selected="0">
            <x v="14"/>
          </reference>
          <reference field="6" count="1" selected="0">
            <x v="1"/>
          </reference>
          <reference field="7" count="1" selected="0">
            <x v="26"/>
          </reference>
          <reference field="8" count="1" selected="0">
            <x v="128"/>
          </reference>
          <reference field="15" count="2">
            <x v="29"/>
            <x v="30"/>
          </reference>
        </references>
      </pivotArea>
    </format>
    <format dxfId="675">
      <pivotArea dataOnly="0" labelOnly="1" fieldPosition="0">
        <references count="5">
          <reference field="4" count="1" selected="0">
            <x v="14"/>
          </reference>
          <reference field="6" count="1" selected="0">
            <x v="1"/>
          </reference>
          <reference field="7" count="1" selected="0">
            <x v="26"/>
          </reference>
          <reference field="8" count="1" selected="0">
            <x v="129"/>
          </reference>
          <reference field="15" count="2">
            <x v="330"/>
            <x v="331"/>
          </reference>
        </references>
      </pivotArea>
    </format>
    <format dxfId="674">
      <pivotArea dataOnly="0" labelOnly="1" fieldPosition="0">
        <references count="5">
          <reference field="4" count="1" selected="0">
            <x v="14"/>
          </reference>
          <reference field="6" count="1" selected="0">
            <x v="1"/>
          </reference>
          <reference field="7" count="1" selected="0">
            <x v="26"/>
          </reference>
          <reference field="8" count="1" selected="0">
            <x v="130"/>
          </reference>
          <reference field="15" count="2">
            <x v="367"/>
            <x v="368"/>
          </reference>
        </references>
      </pivotArea>
    </format>
    <format dxfId="673">
      <pivotArea dataOnly="0" labelOnly="1" fieldPosition="0">
        <references count="5">
          <reference field="4" count="1" selected="0">
            <x v="14"/>
          </reference>
          <reference field="6" count="1" selected="0">
            <x v="1"/>
          </reference>
          <reference field="7" count="1" selected="0">
            <x v="26"/>
          </reference>
          <reference field="8" count="1" selected="0">
            <x v="131"/>
          </reference>
          <reference field="15" count="3">
            <x v="14"/>
            <x v="15"/>
            <x v="16"/>
          </reference>
        </references>
      </pivotArea>
    </format>
    <format dxfId="672">
      <pivotArea dataOnly="0" labelOnly="1" fieldPosition="0">
        <references count="5">
          <reference field="4" count="1" selected="0">
            <x v="15"/>
          </reference>
          <reference field="6" count="1" selected="0">
            <x v="0"/>
          </reference>
          <reference field="7" count="1" selected="0">
            <x v="20"/>
          </reference>
          <reference field="8" count="1" selected="0">
            <x v="82"/>
          </reference>
          <reference field="15" count="2">
            <x v="73"/>
            <x v="74"/>
          </reference>
        </references>
      </pivotArea>
    </format>
    <format dxfId="671">
      <pivotArea dataOnly="0" labelOnly="1" fieldPosition="0">
        <references count="5">
          <reference field="4" count="1" selected="0">
            <x v="15"/>
          </reference>
          <reference field="6" count="1" selected="0">
            <x v="0"/>
          </reference>
          <reference field="7" count="1" selected="0">
            <x v="20"/>
          </reference>
          <reference field="8" count="1" selected="0">
            <x v="83"/>
          </reference>
          <reference field="15" count="1">
            <x v="75"/>
          </reference>
        </references>
      </pivotArea>
    </format>
    <format dxfId="670">
      <pivotArea dataOnly="0" labelOnly="1" fieldPosition="0">
        <references count="5">
          <reference field="4" count="1" selected="0">
            <x v="15"/>
          </reference>
          <reference field="6" count="1" selected="0">
            <x v="0"/>
          </reference>
          <reference field="7" count="1" selected="0">
            <x v="20"/>
          </reference>
          <reference field="8" count="1" selected="0">
            <x v="84"/>
          </reference>
          <reference field="15" count="1">
            <x v="76"/>
          </reference>
        </references>
      </pivotArea>
    </format>
    <format dxfId="669">
      <pivotArea dataOnly="0" labelOnly="1" fieldPosition="0">
        <references count="5">
          <reference field="4" count="1" selected="0">
            <x v="15"/>
          </reference>
          <reference field="6" count="1" selected="0">
            <x v="0"/>
          </reference>
          <reference field="7" count="1" selected="0">
            <x v="20"/>
          </reference>
          <reference field="8" count="1" selected="0">
            <x v="85"/>
          </reference>
          <reference field="15" count="1">
            <x v="259"/>
          </reference>
        </references>
      </pivotArea>
    </format>
    <format dxfId="668">
      <pivotArea dataOnly="0" labelOnly="1" fieldPosition="0">
        <references count="5">
          <reference field="4" count="1" selected="0">
            <x v="15"/>
          </reference>
          <reference field="6" count="1" selected="0">
            <x v="0"/>
          </reference>
          <reference field="7" count="1" selected="0">
            <x v="20"/>
          </reference>
          <reference field="8" count="1" selected="0">
            <x v="86"/>
          </reference>
          <reference field="15" count="3">
            <x v="132"/>
            <x v="133"/>
            <x v="134"/>
          </reference>
        </references>
      </pivotArea>
    </format>
    <format dxfId="667">
      <pivotArea dataOnly="0" labelOnly="1" fieldPosition="0">
        <references count="5">
          <reference field="4" count="1" selected="0">
            <x v="16"/>
          </reference>
          <reference field="6" count="1" selected="0">
            <x v="1"/>
          </reference>
          <reference field="7" count="1" selected="0">
            <x v="27"/>
          </reference>
          <reference field="8" count="1" selected="0">
            <x v="132"/>
          </reference>
          <reference field="15" count="1">
            <x v="20"/>
          </reference>
        </references>
      </pivotArea>
    </format>
    <format dxfId="666">
      <pivotArea dataOnly="0" labelOnly="1" fieldPosition="0">
        <references count="5">
          <reference field="4" count="1" selected="0">
            <x v="16"/>
          </reference>
          <reference field="6" count="1" selected="0">
            <x v="1"/>
          </reference>
          <reference field="7" count="1" selected="0">
            <x v="27"/>
          </reference>
          <reference field="8" count="1" selected="0">
            <x v="133"/>
          </reference>
          <reference field="15" count="3">
            <x v="21"/>
            <x v="22"/>
            <x v="23"/>
          </reference>
        </references>
      </pivotArea>
    </format>
    <format dxfId="665">
      <pivotArea dataOnly="0" labelOnly="1" fieldPosition="0">
        <references count="5">
          <reference field="4" count="1" selected="0">
            <x v="16"/>
          </reference>
          <reference field="6" count="1" selected="0">
            <x v="1"/>
          </reference>
          <reference field="7" count="1" selected="0">
            <x v="27"/>
          </reference>
          <reference field="8" count="1" selected="0">
            <x v="134"/>
          </reference>
          <reference field="15" count="2">
            <x v="149"/>
            <x v="354"/>
          </reference>
        </references>
      </pivotArea>
    </format>
    <format dxfId="664">
      <pivotArea dataOnly="0" labelOnly="1" fieldPosition="0">
        <references count="5">
          <reference field="4" count="1" selected="0">
            <x v="16"/>
          </reference>
          <reference field="6" count="1" selected="0">
            <x v="1"/>
          </reference>
          <reference field="7" count="1" selected="0">
            <x v="27"/>
          </reference>
          <reference field="8" count="1" selected="0">
            <x v="135"/>
          </reference>
          <reference field="15" count="2">
            <x v="109"/>
            <x v="363"/>
          </reference>
        </references>
      </pivotArea>
    </format>
    <format dxfId="663">
      <pivotArea dataOnly="0" labelOnly="1" fieldPosition="0">
        <references count="5">
          <reference field="4" count="1" selected="0">
            <x v="16"/>
          </reference>
          <reference field="6" count="1" selected="0">
            <x v="1"/>
          </reference>
          <reference field="7" count="1" selected="0">
            <x v="27"/>
          </reference>
          <reference field="8" count="1" selected="0">
            <x v="136"/>
          </reference>
          <reference field="15" count="2">
            <x v="81"/>
            <x v="148"/>
          </reference>
        </references>
      </pivotArea>
    </format>
    <format dxfId="662">
      <pivotArea dataOnly="0" labelOnly="1" fieldPosition="0">
        <references count="5">
          <reference field="4" count="1" selected="0">
            <x v="16"/>
          </reference>
          <reference field="6" count="1" selected="0">
            <x v="1"/>
          </reference>
          <reference field="7" count="1" selected="0">
            <x v="27"/>
          </reference>
          <reference field="8" count="1" selected="0">
            <x v="137"/>
          </reference>
          <reference field="15" count="2">
            <x v="111"/>
            <x v="112"/>
          </reference>
        </references>
      </pivotArea>
    </format>
    <format dxfId="661">
      <pivotArea dataOnly="0" labelOnly="1" fieldPosition="0">
        <references count="5">
          <reference field="4" count="1" selected="0">
            <x v="16"/>
          </reference>
          <reference field="6" count="1" selected="0">
            <x v="3"/>
          </reference>
          <reference field="7" count="1" selected="0">
            <x v="1"/>
          </reference>
          <reference field="8" count="1" selected="0">
            <x v="6"/>
          </reference>
          <reference field="15" count="1">
            <x v="362"/>
          </reference>
        </references>
      </pivotArea>
    </format>
    <format dxfId="660">
      <pivotArea dataOnly="0" labelOnly="1" fieldPosition="0">
        <references count="5">
          <reference field="4" count="1" selected="0">
            <x v="16"/>
          </reference>
          <reference field="6" count="1" selected="0">
            <x v="4"/>
          </reference>
          <reference field="7" count="1" selected="0">
            <x v="8"/>
          </reference>
          <reference field="8" count="1" selected="0">
            <x v="38"/>
          </reference>
          <reference field="15" count="1">
            <x v="229"/>
          </reference>
        </references>
      </pivotArea>
    </format>
    <format dxfId="659">
      <pivotArea dataOnly="0" labelOnly="1" fieldPosition="0">
        <references count="5">
          <reference field="4" count="1" selected="0">
            <x v="16"/>
          </reference>
          <reference field="6" count="1" selected="0">
            <x v="4"/>
          </reference>
          <reference field="7" count="1" selected="0">
            <x v="11"/>
          </reference>
          <reference field="8" count="1" selected="0">
            <x v="48"/>
          </reference>
          <reference field="15" count="1">
            <x v="200"/>
          </reference>
        </references>
      </pivotArea>
    </format>
    <format dxfId="658">
      <pivotArea dataOnly="0" labelOnly="1" fieldPosition="0">
        <references count="5">
          <reference field="4" count="1" selected="0">
            <x v="17"/>
          </reference>
          <reference field="6" count="1" selected="0">
            <x v="0"/>
          </reference>
          <reference field="7" count="1" selected="0">
            <x v="16"/>
          </reference>
          <reference field="8" count="1" selected="0">
            <x v="57"/>
          </reference>
          <reference field="15" count="5">
            <x v="110"/>
            <x v="284"/>
            <x v="285"/>
            <x v="294"/>
            <x v="295"/>
          </reference>
        </references>
      </pivotArea>
    </format>
    <format dxfId="657">
      <pivotArea dataOnly="0" labelOnly="1" fieldPosition="0">
        <references count="5">
          <reference field="4" count="1" selected="0">
            <x v="17"/>
          </reference>
          <reference field="6" count="1" selected="0">
            <x v="0"/>
          </reference>
          <reference field="7" count="1" selected="0">
            <x v="16"/>
          </reference>
          <reference field="8" count="1" selected="0">
            <x v="58"/>
          </reference>
          <reference field="15" count="2">
            <x v="299"/>
            <x v="300"/>
          </reference>
        </references>
      </pivotArea>
    </format>
    <format dxfId="656">
      <pivotArea dataOnly="0" labelOnly="1" fieldPosition="0">
        <references count="5">
          <reference field="4" count="1" selected="0">
            <x v="17"/>
          </reference>
          <reference field="6" count="1" selected="0">
            <x v="0"/>
          </reference>
          <reference field="7" count="1" selected="0">
            <x v="16"/>
          </reference>
          <reference field="8" count="1" selected="0">
            <x v="59"/>
          </reference>
          <reference field="15" count="2">
            <x v="94"/>
            <x v="95"/>
          </reference>
        </references>
      </pivotArea>
    </format>
    <format dxfId="655">
      <pivotArea dataOnly="0" labelOnly="1" fieldPosition="0">
        <references count="5">
          <reference field="4" count="1" selected="0">
            <x v="17"/>
          </reference>
          <reference field="6" count="1" selected="0">
            <x v="0"/>
          </reference>
          <reference field="7" count="1" selected="0">
            <x v="16"/>
          </reference>
          <reference field="8" count="1" selected="0">
            <x v="60"/>
          </reference>
          <reference field="15" count="5">
            <x v="102"/>
            <x v="103"/>
            <x v="104"/>
            <x v="322"/>
            <x v="323"/>
          </reference>
        </references>
      </pivotArea>
    </format>
    <format dxfId="654">
      <pivotArea dataOnly="0" labelOnly="1" fieldPosition="0">
        <references count="5">
          <reference field="4" count="1" selected="0">
            <x v="17"/>
          </reference>
          <reference field="6" count="1" selected="0">
            <x v="0"/>
          </reference>
          <reference field="7" count="1" selected="0">
            <x v="16"/>
          </reference>
          <reference field="8" count="1" selected="0">
            <x v="61"/>
          </reference>
          <reference field="15" count="2">
            <x v="296"/>
            <x v="297"/>
          </reference>
        </references>
      </pivotArea>
    </format>
    <format dxfId="653">
      <pivotArea dataOnly="0" labelOnly="1" fieldPosition="0">
        <references count="5">
          <reference field="4" count="1" selected="0">
            <x v="17"/>
          </reference>
          <reference field="6" count="1" selected="0">
            <x v="0"/>
          </reference>
          <reference field="7" count="1" selected="0">
            <x v="16"/>
          </reference>
          <reference field="8" count="1" selected="0">
            <x v="62"/>
          </reference>
          <reference field="15" count="1">
            <x v="93"/>
          </reference>
        </references>
      </pivotArea>
    </format>
    <format dxfId="652">
      <pivotArea dataOnly="0" labelOnly="1" fieldPosition="0">
        <references count="5">
          <reference field="4" count="1" selected="0">
            <x v="17"/>
          </reference>
          <reference field="6" count="1" selected="0">
            <x v="0"/>
          </reference>
          <reference field="7" count="1" selected="0">
            <x v="16"/>
          </reference>
          <reference field="8" count="1" selected="0">
            <x v="63"/>
          </reference>
          <reference field="15" count="2">
            <x v="315"/>
            <x v="316"/>
          </reference>
        </references>
      </pivotArea>
    </format>
    <format dxfId="651">
      <pivotArea dataOnly="0" labelOnly="1" fieldPosition="0">
        <references count="5">
          <reference field="4" count="1" selected="0">
            <x v="17"/>
          </reference>
          <reference field="6" count="1" selected="0">
            <x v="0"/>
          </reference>
          <reference field="7" count="1" selected="0">
            <x v="22"/>
          </reference>
          <reference field="8" count="1" selected="0">
            <x v="94"/>
          </reference>
          <reference field="15" count="2">
            <x v="105"/>
            <x v="106"/>
          </reference>
        </references>
      </pivotArea>
    </format>
    <format dxfId="650">
      <pivotArea dataOnly="0" labelOnly="1" fieldPosition="0">
        <references count="5">
          <reference field="4" count="1" selected="0">
            <x v="18"/>
          </reference>
          <reference field="6" count="1" selected="0">
            <x v="3"/>
          </reference>
          <reference field="7" count="1" selected="0">
            <x v="2"/>
          </reference>
          <reference field="8" count="1" selected="0">
            <x v="8"/>
          </reference>
          <reference field="15" count="2">
            <x v="375"/>
            <x v="376"/>
          </reference>
        </references>
      </pivotArea>
    </format>
    <format dxfId="649">
      <pivotArea dataOnly="0" labelOnly="1" fieldPosition="0">
        <references count="5">
          <reference field="4" count="1" selected="0">
            <x v="18"/>
          </reference>
          <reference field="6" count="1" selected="0">
            <x v="3"/>
          </reference>
          <reference field="7" count="1" selected="0">
            <x v="2"/>
          </reference>
          <reference field="8" count="1" selected="0">
            <x v="9"/>
          </reference>
          <reference field="15" count="1">
            <x v="266"/>
          </reference>
        </references>
      </pivotArea>
    </format>
    <format dxfId="648">
      <pivotArea dataOnly="0" labelOnly="1" fieldPosition="0">
        <references count="5">
          <reference field="4" count="1" selected="0">
            <x v="18"/>
          </reference>
          <reference field="6" count="1" selected="0">
            <x v="3"/>
          </reference>
          <reference field="7" count="1" selected="0">
            <x v="2"/>
          </reference>
          <reference field="8" count="1" selected="0">
            <x v="16"/>
          </reference>
          <reference field="15" count="2">
            <x v="271"/>
            <x v="272"/>
          </reference>
        </references>
      </pivotArea>
    </format>
    <format dxfId="647">
      <pivotArea dataOnly="0" labelOnly="1" fieldPosition="0">
        <references count="5">
          <reference field="4" count="1" selected="0">
            <x v="18"/>
          </reference>
          <reference field="6" count="1" selected="0">
            <x v="3"/>
          </reference>
          <reference field="7" count="1" selected="0">
            <x v="2"/>
          </reference>
          <reference field="8" count="1" selected="0">
            <x v="17"/>
          </reference>
          <reference field="15" count="3">
            <x v="286"/>
            <x v="287"/>
            <x v="288"/>
          </reference>
        </references>
      </pivotArea>
    </format>
    <format dxfId="646">
      <pivotArea dataOnly="0" labelOnly="1" fieldPosition="0">
        <references count="5">
          <reference field="4" count="1" selected="0">
            <x v="19"/>
          </reference>
          <reference field="6" count="1" selected="0">
            <x v="3"/>
          </reference>
          <reference field="7" count="1" selected="0">
            <x v="6"/>
          </reference>
          <reference field="8" count="1" selected="0">
            <x v="29"/>
          </reference>
          <reference field="15" count="24">
            <x v="4"/>
            <x v="168"/>
            <x v="169"/>
            <x v="170"/>
            <x v="171"/>
            <x v="172"/>
            <x v="173"/>
            <x v="174"/>
            <x v="183"/>
            <x v="184"/>
            <x v="185"/>
            <x v="186"/>
            <x v="187"/>
            <x v="188"/>
            <x v="194"/>
            <x v="195"/>
            <x v="196"/>
            <x v="197"/>
            <x v="198"/>
            <x v="199"/>
            <x v="203"/>
            <x v="204"/>
            <x v="223"/>
            <x v="258"/>
          </reference>
        </references>
      </pivotArea>
    </format>
    <format dxfId="645">
      <pivotArea dataOnly="0" labelOnly="1" fieldPosition="0">
        <references count="5">
          <reference field="4" count="1" selected="0">
            <x v="20"/>
          </reference>
          <reference field="6" count="1" selected="0">
            <x v="1"/>
          </reference>
          <reference field="7" count="1" selected="0">
            <x v="24"/>
          </reference>
          <reference field="8" count="1" selected="0">
            <x v="106"/>
          </reference>
          <reference field="15" count="2">
            <x v="239"/>
            <x v="240"/>
          </reference>
        </references>
      </pivotArea>
    </format>
    <format dxfId="644">
      <pivotArea dataOnly="0" labelOnly="1" outline="0" fieldPosition="0">
        <references count="1">
          <reference field="4294967294" count="2">
            <x v="7"/>
            <x v="8"/>
          </reference>
        </references>
      </pivotArea>
    </format>
    <format dxfId="643">
      <pivotArea outline="0" collapsedLevelsAreSubtotals="1" fieldPosition="0"/>
    </format>
    <format dxfId="642">
      <pivotArea dataOnly="0" labelOnly="1" outline="0" fieldPosition="0">
        <references count="1">
          <reference field="2" count="0"/>
        </references>
      </pivotArea>
    </format>
    <format dxfId="641">
      <pivotArea dataOnly="0" labelOnly="1" outline="0" fieldPosition="0">
        <references count="1">
          <reference field="4294967294" count="9">
            <x v="0"/>
            <x v="1"/>
            <x v="2"/>
            <x v="3"/>
            <x v="4"/>
            <x v="5"/>
            <x v="6"/>
            <x v="7"/>
            <x v="8"/>
          </reference>
        </references>
      </pivotArea>
    </format>
    <format dxfId="640">
      <pivotArea outline="0" collapsedLevelsAreSubtotals="1" fieldPosition="0">
        <references count="1">
          <reference field="4294967294" count="2" selected="0">
            <x v="7"/>
            <x v="8"/>
          </reference>
        </references>
      </pivotArea>
    </format>
    <format dxfId="639">
      <pivotArea dataOnly="0" labelOnly="1" outline="0" fieldPosition="0">
        <references count="1">
          <reference field="4294967294" count="2">
            <x v="7"/>
            <x v="8"/>
          </reference>
        </references>
      </pivotArea>
    </format>
    <format dxfId="638">
      <pivotArea field="2" type="button" dataOnly="0" labelOnly="1" outline="0" axis="axisPage" fieldPosition="0"/>
    </format>
    <format dxfId="637">
      <pivotArea field="4" type="button" dataOnly="0" labelOnly="1" outline="0" axis="axisRow" fieldPosition="0"/>
    </format>
    <format dxfId="636">
      <pivotArea dataOnly="0" labelOnly="1" fieldPosition="0">
        <references count="1">
          <reference field="4" count="1">
            <x v="19"/>
          </reference>
        </references>
      </pivotArea>
    </format>
    <format dxfId="635">
      <pivotArea dataOnly="0" labelOnly="1" grandRow="1" outline="0" fieldPosition="0"/>
    </format>
    <format dxfId="634">
      <pivotArea dataOnly="0" labelOnly="1" fieldPosition="0">
        <references count="2">
          <reference field="4" count="1" selected="0">
            <x v="19"/>
          </reference>
          <reference field="6" count="1">
            <x v="3"/>
          </reference>
        </references>
      </pivotArea>
    </format>
    <format dxfId="633">
      <pivotArea dataOnly="0" labelOnly="1" fieldPosition="0">
        <references count="3">
          <reference field="4" count="1" selected="0">
            <x v="19"/>
          </reference>
          <reference field="6" count="1" selected="0">
            <x v="3"/>
          </reference>
          <reference field="7" count="1">
            <x v="6"/>
          </reference>
        </references>
      </pivotArea>
    </format>
    <format dxfId="632">
      <pivotArea dataOnly="0" labelOnly="1" fieldPosition="0">
        <references count="4">
          <reference field="4" count="1" selected="0">
            <x v="19"/>
          </reference>
          <reference field="6" count="1" selected="0">
            <x v="3"/>
          </reference>
          <reference field="7" count="1" selected="0">
            <x v="6"/>
          </reference>
          <reference field="8" count="1">
            <x v="29"/>
          </reference>
        </references>
      </pivotArea>
    </format>
    <format dxfId="631">
      <pivotArea dataOnly="0" labelOnly="1" fieldPosition="0">
        <references count="5">
          <reference field="4" count="1" selected="0">
            <x v="19"/>
          </reference>
          <reference field="6" count="1" selected="0">
            <x v="3"/>
          </reference>
          <reference field="7" count="1" selected="0">
            <x v="6"/>
          </reference>
          <reference field="8" count="1" selected="0">
            <x v="29"/>
          </reference>
          <reference field="15" count="24">
            <x v="4"/>
            <x v="168"/>
            <x v="169"/>
            <x v="170"/>
            <x v="171"/>
            <x v="172"/>
            <x v="173"/>
            <x v="174"/>
            <x v="183"/>
            <x v="184"/>
            <x v="185"/>
            <x v="186"/>
            <x v="187"/>
            <x v="188"/>
            <x v="194"/>
            <x v="195"/>
            <x v="196"/>
            <x v="197"/>
            <x v="198"/>
            <x v="199"/>
            <x v="203"/>
            <x v="204"/>
            <x v="223"/>
            <x v="25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2" applyNumberFormats="0" applyBorderFormats="0" applyFontFormats="0" applyPatternFormats="0" applyAlignmentFormats="0" applyWidthHeightFormats="1" dataCaption="Valores" grandTotalCaption="TOTAL " updatedVersion="8" minRefreshableVersion="3" useAutoFormatting="1" itemPrintTitles="1" createdVersion="8" indent="0" outline="1" outlineData="1" multipleFieldFilters="0" rowHeaderCaption="UNIDAD EJECUTORA">
  <location ref="A3:J10" firstHeaderRow="0" firstDataRow="1" firstDataCol="1" rowPageCount="1" colPageCount="1"/>
  <pivotFields count="33">
    <pivotField showAll="0"/>
    <pivotField showAll="0"/>
    <pivotField axis="axisPage" showAll="0">
      <items count="22">
        <item x="4"/>
        <item x="3"/>
        <item x="14"/>
        <item x="0"/>
        <item x="13"/>
        <item x="17"/>
        <item x="7"/>
        <item x="9"/>
        <item x="15"/>
        <item x="8"/>
        <item x="1"/>
        <item x="16"/>
        <item x="12"/>
        <item x="20"/>
        <item x="5"/>
        <item x="10"/>
        <item x="6"/>
        <item x="11"/>
        <item x="19"/>
        <item x="2"/>
        <item x="18"/>
        <item t="default"/>
      </items>
    </pivotField>
    <pivotField showAll="0"/>
    <pivotField axis="axisRow" showAll="0">
      <items count="22">
        <item x="4"/>
        <item x="3"/>
        <item x="14"/>
        <item x="0"/>
        <item x="13"/>
        <item x="17"/>
        <item x="7"/>
        <item x="9"/>
        <item x="15"/>
        <item x="8"/>
        <item x="1"/>
        <item x="16"/>
        <item x="12"/>
        <item x="20"/>
        <item x="5"/>
        <item x="10"/>
        <item x="6"/>
        <item x="11"/>
        <item x="19"/>
        <item x="2"/>
        <item n="25 INSTITUCION UNIVERSITARIA MAYOR DE CARTAGENA " x="18"/>
        <item t="default"/>
      </items>
    </pivotField>
    <pivotField numFmtId="1" showAll="0"/>
    <pivotField axis="axisRow" showAll="0">
      <items count="6">
        <item x="1"/>
        <item x="2"/>
        <item x="3"/>
        <item x="0"/>
        <item x="4"/>
        <item t="default"/>
      </items>
    </pivotField>
    <pivotField axis="axisRow" showAll="0">
      <items count="34">
        <item x="19"/>
        <item x="27"/>
        <item x="1"/>
        <item x="2"/>
        <item x="8"/>
        <item x="30"/>
        <item x="0"/>
        <item x="32"/>
        <item x="25"/>
        <item x="29"/>
        <item x="12"/>
        <item x="15"/>
        <item x="13"/>
        <item x="28"/>
        <item x="23"/>
        <item x="31"/>
        <item x="16"/>
        <item x="10"/>
        <item x="18"/>
        <item x="3"/>
        <item x="14"/>
        <item x="20"/>
        <item x="17"/>
        <item x="9"/>
        <item x="6"/>
        <item x="7"/>
        <item x="4"/>
        <item x="5"/>
        <item x="24"/>
        <item x="11"/>
        <item x="21"/>
        <item x="26"/>
        <item x="22"/>
        <item t="default"/>
      </items>
    </pivotField>
    <pivotField axis="axisRow" showAll="0">
      <items count="161">
        <item x="62"/>
        <item x="155"/>
        <item x="112"/>
        <item x="156"/>
        <item x="118"/>
        <item x="154"/>
        <item x="140"/>
        <item x="60"/>
        <item x="153"/>
        <item x="102"/>
        <item x="7"/>
        <item x="2"/>
        <item x="52"/>
        <item x="1"/>
        <item x="22"/>
        <item x="151"/>
        <item x="105"/>
        <item x="114"/>
        <item x="82"/>
        <item x="3"/>
        <item x="15"/>
        <item x="49"/>
        <item x="135"/>
        <item x="134"/>
        <item x="139"/>
        <item x="142"/>
        <item x="138"/>
        <item x="141"/>
        <item x="128"/>
        <item x="0"/>
        <item x="103"/>
        <item x="159"/>
        <item x="150"/>
        <item x="86"/>
        <item x="152"/>
        <item x="137"/>
        <item x="110"/>
        <item x="79"/>
        <item x="80"/>
        <item x="83"/>
        <item x="126"/>
        <item x="131"/>
        <item x="132"/>
        <item x="129"/>
        <item x="28"/>
        <item x="27"/>
        <item x="29"/>
        <item x="26"/>
        <item x="43"/>
        <item x="42"/>
        <item x="32"/>
        <item x="122"/>
        <item x="124"/>
        <item x="123"/>
        <item x="111"/>
        <item x="69"/>
        <item x="136"/>
        <item x="55"/>
        <item x="119"/>
        <item x="46"/>
        <item x="50"/>
        <item x="117"/>
        <item x="45"/>
        <item x="127"/>
        <item x="106"/>
        <item x="53"/>
        <item x="147"/>
        <item x="146"/>
        <item x="38"/>
        <item x="20"/>
        <item x="144"/>
        <item x="145"/>
        <item x="74"/>
        <item x="89"/>
        <item x="57"/>
        <item x="59"/>
        <item x="88"/>
        <item x="108"/>
        <item x="85"/>
        <item x="5"/>
        <item x="4"/>
        <item x="81"/>
        <item x="35"/>
        <item x="36"/>
        <item x="37"/>
        <item x="98"/>
        <item x="67"/>
        <item x="63"/>
        <item x="116"/>
        <item x="125"/>
        <item x="157"/>
        <item x="101"/>
        <item x="66"/>
        <item x="149"/>
        <item x="51"/>
        <item x="90"/>
        <item x="91"/>
        <item x="97"/>
        <item x="21"/>
        <item x="94"/>
        <item x="93"/>
        <item x="95"/>
        <item x="18"/>
        <item x="92"/>
        <item x="96"/>
        <item x="11"/>
        <item x="87"/>
        <item x="61"/>
        <item x="48"/>
        <item x="47"/>
        <item x="58"/>
        <item x="130"/>
        <item x="39"/>
        <item x="33"/>
        <item x="100"/>
        <item x="16"/>
        <item x="30"/>
        <item x="44"/>
        <item x="34"/>
        <item x="31"/>
        <item x="41"/>
        <item x="19"/>
        <item x="17"/>
        <item x="14"/>
        <item x="99"/>
        <item x="12"/>
        <item x="8"/>
        <item x="78"/>
        <item x="13"/>
        <item x="133"/>
        <item x="148"/>
        <item x="6"/>
        <item x="9"/>
        <item x="10"/>
        <item x="77"/>
        <item x="54"/>
        <item x="40"/>
        <item x="56"/>
        <item x="104"/>
        <item x="76"/>
        <item x="25"/>
        <item x="109"/>
        <item x="113"/>
        <item x="115"/>
        <item x="24"/>
        <item x="23"/>
        <item x="70"/>
        <item x="64"/>
        <item x="73"/>
        <item x="71"/>
        <item x="75"/>
        <item x="158"/>
        <item x="65"/>
        <item x="72"/>
        <item x="107"/>
        <item x="84"/>
        <item x="121"/>
        <item x="120"/>
        <item x="143"/>
        <item x="68"/>
        <item t="default"/>
      </items>
    </pivotField>
    <pivotField showAll="0"/>
    <pivotField showAll="0"/>
    <pivotField showAll="0"/>
    <pivotField showAll="0"/>
    <pivotField showAll="0"/>
    <pivotField showAll="0"/>
    <pivotField axis="axisRow" showAll="0">
      <items count="402">
        <item x="1"/>
        <item x="0"/>
        <item x="3"/>
        <item x="2"/>
        <item x="4"/>
        <item x="5"/>
        <item x="6"/>
        <item x="8"/>
        <item x="7"/>
        <item x="9"/>
        <item x="11"/>
        <item x="10"/>
        <item x="12"/>
        <item x="13"/>
        <item x="16"/>
        <item x="15"/>
        <item x="14"/>
        <item x="18"/>
        <item x="17"/>
        <item x="19"/>
        <item x="20"/>
        <item x="21"/>
        <item x="22"/>
        <item x="23"/>
        <item x="25"/>
        <item x="24"/>
        <item x="27"/>
        <item x="26"/>
        <item x="28"/>
        <item x="29"/>
        <item x="30"/>
        <item x="31"/>
        <item x="32"/>
        <item x="33"/>
        <item x="34"/>
        <item x="35"/>
        <item x="36"/>
        <item x="37"/>
        <item x="38"/>
        <item x="39"/>
        <item x="40"/>
        <item x="41"/>
        <item x="42"/>
        <item x="43"/>
        <item x="44"/>
        <item x="45"/>
        <item x="46"/>
        <item x="47"/>
        <item x="48"/>
        <item x="49"/>
        <item x="50"/>
        <item x="51"/>
        <item x="52"/>
        <item x="53"/>
        <item x="54"/>
        <item x="55"/>
        <item x="56"/>
        <item x="58"/>
        <item x="57"/>
        <item x="59"/>
        <item x="60"/>
        <item x="61"/>
        <item x="62"/>
        <item x="63"/>
        <item x="65"/>
        <item x="64"/>
        <item x="66"/>
        <item x="67"/>
        <item x="68"/>
        <item x="69"/>
        <item x="70"/>
        <item x="71"/>
        <item x="72"/>
        <item x="74"/>
        <item x="73"/>
        <item x="75"/>
        <item x="76"/>
        <item x="77"/>
        <item x="78"/>
        <item x="79"/>
        <item x="80"/>
        <item x="81"/>
        <item x="82"/>
        <item x="83"/>
        <item x="84"/>
        <item x="85"/>
        <item x="86"/>
        <item x="87"/>
        <item x="88"/>
        <item x="89"/>
        <item x="90"/>
        <item x="91"/>
        <item x="92"/>
        <item x="93"/>
        <item x="95"/>
        <item x="94"/>
        <item x="96"/>
        <item x="97"/>
        <item x="98"/>
        <item x="99"/>
        <item x="101"/>
        <item x="100"/>
        <item x="103"/>
        <item x="102"/>
        <item x="104"/>
        <item x="105"/>
        <item x="106"/>
        <item x="107"/>
        <item x="108"/>
        <item x="109"/>
        <item x="110"/>
        <item x="111"/>
        <item x="112"/>
        <item x="114"/>
        <item x="113"/>
        <item x="115"/>
        <item x="116"/>
        <item x="117"/>
        <item x="118"/>
        <item x="119"/>
        <item x="122"/>
        <item x="120"/>
        <item x="121"/>
        <item x="123"/>
        <item x="124"/>
        <item x="125"/>
        <item x="126"/>
        <item x="127"/>
        <item x="129"/>
        <item x="128"/>
        <item x="130"/>
        <item x="131"/>
        <item x="132"/>
        <item x="133"/>
        <item x="134"/>
        <item x="135"/>
        <item x="136"/>
        <item x="137"/>
        <item x="138"/>
        <item x="139"/>
        <item x="140"/>
        <item x="141"/>
        <item x="142"/>
        <item x="143"/>
        <item x="144"/>
        <item x="145"/>
        <item x="146"/>
        <item x="147"/>
        <item x="148"/>
        <item x="149"/>
        <item x="151"/>
        <item x="150"/>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3"/>
        <item x="192"/>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4"/>
        <item x="233"/>
        <item x="235"/>
        <item x="236"/>
        <item x="237"/>
        <item x="238"/>
        <item x="239"/>
        <item x="240"/>
        <item x="241"/>
        <item x="242"/>
        <item x="243"/>
        <item x="244"/>
        <item x="246"/>
        <item x="245"/>
        <item x="247"/>
        <item x="248"/>
        <item x="249"/>
        <item x="250"/>
        <item x="251"/>
        <item x="252"/>
        <item x="253"/>
        <item x="254"/>
        <item x="255"/>
        <item x="256"/>
        <item x="257"/>
        <item x="258"/>
        <item x="259"/>
        <item x="260"/>
        <item x="261"/>
        <item x="262"/>
        <item x="263"/>
        <item x="264"/>
        <item x="265"/>
        <item x="266"/>
        <item x="268"/>
        <item x="267"/>
        <item x="269"/>
        <item x="270"/>
        <item x="271"/>
        <item x="272"/>
        <item x="273"/>
        <item x="274"/>
        <item x="275"/>
        <item x="277"/>
        <item x="276"/>
        <item x="278"/>
        <item x="279"/>
        <item x="280"/>
        <item x="281"/>
        <item x="282"/>
        <item x="283"/>
        <item x="285"/>
        <item x="284"/>
        <item x="288"/>
        <item x="286"/>
        <item x="287"/>
        <item x="289"/>
        <item x="290"/>
        <item x="291"/>
        <item x="292"/>
        <item x="293"/>
        <item x="294"/>
        <item x="295"/>
        <item x="297"/>
        <item x="296"/>
        <item x="298"/>
        <item x="299"/>
        <item x="300"/>
        <item x="301"/>
        <item x="302"/>
        <item x="303"/>
        <item x="304"/>
        <item x="305"/>
        <item x="306"/>
        <item x="307"/>
        <item x="308"/>
        <item x="309"/>
        <item x="310"/>
        <item x="311"/>
        <item x="312"/>
        <item x="313"/>
        <item x="314"/>
        <item x="316"/>
        <item x="315"/>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7"/>
        <item x="346"/>
        <item x="348"/>
        <item x="349"/>
        <item x="350"/>
        <item x="351"/>
        <item x="352"/>
        <item x="353"/>
        <item x="354"/>
        <item x="355"/>
        <item x="357"/>
        <item x="356"/>
        <item x="358"/>
        <item x="360"/>
        <item x="359"/>
        <item x="361"/>
        <item x="362"/>
        <item x="363"/>
        <item x="364"/>
        <item x="365"/>
        <item x="366"/>
        <item x="368"/>
        <item x="367"/>
        <item x="369"/>
        <item x="370"/>
        <item x="371"/>
        <item x="372"/>
        <item x="373"/>
        <item x="374"/>
        <item x="376"/>
        <item x="375"/>
        <item x="377"/>
        <item x="378"/>
        <item x="379"/>
        <item x="380"/>
        <item x="381"/>
        <item x="382"/>
        <item x="383"/>
        <item x="384"/>
        <item x="385"/>
        <item x="386"/>
        <item x="387"/>
        <item x="389"/>
        <item x="388"/>
        <item x="390"/>
        <item x="391"/>
        <item x="392"/>
        <item x="393"/>
        <item x="394"/>
        <item x="395"/>
        <item x="396"/>
        <item x="397"/>
        <item x="398"/>
        <item x="399"/>
        <item x="400"/>
        <item t="default"/>
      </items>
    </pivotField>
    <pivotField showAll="0"/>
    <pivotField showAll="0"/>
    <pivotField dataField="1" numFmtId="43" showAll="0"/>
    <pivotField numFmtId="43" showAll="0"/>
    <pivotField dataField="1" numFmtId="43" showAll="0"/>
    <pivotField numFmtId="43" showAll="0"/>
    <pivotField numFmtId="43" showAll="0"/>
    <pivotField dataField="1" numFmtId="43" showAll="0"/>
    <pivotField numFmtId="43" showAll="0"/>
    <pivotField dataField="1" numFmtId="43" showAll="0"/>
    <pivotField numFmtId="43" showAll="0"/>
    <pivotField numFmtId="43" showAll="0"/>
    <pivotField dataField="1" numFmtId="43" showAl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5">
    <field x="4"/>
    <field x="6"/>
    <field x="7"/>
    <field x="8"/>
    <field x="15"/>
  </rowFields>
  <rowItems count="7">
    <i>
      <x v="20"/>
    </i>
    <i r="1">
      <x v="1"/>
    </i>
    <i r="2">
      <x v="24"/>
    </i>
    <i r="3">
      <x v="106"/>
    </i>
    <i r="4">
      <x v="239"/>
    </i>
    <i r="4">
      <x v="240"/>
    </i>
    <i t="grand">
      <x/>
    </i>
  </rowItems>
  <colFields count="1">
    <field x="-2"/>
  </colFields>
  <colItems count="9">
    <i>
      <x/>
    </i>
    <i i="1">
      <x v="1"/>
    </i>
    <i i="2">
      <x v="2"/>
    </i>
    <i i="3">
      <x v="3"/>
    </i>
    <i i="4">
      <x v="4"/>
    </i>
    <i i="5">
      <x v="5"/>
    </i>
    <i i="6">
      <x v="6"/>
    </i>
    <i i="7">
      <x v="7"/>
    </i>
    <i i="8">
      <x v="8"/>
    </i>
  </colItems>
  <pageFields count="1">
    <pageField fld="2" item="20" hier="-1"/>
  </pageFields>
  <dataFields count="9">
    <dataField name="PPTO INICIAL" fld="18" baseField="4" baseItem="0"/>
    <dataField name="PPTO VIGENTE" fld="20" baseField="4" baseItem="0"/>
    <dataField name="COMPROMISOS." fld="23" baseField="4" baseItem="0"/>
    <dataField name="GIROS." fld="25" baseField="4" baseItem="0"/>
    <dataField name="PAGOS " fld="28" baseField="4" baseItem="0"/>
    <dataField name=" SALDO APROPIACIÓN CDP" fld="29" baseField="4" baseItem="0" numFmtId="43"/>
    <dataField name="SALDO APROPIACIÓN RP" fld="30" baseField="4" baseItem="0" numFmtId="43"/>
    <dataField name="Suma de % CDP" fld="31" baseField="0" baseItem="0" numFmtId="43"/>
    <dataField name="Suma de % RP" fld="32" baseField="0" baseItem="0" numFmtId="43"/>
  </dataFields>
  <formats count="319">
    <format dxfId="630">
      <pivotArea dataOnly="0" labelOnly="1" fieldPosition="0">
        <references count="1">
          <reference field="4" count="0"/>
        </references>
      </pivotArea>
    </format>
    <format dxfId="629">
      <pivotArea dataOnly="0" labelOnly="1" fieldPosition="0">
        <references count="1">
          <reference field="4" count="1">
            <x v="0"/>
          </reference>
        </references>
      </pivotArea>
    </format>
    <format dxfId="628">
      <pivotArea dataOnly="0" labelOnly="1" fieldPosition="0">
        <references count="1">
          <reference field="6" count="0"/>
        </references>
      </pivotArea>
    </format>
    <format dxfId="627">
      <pivotArea dataOnly="0" labelOnly="1" fieldPosition="0">
        <references count="1">
          <reference field="7" count="0"/>
        </references>
      </pivotArea>
    </format>
    <format dxfId="626">
      <pivotArea dataOnly="0" labelOnly="1" fieldPosition="0">
        <references count="1">
          <reference field="7" count="0"/>
        </references>
      </pivotArea>
    </format>
    <format dxfId="625">
      <pivotArea dataOnly="0" labelOnly="1" fieldPosition="0">
        <references count="1">
          <reference field="8" count="0"/>
        </references>
      </pivotArea>
    </format>
    <format dxfId="624">
      <pivotArea outline="0" collapsedLevelsAreSubtotals="1" fieldPosition="0"/>
    </format>
    <format dxfId="623">
      <pivotArea dataOnly="0" labelOnly="1" outline="0" fieldPosition="0">
        <references count="1">
          <reference field="2" count="0"/>
        </references>
      </pivotArea>
    </format>
    <format dxfId="622">
      <pivotArea dataOnly="0" labelOnly="1" outline="0" fieldPosition="0">
        <references count="1">
          <reference field="4294967294" count="9">
            <x v="0"/>
            <x v="1"/>
            <x v="2"/>
            <x v="3"/>
            <x v="4"/>
            <x v="5"/>
            <x v="6"/>
            <x v="7"/>
            <x v="8"/>
          </reference>
        </references>
      </pivotArea>
    </format>
    <format dxfId="621">
      <pivotArea field="2" type="button" dataOnly="0" labelOnly="1" outline="0" axis="axisPage" fieldPosition="0"/>
    </format>
    <format dxfId="620">
      <pivotArea field="4" type="button" dataOnly="0" labelOnly="1" outline="0" axis="axisRow" fieldPosition="0"/>
    </format>
    <format dxfId="619">
      <pivotArea dataOnly="0" labelOnly="1" fieldPosition="0">
        <references count="1">
          <reference field="4" count="0"/>
        </references>
      </pivotArea>
    </format>
    <format dxfId="618">
      <pivotArea dataOnly="0" labelOnly="1" grandRow="1" outline="0" fieldPosition="0"/>
    </format>
    <format dxfId="617">
      <pivotArea dataOnly="0" labelOnly="1" fieldPosition="0">
        <references count="2">
          <reference field="4" count="1" selected="0">
            <x v="0"/>
          </reference>
          <reference field="6" count="2">
            <x v="0"/>
            <x v="1"/>
          </reference>
        </references>
      </pivotArea>
    </format>
    <format dxfId="616">
      <pivotArea dataOnly="0" labelOnly="1" fieldPosition="0">
        <references count="2">
          <reference field="4" count="1" selected="0">
            <x v="1"/>
          </reference>
          <reference field="6" count="3">
            <x v="0"/>
            <x v="3"/>
            <x v="4"/>
          </reference>
        </references>
      </pivotArea>
    </format>
    <format dxfId="615">
      <pivotArea dataOnly="0" labelOnly="1" fieldPosition="0">
        <references count="2">
          <reference field="4" count="1" selected="0">
            <x v="2"/>
          </reference>
          <reference field="6" count="3">
            <x v="2"/>
            <x v="3"/>
            <x v="4"/>
          </reference>
        </references>
      </pivotArea>
    </format>
    <format dxfId="614">
      <pivotArea dataOnly="0" labelOnly="1" fieldPosition="0">
        <references count="2">
          <reference field="4" count="1" selected="0">
            <x v="3"/>
          </reference>
          <reference field="6" count="1">
            <x v="3"/>
          </reference>
        </references>
      </pivotArea>
    </format>
    <format dxfId="613">
      <pivotArea dataOnly="0" labelOnly="1" fieldPosition="0">
        <references count="2">
          <reference field="4" count="1" selected="0">
            <x v="4"/>
          </reference>
          <reference field="6" count="4">
            <x v="0"/>
            <x v="1"/>
            <x v="2"/>
            <x v="3"/>
          </reference>
        </references>
      </pivotArea>
    </format>
    <format dxfId="612">
      <pivotArea dataOnly="0" labelOnly="1" fieldPosition="0">
        <references count="2">
          <reference field="4" count="1" selected="0">
            <x v="5"/>
          </reference>
          <reference field="6" count="2">
            <x v="0"/>
            <x v="4"/>
          </reference>
        </references>
      </pivotArea>
    </format>
    <format dxfId="611">
      <pivotArea dataOnly="0" labelOnly="1" fieldPosition="0">
        <references count="2">
          <reference field="4" count="1" selected="0">
            <x v="6"/>
          </reference>
          <reference field="6" count="1">
            <x v="1"/>
          </reference>
        </references>
      </pivotArea>
    </format>
    <format dxfId="610">
      <pivotArea dataOnly="0" labelOnly="1" fieldPosition="0">
        <references count="2">
          <reference field="4" count="1" selected="0">
            <x v="7"/>
          </reference>
          <reference field="6" count="4">
            <x v="0"/>
            <x v="2"/>
            <x v="3"/>
            <x v="4"/>
          </reference>
        </references>
      </pivotArea>
    </format>
    <format dxfId="609">
      <pivotArea dataOnly="0" labelOnly="1" fieldPosition="0">
        <references count="2">
          <reference field="4" count="1" selected="0">
            <x v="8"/>
          </reference>
          <reference field="6" count="4">
            <x v="0"/>
            <x v="1"/>
            <x v="2"/>
            <x v="3"/>
          </reference>
        </references>
      </pivotArea>
    </format>
    <format dxfId="608">
      <pivotArea dataOnly="0" labelOnly="1" fieldPosition="0">
        <references count="2">
          <reference field="4" count="1" selected="0">
            <x v="9"/>
          </reference>
          <reference field="6" count="1">
            <x v="1"/>
          </reference>
        </references>
      </pivotArea>
    </format>
    <format dxfId="607">
      <pivotArea dataOnly="0" labelOnly="1" fieldPosition="0">
        <references count="2">
          <reference field="4" count="1" selected="0">
            <x v="10"/>
          </reference>
          <reference field="6" count="1">
            <x v="3"/>
          </reference>
        </references>
      </pivotArea>
    </format>
    <format dxfId="606">
      <pivotArea dataOnly="0" labelOnly="1" fieldPosition="0">
        <references count="2">
          <reference field="4" count="1" selected="0">
            <x v="11"/>
          </reference>
          <reference field="6" count="1">
            <x v="0"/>
          </reference>
        </references>
      </pivotArea>
    </format>
    <format dxfId="605">
      <pivotArea dataOnly="0" labelOnly="1" fieldPosition="0">
        <references count="2">
          <reference field="4" count="1" selected="0">
            <x v="12"/>
          </reference>
          <reference field="6" count="1">
            <x v="0"/>
          </reference>
        </references>
      </pivotArea>
    </format>
    <format dxfId="604">
      <pivotArea dataOnly="0" labelOnly="1" fieldPosition="0">
        <references count="2">
          <reference field="4" count="1" selected="0">
            <x v="13"/>
          </reference>
          <reference field="6" count="1">
            <x v="3"/>
          </reference>
        </references>
      </pivotArea>
    </format>
    <format dxfId="603">
      <pivotArea dataOnly="0" labelOnly="1" fieldPosition="0">
        <references count="2">
          <reference field="4" count="1" selected="0">
            <x v="14"/>
          </reference>
          <reference field="6" count="1">
            <x v="1"/>
          </reference>
        </references>
      </pivotArea>
    </format>
    <format dxfId="602">
      <pivotArea dataOnly="0" labelOnly="1" fieldPosition="0">
        <references count="2">
          <reference field="4" count="1" selected="0">
            <x v="15"/>
          </reference>
          <reference field="6" count="1">
            <x v="0"/>
          </reference>
        </references>
      </pivotArea>
    </format>
    <format dxfId="601">
      <pivotArea dataOnly="0" labelOnly="1" fieldPosition="0">
        <references count="2">
          <reference field="4" count="1" selected="0">
            <x v="16"/>
          </reference>
          <reference field="6" count="3">
            <x v="1"/>
            <x v="3"/>
            <x v="4"/>
          </reference>
        </references>
      </pivotArea>
    </format>
    <format dxfId="600">
      <pivotArea dataOnly="0" labelOnly="1" fieldPosition="0">
        <references count="2">
          <reference field="4" count="1" selected="0">
            <x v="17"/>
          </reference>
          <reference field="6" count="1">
            <x v="0"/>
          </reference>
        </references>
      </pivotArea>
    </format>
    <format dxfId="599">
      <pivotArea dataOnly="0" labelOnly="1" fieldPosition="0">
        <references count="2">
          <reference field="4" count="1" selected="0">
            <x v="18"/>
          </reference>
          <reference field="6" count="1">
            <x v="3"/>
          </reference>
        </references>
      </pivotArea>
    </format>
    <format dxfId="598">
      <pivotArea dataOnly="0" labelOnly="1" fieldPosition="0">
        <references count="2">
          <reference field="4" count="1" selected="0">
            <x v="19"/>
          </reference>
          <reference field="6" count="1">
            <x v="3"/>
          </reference>
        </references>
      </pivotArea>
    </format>
    <format dxfId="597">
      <pivotArea dataOnly="0" labelOnly="1" fieldPosition="0">
        <references count="2">
          <reference field="4" count="1" selected="0">
            <x v="20"/>
          </reference>
          <reference field="6" count="1">
            <x v="1"/>
          </reference>
        </references>
      </pivotArea>
    </format>
    <format dxfId="596">
      <pivotArea dataOnly="0" labelOnly="1" fieldPosition="0">
        <references count="3">
          <reference field="4" count="1" selected="0">
            <x v="0"/>
          </reference>
          <reference field="6" count="1" selected="0">
            <x v="0"/>
          </reference>
          <reference field="7" count="2">
            <x v="17"/>
            <x v="19"/>
          </reference>
        </references>
      </pivotArea>
    </format>
    <format dxfId="595">
      <pivotArea dataOnly="0" labelOnly="1" fieldPosition="0">
        <references count="3">
          <reference field="4" count="1" selected="0">
            <x v="0"/>
          </reference>
          <reference field="6" count="1" selected="0">
            <x v="1"/>
          </reference>
          <reference field="7" count="2">
            <x v="23"/>
            <x v="26"/>
          </reference>
        </references>
      </pivotArea>
    </format>
    <format dxfId="594">
      <pivotArea dataOnly="0" labelOnly="1" fieldPosition="0">
        <references count="3">
          <reference field="4" count="1" selected="0">
            <x v="1"/>
          </reference>
          <reference field="6" count="1" selected="0">
            <x v="0"/>
          </reference>
          <reference field="7" count="1">
            <x v="19"/>
          </reference>
        </references>
      </pivotArea>
    </format>
    <format dxfId="593">
      <pivotArea dataOnly="0" labelOnly="1" fieldPosition="0">
        <references count="3">
          <reference field="4" count="1" selected="0">
            <x v="1"/>
          </reference>
          <reference field="6" count="1" selected="0">
            <x v="3"/>
          </reference>
          <reference field="7" count="3">
            <x v="2"/>
            <x v="3"/>
            <x v="4"/>
          </reference>
        </references>
      </pivotArea>
    </format>
    <format dxfId="592">
      <pivotArea dataOnly="0" labelOnly="1" fieldPosition="0">
        <references count="3">
          <reference field="4" count="1" selected="0">
            <x v="1"/>
          </reference>
          <reference field="6" count="1" selected="0">
            <x v="4"/>
          </reference>
          <reference field="7" count="1">
            <x v="8"/>
          </reference>
        </references>
      </pivotArea>
    </format>
    <format dxfId="591">
      <pivotArea dataOnly="0" labelOnly="1" fieldPosition="0">
        <references count="3">
          <reference field="4" count="1" selected="0">
            <x v="2"/>
          </reference>
          <reference field="6" count="1" selected="0">
            <x v="2"/>
          </reference>
          <reference field="7" count="2">
            <x v="29"/>
            <x v="30"/>
          </reference>
        </references>
      </pivotArea>
    </format>
    <format dxfId="590">
      <pivotArea dataOnly="0" labelOnly="1" fieldPosition="0">
        <references count="3">
          <reference field="4" count="1" selected="0">
            <x v="2"/>
          </reference>
          <reference field="6" count="1" selected="0">
            <x v="3"/>
          </reference>
          <reference field="7" count="2">
            <x v="5"/>
            <x v="7"/>
          </reference>
        </references>
      </pivotArea>
    </format>
    <format dxfId="589">
      <pivotArea dataOnly="0" labelOnly="1" fieldPosition="0">
        <references count="3">
          <reference field="4" count="1" selected="0">
            <x v="2"/>
          </reference>
          <reference field="6" count="1" selected="0">
            <x v="4"/>
          </reference>
          <reference field="7" count="1">
            <x v="8"/>
          </reference>
        </references>
      </pivotArea>
    </format>
    <format dxfId="588">
      <pivotArea dataOnly="0" labelOnly="1" fieldPosition="0">
        <references count="3">
          <reference field="4" count="1" selected="0">
            <x v="3"/>
          </reference>
          <reference field="6" count="1" selected="0">
            <x v="3"/>
          </reference>
          <reference field="7" count="1">
            <x v="6"/>
          </reference>
        </references>
      </pivotArea>
    </format>
    <format dxfId="587">
      <pivotArea dataOnly="0" labelOnly="1" fieldPosition="0">
        <references count="3">
          <reference field="4" count="1" selected="0">
            <x v="4"/>
          </reference>
          <reference field="6" count="1" selected="0">
            <x v="0"/>
          </reference>
          <reference field="7" count="1">
            <x v="21"/>
          </reference>
        </references>
      </pivotArea>
    </format>
    <format dxfId="586">
      <pivotArea dataOnly="0" labelOnly="1" fieldPosition="0">
        <references count="3">
          <reference field="4" count="1" selected="0">
            <x v="4"/>
          </reference>
          <reference field="6" count="1" selected="0">
            <x v="1"/>
          </reference>
          <reference field="7" count="1">
            <x v="24"/>
          </reference>
        </references>
      </pivotArea>
    </format>
    <format dxfId="585">
      <pivotArea dataOnly="0" labelOnly="1" fieldPosition="0">
        <references count="3">
          <reference field="4" count="1" selected="0">
            <x v="4"/>
          </reference>
          <reference field="6" count="1" selected="0">
            <x v="2"/>
          </reference>
          <reference field="7" count="2">
            <x v="29"/>
            <x v="31"/>
          </reference>
        </references>
      </pivotArea>
    </format>
    <format dxfId="584">
      <pivotArea dataOnly="0" labelOnly="1" fieldPosition="0">
        <references count="3">
          <reference field="4" count="1" selected="0">
            <x v="4"/>
          </reference>
          <reference field="6" count="1" selected="0">
            <x v="3"/>
          </reference>
          <reference field="7" count="2">
            <x v="0"/>
            <x v="1"/>
          </reference>
        </references>
      </pivotArea>
    </format>
    <format dxfId="583">
      <pivotArea dataOnly="0" labelOnly="1" fieldPosition="0">
        <references count="3">
          <reference field="4" count="1" selected="0">
            <x v="5"/>
          </reference>
          <reference field="6" count="1" selected="0">
            <x v="0"/>
          </reference>
          <reference field="7" count="2">
            <x v="18"/>
            <x v="22"/>
          </reference>
        </references>
      </pivotArea>
    </format>
    <format dxfId="582">
      <pivotArea dataOnly="0" labelOnly="1" fieldPosition="0">
        <references count="3">
          <reference field="4" count="1" selected="0">
            <x v="5"/>
          </reference>
          <reference field="6" count="1" selected="0">
            <x v="4"/>
          </reference>
          <reference field="7" count="1">
            <x v="8"/>
          </reference>
        </references>
      </pivotArea>
    </format>
    <format dxfId="581">
      <pivotArea dataOnly="0" labelOnly="1" fieldPosition="0">
        <references count="3">
          <reference field="4" count="1" selected="0">
            <x v="6"/>
          </reference>
          <reference field="6" count="1" selected="0">
            <x v="1"/>
          </reference>
          <reference field="7" count="1">
            <x v="24"/>
          </reference>
        </references>
      </pivotArea>
    </format>
    <format dxfId="580">
      <pivotArea dataOnly="0" labelOnly="1" fieldPosition="0">
        <references count="3">
          <reference field="4" count="1" selected="0">
            <x v="7"/>
          </reference>
          <reference field="6" count="1" selected="0">
            <x v="0"/>
          </reference>
          <reference field="7" count="1">
            <x v="16"/>
          </reference>
        </references>
      </pivotArea>
    </format>
    <format dxfId="579">
      <pivotArea dataOnly="0" labelOnly="1" fieldPosition="0">
        <references count="3">
          <reference field="4" count="1" selected="0">
            <x v="7"/>
          </reference>
          <reference field="6" count="1" selected="0">
            <x v="2"/>
          </reference>
          <reference field="7" count="2">
            <x v="29"/>
            <x v="30"/>
          </reference>
        </references>
      </pivotArea>
    </format>
    <format dxfId="578">
      <pivotArea dataOnly="0" labelOnly="1" fieldPosition="0">
        <references count="3">
          <reference field="4" count="1" selected="0">
            <x v="7"/>
          </reference>
          <reference field="6" count="1" selected="0">
            <x v="3"/>
          </reference>
          <reference field="7" count="1">
            <x v="6"/>
          </reference>
        </references>
      </pivotArea>
    </format>
    <format dxfId="577">
      <pivotArea dataOnly="0" labelOnly="1" fieldPosition="0">
        <references count="3">
          <reference field="4" count="1" selected="0">
            <x v="7"/>
          </reference>
          <reference field="6" count="1" selected="0">
            <x v="4"/>
          </reference>
          <reference field="7" count="8">
            <x v="8"/>
            <x v="9"/>
            <x v="10"/>
            <x v="11"/>
            <x v="12"/>
            <x v="13"/>
            <x v="14"/>
            <x v="15"/>
          </reference>
        </references>
      </pivotArea>
    </format>
    <format dxfId="576">
      <pivotArea dataOnly="0" labelOnly="1" fieldPosition="0">
        <references count="3">
          <reference field="4" count="1" selected="0">
            <x v="8"/>
          </reference>
          <reference field="6" count="1" selected="0">
            <x v="0"/>
          </reference>
          <reference field="7" count="2">
            <x v="18"/>
            <x v="22"/>
          </reference>
        </references>
      </pivotArea>
    </format>
    <format dxfId="575">
      <pivotArea dataOnly="0" labelOnly="1" fieldPosition="0">
        <references count="3">
          <reference field="4" count="1" selected="0">
            <x v="8"/>
          </reference>
          <reference field="6" count="1" selected="0">
            <x v="1"/>
          </reference>
          <reference field="7" count="1">
            <x v="28"/>
          </reference>
        </references>
      </pivotArea>
    </format>
    <format dxfId="574">
      <pivotArea dataOnly="0" labelOnly="1" fieldPosition="0">
        <references count="3">
          <reference field="4" count="1" selected="0">
            <x v="8"/>
          </reference>
          <reference field="6" count="1" selected="0">
            <x v="2"/>
          </reference>
          <reference field="7" count="1">
            <x v="32"/>
          </reference>
        </references>
      </pivotArea>
    </format>
    <format dxfId="573">
      <pivotArea dataOnly="0" labelOnly="1" fieldPosition="0">
        <references count="3">
          <reference field="4" count="1" selected="0">
            <x v="8"/>
          </reference>
          <reference field="6" count="1" selected="0">
            <x v="3"/>
          </reference>
          <reference field="7" count="1">
            <x v="6"/>
          </reference>
        </references>
      </pivotArea>
    </format>
    <format dxfId="572">
      <pivotArea dataOnly="0" labelOnly="1" fieldPosition="0">
        <references count="3">
          <reference field="4" count="1" selected="0">
            <x v="9"/>
          </reference>
          <reference field="6" count="1" selected="0">
            <x v="1"/>
          </reference>
          <reference field="7" count="1">
            <x v="25"/>
          </reference>
        </references>
      </pivotArea>
    </format>
    <format dxfId="571">
      <pivotArea dataOnly="0" labelOnly="1" fieldPosition="0">
        <references count="3">
          <reference field="4" count="1" selected="0">
            <x v="10"/>
          </reference>
          <reference field="6" count="1" selected="0">
            <x v="3"/>
          </reference>
          <reference field="7" count="1">
            <x v="6"/>
          </reference>
        </references>
      </pivotArea>
    </format>
    <format dxfId="570">
      <pivotArea dataOnly="0" labelOnly="1" fieldPosition="0">
        <references count="3">
          <reference field="4" count="1" selected="0">
            <x v="11"/>
          </reference>
          <reference field="6" count="1" selected="0">
            <x v="0"/>
          </reference>
          <reference field="7" count="1">
            <x v="17"/>
          </reference>
        </references>
      </pivotArea>
    </format>
    <format dxfId="569">
      <pivotArea dataOnly="0" labelOnly="1" fieldPosition="0">
        <references count="3">
          <reference field="4" count="1" selected="0">
            <x v="12"/>
          </reference>
          <reference field="6" count="1" selected="0">
            <x v="0"/>
          </reference>
          <reference field="7" count="1">
            <x v="18"/>
          </reference>
        </references>
      </pivotArea>
    </format>
    <format dxfId="568">
      <pivotArea dataOnly="0" labelOnly="1" fieldPosition="0">
        <references count="3">
          <reference field="4" count="1" selected="0">
            <x v="13"/>
          </reference>
          <reference field="6" count="1" selected="0">
            <x v="3"/>
          </reference>
          <reference field="7" count="2">
            <x v="1"/>
            <x v="5"/>
          </reference>
        </references>
      </pivotArea>
    </format>
    <format dxfId="567">
      <pivotArea dataOnly="0" labelOnly="1" fieldPosition="0">
        <references count="3">
          <reference field="4" count="1" selected="0">
            <x v="14"/>
          </reference>
          <reference field="6" count="1" selected="0">
            <x v="1"/>
          </reference>
          <reference field="7" count="1">
            <x v="26"/>
          </reference>
        </references>
      </pivotArea>
    </format>
    <format dxfId="566">
      <pivotArea dataOnly="0" labelOnly="1" fieldPosition="0">
        <references count="3">
          <reference field="4" count="1" selected="0">
            <x v="15"/>
          </reference>
          <reference field="6" count="1" selected="0">
            <x v="0"/>
          </reference>
          <reference field="7" count="1">
            <x v="20"/>
          </reference>
        </references>
      </pivotArea>
    </format>
    <format dxfId="565">
      <pivotArea dataOnly="0" labelOnly="1" fieldPosition="0">
        <references count="3">
          <reference field="4" count="1" selected="0">
            <x v="16"/>
          </reference>
          <reference field="6" count="1" selected="0">
            <x v="1"/>
          </reference>
          <reference field="7" count="1">
            <x v="27"/>
          </reference>
        </references>
      </pivotArea>
    </format>
    <format dxfId="564">
      <pivotArea dataOnly="0" labelOnly="1" fieldPosition="0">
        <references count="3">
          <reference field="4" count="1" selected="0">
            <x v="16"/>
          </reference>
          <reference field="6" count="1" selected="0">
            <x v="3"/>
          </reference>
          <reference field="7" count="1">
            <x v="1"/>
          </reference>
        </references>
      </pivotArea>
    </format>
    <format dxfId="563">
      <pivotArea dataOnly="0" labelOnly="1" fieldPosition="0">
        <references count="3">
          <reference field="4" count="1" selected="0">
            <x v="16"/>
          </reference>
          <reference field="6" count="1" selected="0">
            <x v="4"/>
          </reference>
          <reference field="7" count="2">
            <x v="8"/>
            <x v="11"/>
          </reference>
        </references>
      </pivotArea>
    </format>
    <format dxfId="562">
      <pivotArea dataOnly="0" labelOnly="1" fieldPosition="0">
        <references count="3">
          <reference field="4" count="1" selected="0">
            <x v="17"/>
          </reference>
          <reference field="6" count="1" selected="0">
            <x v="0"/>
          </reference>
          <reference field="7" count="2">
            <x v="16"/>
            <x v="22"/>
          </reference>
        </references>
      </pivotArea>
    </format>
    <format dxfId="561">
      <pivotArea dataOnly="0" labelOnly="1" fieldPosition="0">
        <references count="3">
          <reference field="4" count="1" selected="0">
            <x v="18"/>
          </reference>
          <reference field="6" count="1" selected="0">
            <x v="3"/>
          </reference>
          <reference field="7" count="1">
            <x v="2"/>
          </reference>
        </references>
      </pivotArea>
    </format>
    <format dxfId="560">
      <pivotArea dataOnly="0" labelOnly="1" fieldPosition="0">
        <references count="3">
          <reference field="4" count="1" selected="0">
            <x v="19"/>
          </reference>
          <reference field="6" count="1" selected="0">
            <x v="3"/>
          </reference>
          <reference field="7" count="1">
            <x v="6"/>
          </reference>
        </references>
      </pivotArea>
    </format>
    <format dxfId="559">
      <pivotArea dataOnly="0" labelOnly="1" fieldPosition="0">
        <references count="3">
          <reference field="4" count="1" selected="0">
            <x v="20"/>
          </reference>
          <reference field="6" count="1" selected="0">
            <x v="1"/>
          </reference>
          <reference field="7" count="1">
            <x v="24"/>
          </reference>
        </references>
      </pivotArea>
    </format>
    <format dxfId="558">
      <pivotArea dataOnly="0" labelOnly="1" fieldPosition="0">
        <references count="4">
          <reference field="4" count="1" selected="0">
            <x v="0"/>
          </reference>
          <reference field="6" count="1" selected="0">
            <x v="0"/>
          </reference>
          <reference field="7" count="1" selected="0">
            <x v="17"/>
          </reference>
          <reference field="8" count="5">
            <x v="65"/>
            <x v="66"/>
            <x v="67"/>
            <x v="68"/>
            <x v="69"/>
          </reference>
        </references>
      </pivotArea>
    </format>
    <format dxfId="557">
      <pivotArea dataOnly="0" labelOnly="1" fieldPosition="0">
        <references count="4">
          <reference field="4" count="1" selected="0">
            <x v="0"/>
          </reference>
          <reference field="6" count="1" selected="0">
            <x v="0"/>
          </reference>
          <reference field="7" count="1" selected="0">
            <x v="19"/>
          </reference>
          <reference field="8" count="3">
            <x v="78"/>
            <x v="79"/>
            <x v="80"/>
          </reference>
        </references>
      </pivotArea>
    </format>
    <format dxfId="556">
      <pivotArea dataOnly="0" labelOnly="1" fieldPosition="0">
        <references count="4">
          <reference field="4" count="1" selected="0">
            <x v="0"/>
          </reference>
          <reference field="6" count="1" selected="0">
            <x v="1"/>
          </reference>
          <reference field="7" count="1" selected="0">
            <x v="23"/>
          </reference>
          <reference field="8" count="10">
            <x v="95"/>
            <x v="96"/>
            <x v="97"/>
            <x v="98"/>
            <x v="99"/>
            <x v="100"/>
            <x v="101"/>
            <x v="102"/>
            <x v="103"/>
            <x v="104"/>
          </reference>
        </references>
      </pivotArea>
    </format>
    <format dxfId="555">
      <pivotArea dataOnly="0" labelOnly="1" fieldPosition="0">
        <references count="4">
          <reference field="4" count="1" selected="0">
            <x v="0"/>
          </reference>
          <reference field="6" count="1" selected="0">
            <x v="1"/>
          </reference>
          <reference field="7" count="1" selected="0">
            <x v="26"/>
          </reference>
          <reference field="8" count="1">
            <x v="131"/>
          </reference>
        </references>
      </pivotArea>
    </format>
    <format dxfId="554">
      <pivotArea dataOnly="0" labelOnly="1" fieldPosition="0">
        <references count="4">
          <reference field="4" count="1" selected="0">
            <x v="1"/>
          </reference>
          <reference field="6" count="1" selected="0">
            <x v="0"/>
          </reference>
          <reference field="7" count="1" selected="0">
            <x v="19"/>
          </reference>
          <reference field="8" count="1">
            <x v="81"/>
          </reference>
        </references>
      </pivotArea>
    </format>
    <format dxfId="553">
      <pivotArea dataOnly="0" labelOnly="1" fieldPosition="0">
        <references count="4">
          <reference field="4" count="1" selected="0">
            <x v="1"/>
          </reference>
          <reference field="6" count="1" selected="0">
            <x v="3"/>
          </reference>
          <reference field="7" count="1" selected="0">
            <x v="2"/>
          </reference>
          <reference field="8" count="7">
            <x v="7"/>
            <x v="10"/>
            <x v="11"/>
            <x v="12"/>
            <x v="13"/>
            <x v="14"/>
            <x v="15"/>
          </reference>
        </references>
      </pivotArea>
    </format>
    <format dxfId="552">
      <pivotArea dataOnly="0" labelOnly="1" fieldPosition="0">
        <references count="4">
          <reference field="4" count="1" selected="0">
            <x v="1"/>
          </reference>
          <reference field="6" count="1" selected="0">
            <x v="3"/>
          </reference>
          <reference field="7" count="1" selected="0">
            <x v="3"/>
          </reference>
          <reference field="8" count="2">
            <x v="18"/>
            <x v="19"/>
          </reference>
        </references>
      </pivotArea>
    </format>
    <format dxfId="551">
      <pivotArea dataOnly="0" labelOnly="1" fieldPosition="0">
        <references count="4">
          <reference field="4" count="1" selected="0">
            <x v="1"/>
          </reference>
          <reference field="6" count="1" selected="0">
            <x v="3"/>
          </reference>
          <reference field="7" count="1" selected="0">
            <x v="4"/>
          </reference>
          <reference field="8" count="2">
            <x v="20"/>
            <x v="21"/>
          </reference>
        </references>
      </pivotArea>
    </format>
    <format dxfId="550">
      <pivotArea dataOnly="0" labelOnly="1" fieldPosition="0">
        <references count="4">
          <reference field="4" count="1" selected="0">
            <x v="1"/>
          </reference>
          <reference field="6" count="1" selected="0">
            <x v="4"/>
          </reference>
          <reference field="7" count="1" selected="0">
            <x v="8"/>
          </reference>
          <reference field="8" count="3">
            <x v="33"/>
            <x v="34"/>
            <x v="39"/>
          </reference>
        </references>
      </pivotArea>
    </format>
    <format dxfId="549">
      <pivotArea dataOnly="0" labelOnly="1" fieldPosition="0">
        <references count="4">
          <reference field="4" count="1" selected="0">
            <x v="2"/>
          </reference>
          <reference field="6" count="1" selected="0">
            <x v="2"/>
          </reference>
          <reference field="7" count="1" selected="0">
            <x v="29"/>
          </reference>
          <reference field="8" count="6">
            <x v="145"/>
            <x v="146"/>
            <x v="147"/>
            <x v="148"/>
            <x v="149"/>
            <x v="150"/>
          </reference>
        </references>
      </pivotArea>
    </format>
    <format dxfId="548">
      <pivotArea dataOnly="0" labelOnly="1" fieldPosition="0">
        <references count="4">
          <reference field="4" count="1" selected="0">
            <x v="2"/>
          </reference>
          <reference field="6" count="1" selected="0">
            <x v="2"/>
          </reference>
          <reference field="7" count="1" selected="0">
            <x v="30"/>
          </reference>
          <reference field="8" count="2">
            <x v="152"/>
            <x v="153"/>
          </reference>
        </references>
      </pivotArea>
    </format>
    <format dxfId="547">
      <pivotArea dataOnly="0" labelOnly="1" fieldPosition="0">
        <references count="4">
          <reference field="4" count="1" selected="0">
            <x v="2"/>
          </reference>
          <reference field="6" count="1" selected="0">
            <x v="3"/>
          </reference>
          <reference field="7" count="1" selected="0">
            <x v="5"/>
          </reference>
          <reference field="8" count="1">
            <x v="24"/>
          </reference>
        </references>
      </pivotArea>
    </format>
    <format dxfId="546">
      <pivotArea dataOnly="0" labelOnly="1" fieldPosition="0">
        <references count="4">
          <reference field="4" count="1" selected="0">
            <x v="2"/>
          </reference>
          <reference field="6" count="1" selected="0">
            <x v="3"/>
          </reference>
          <reference field="7" count="1" selected="0">
            <x v="7"/>
          </reference>
          <reference field="8" count="2">
            <x v="31"/>
            <x v="32"/>
          </reference>
        </references>
      </pivotArea>
    </format>
    <format dxfId="545">
      <pivotArea dataOnly="0" labelOnly="1" fieldPosition="0">
        <references count="4">
          <reference field="4" count="1" selected="0">
            <x v="2"/>
          </reference>
          <reference field="6" count="1" selected="0">
            <x v="4"/>
          </reference>
          <reference field="7" count="1" selected="0">
            <x v="8"/>
          </reference>
          <reference field="8" count="2">
            <x v="36"/>
            <x v="39"/>
          </reference>
        </references>
      </pivotArea>
    </format>
    <format dxfId="544">
      <pivotArea dataOnly="0" labelOnly="1" fieldPosition="0">
        <references count="4">
          <reference field="4" count="1" selected="0">
            <x v="3"/>
          </reference>
          <reference field="6" count="1" selected="0">
            <x v="3"/>
          </reference>
          <reference field="7" count="1" selected="0">
            <x v="6"/>
          </reference>
          <reference field="8" count="1">
            <x v="29"/>
          </reference>
        </references>
      </pivotArea>
    </format>
    <format dxfId="543">
      <pivotArea dataOnly="0" labelOnly="1" fieldPosition="0">
        <references count="4">
          <reference field="4" count="1" selected="0">
            <x v="4"/>
          </reference>
          <reference field="6" count="1" selected="0">
            <x v="0"/>
          </reference>
          <reference field="7" count="1" selected="0">
            <x v="21"/>
          </reference>
          <reference field="8" count="5">
            <x v="87"/>
            <x v="88"/>
            <x v="89"/>
            <x v="90"/>
            <x v="91"/>
          </reference>
        </references>
      </pivotArea>
    </format>
    <format dxfId="542">
      <pivotArea dataOnly="0" labelOnly="1" fieldPosition="0">
        <references count="4">
          <reference field="4" count="1" selected="0">
            <x v="4"/>
          </reference>
          <reference field="6" count="1" selected="0">
            <x v="1"/>
          </reference>
          <reference field="7" count="1" selected="0">
            <x v="24"/>
          </reference>
          <reference field="8" count="1">
            <x v="114"/>
          </reference>
        </references>
      </pivotArea>
    </format>
    <format dxfId="541">
      <pivotArea dataOnly="0" labelOnly="1" fieldPosition="0">
        <references count="4">
          <reference field="4" count="1" selected="0">
            <x v="4"/>
          </reference>
          <reference field="6" count="1" selected="0">
            <x v="2"/>
          </reference>
          <reference field="7" count="1" selected="0">
            <x v="29"/>
          </reference>
          <reference field="8" count="3">
            <x v="142"/>
            <x v="143"/>
            <x v="151"/>
          </reference>
        </references>
      </pivotArea>
    </format>
    <format dxfId="540">
      <pivotArea dataOnly="0" labelOnly="1" fieldPosition="0">
        <references count="4">
          <reference field="4" count="1" selected="0">
            <x v="4"/>
          </reference>
          <reference field="6" count="1" selected="0">
            <x v="2"/>
          </reference>
          <reference field="7" count="1" selected="0">
            <x v="31"/>
          </reference>
          <reference field="8" count="3">
            <x v="155"/>
            <x v="156"/>
            <x v="157"/>
          </reference>
        </references>
      </pivotArea>
    </format>
    <format dxfId="539">
      <pivotArea dataOnly="0" labelOnly="1" fieldPosition="0">
        <references count="4">
          <reference field="4" count="1" selected="0">
            <x v="4"/>
          </reference>
          <reference field="6" count="1" selected="0">
            <x v="3"/>
          </reference>
          <reference field="7" count="1" selected="0">
            <x v="0"/>
          </reference>
          <reference field="8" count="2">
            <x v="0"/>
            <x v="1"/>
          </reference>
        </references>
      </pivotArea>
    </format>
    <format dxfId="538">
      <pivotArea dataOnly="0" labelOnly="1" fieldPosition="0">
        <references count="4">
          <reference field="4" count="1" selected="0">
            <x v="4"/>
          </reference>
          <reference field="6" count="1" selected="0">
            <x v="3"/>
          </reference>
          <reference field="7" count="1" selected="0">
            <x v="1"/>
          </reference>
          <reference field="8" count="4">
            <x v="2"/>
            <x v="3"/>
            <x v="4"/>
            <x v="5"/>
          </reference>
        </references>
      </pivotArea>
    </format>
    <format dxfId="537">
      <pivotArea dataOnly="0" labelOnly="1" fieldPosition="0">
        <references count="4">
          <reference field="4" count="1" selected="0">
            <x v="5"/>
          </reference>
          <reference field="6" count="1" selected="0">
            <x v="0"/>
          </reference>
          <reference field="7" count="1" selected="0">
            <x v="18"/>
          </reference>
          <reference field="8" count="3">
            <x v="73"/>
            <x v="74"/>
            <x v="77"/>
          </reference>
        </references>
      </pivotArea>
    </format>
    <format dxfId="536">
      <pivotArea dataOnly="0" labelOnly="1" fieldPosition="0">
        <references count="4">
          <reference field="4" count="1" selected="0">
            <x v="5"/>
          </reference>
          <reference field="6" count="1" selected="0">
            <x v="0"/>
          </reference>
          <reference field="7" count="1" selected="0">
            <x v="22"/>
          </reference>
          <reference field="8" count="1">
            <x v="94"/>
          </reference>
        </references>
      </pivotArea>
    </format>
    <format dxfId="535">
      <pivotArea dataOnly="0" labelOnly="1" fieldPosition="0">
        <references count="4">
          <reference field="4" count="1" selected="0">
            <x v="5"/>
          </reference>
          <reference field="6" count="1" selected="0">
            <x v="4"/>
          </reference>
          <reference field="7" count="1" selected="0">
            <x v="8"/>
          </reference>
          <reference field="8" count="1">
            <x v="37"/>
          </reference>
        </references>
      </pivotArea>
    </format>
    <format dxfId="534">
      <pivotArea dataOnly="0" labelOnly="1" fieldPosition="0">
        <references count="4">
          <reference field="4" count="1" selected="0">
            <x v="6"/>
          </reference>
          <reference field="6" count="1" selected="0">
            <x v="1"/>
          </reference>
          <reference field="7" count="1" selected="0">
            <x v="24"/>
          </reference>
          <reference field="8" count="8">
            <x v="105"/>
            <x v="107"/>
            <x v="108"/>
            <x v="109"/>
            <x v="110"/>
            <x v="111"/>
            <x v="112"/>
            <x v="113"/>
          </reference>
        </references>
      </pivotArea>
    </format>
    <format dxfId="533">
      <pivotArea dataOnly="0" labelOnly="1" fieldPosition="0">
        <references count="4">
          <reference field="4" count="1" selected="0">
            <x v="7"/>
          </reference>
          <reference field="6" count="1" selected="0">
            <x v="0"/>
          </reference>
          <reference field="7" count="1" selected="0">
            <x v="16"/>
          </reference>
          <reference field="8" count="1">
            <x v="64"/>
          </reference>
        </references>
      </pivotArea>
    </format>
    <format dxfId="532">
      <pivotArea dataOnly="0" labelOnly="1" fieldPosition="0">
        <references count="4">
          <reference field="4" count="1" selected="0">
            <x v="7"/>
          </reference>
          <reference field="6" count="1" selected="0">
            <x v="2"/>
          </reference>
          <reference field="7" count="1" selected="0">
            <x v="29"/>
          </reference>
          <reference field="8" count="4">
            <x v="140"/>
            <x v="141"/>
            <x v="144"/>
            <x v="145"/>
          </reference>
        </references>
      </pivotArea>
    </format>
    <format dxfId="531">
      <pivotArea dataOnly="0" labelOnly="1" fieldPosition="0">
        <references count="4">
          <reference field="4" count="1" selected="0">
            <x v="7"/>
          </reference>
          <reference field="6" count="1" selected="0">
            <x v="2"/>
          </reference>
          <reference field="7" count="1" selected="0">
            <x v="30"/>
          </reference>
          <reference field="8" count="1">
            <x v="154"/>
          </reference>
        </references>
      </pivotArea>
    </format>
    <format dxfId="530">
      <pivotArea dataOnly="0" labelOnly="1" fieldPosition="0">
        <references count="4">
          <reference field="4" count="1" selected="0">
            <x v="7"/>
          </reference>
          <reference field="6" count="1" selected="0">
            <x v="3"/>
          </reference>
          <reference field="7" count="1" selected="0">
            <x v="6"/>
          </reference>
          <reference field="8" count="1">
            <x v="28"/>
          </reference>
        </references>
      </pivotArea>
    </format>
    <format dxfId="529">
      <pivotArea dataOnly="0" labelOnly="1" fieldPosition="0">
        <references count="4">
          <reference field="4" count="1" selected="0">
            <x v="7"/>
          </reference>
          <reference field="6" count="1" selected="0">
            <x v="4"/>
          </reference>
          <reference field="7" count="1" selected="0">
            <x v="8"/>
          </reference>
          <reference field="8" count="2">
            <x v="35"/>
            <x v="36"/>
          </reference>
        </references>
      </pivotArea>
    </format>
    <format dxfId="528">
      <pivotArea dataOnly="0" labelOnly="1" fieldPosition="0">
        <references count="4">
          <reference field="4" count="1" selected="0">
            <x v="7"/>
          </reference>
          <reference field="6" count="1" selected="0">
            <x v="4"/>
          </reference>
          <reference field="7" count="1" selected="0">
            <x v="9"/>
          </reference>
          <reference field="8" count="4">
            <x v="40"/>
            <x v="41"/>
            <x v="42"/>
            <x v="43"/>
          </reference>
        </references>
      </pivotArea>
    </format>
    <format dxfId="527">
      <pivotArea dataOnly="0" labelOnly="1" fieldPosition="0">
        <references count="4">
          <reference field="4" count="1" selected="0">
            <x v="7"/>
          </reference>
          <reference field="6" count="1" selected="0">
            <x v="4"/>
          </reference>
          <reference field="7" count="1" selected="0">
            <x v="10"/>
          </reference>
          <reference field="8" count="4">
            <x v="44"/>
            <x v="45"/>
            <x v="46"/>
            <x v="47"/>
          </reference>
        </references>
      </pivotArea>
    </format>
    <format dxfId="526">
      <pivotArea dataOnly="0" labelOnly="1" fieldPosition="0">
        <references count="4">
          <reference field="4" count="1" selected="0">
            <x v="7"/>
          </reference>
          <reference field="6" count="1" selected="0">
            <x v="4"/>
          </reference>
          <reference field="7" count="1" selected="0">
            <x v="11"/>
          </reference>
          <reference field="8" count="2">
            <x v="48"/>
            <x v="49"/>
          </reference>
        </references>
      </pivotArea>
    </format>
    <format dxfId="525">
      <pivotArea dataOnly="0" labelOnly="1" fieldPosition="0">
        <references count="4">
          <reference field="4" count="1" selected="0">
            <x v="7"/>
          </reference>
          <reference field="6" count="1" selected="0">
            <x v="4"/>
          </reference>
          <reference field="7" count="1" selected="0">
            <x v="12"/>
          </reference>
          <reference field="8" count="1">
            <x v="50"/>
          </reference>
        </references>
      </pivotArea>
    </format>
    <format dxfId="524">
      <pivotArea dataOnly="0" labelOnly="1" fieldPosition="0">
        <references count="4">
          <reference field="4" count="1" selected="0">
            <x v="7"/>
          </reference>
          <reference field="6" count="1" selected="0">
            <x v="4"/>
          </reference>
          <reference field="7" count="1" selected="0">
            <x v="13"/>
          </reference>
          <reference field="8" count="3">
            <x v="51"/>
            <x v="52"/>
            <x v="53"/>
          </reference>
        </references>
      </pivotArea>
    </format>
    <format dxfId="523">
      <pivotArea dataOnly="0" labelOnly="1" fieldPosition="0">
        <references count="4">
          <reference field="4" count="1" selected="0">
            <x v="7"/>
          </reference>
          <reference field="6" count="1" selected="0">
            <x v="4"/>
          </reference>
          <reference field="7" count="1" selected="0">
            <x v="14"/>
          </reference>
          <reference field="8" count="2">
            <x v="54"/>
            <x v="55"/>
          </reference>
        </references>
      </pivotArea>
    </format>
    <format dxfId="522">
      <pivotArea dataOnly="0" labelOnly="1" fieldPosition="0">
        <references count="4">
          <reference field="4" count="1" selected="0">
            <x v="7"/>
          </reference>
          <reference field="6" count="1" selected="0">
            <x v="4"/>
          </reference>
          <reference field="7" count="1" selected="0">
            <x v="15"/>
          </reference>
          <reference field="8" count="1">
            <x v="56"/>
          </reference>
        </references>
      </pivotArea>
    </format>
    <format dxfId="521">
      <pivotArea dataOnly="0" labelOnly="1" fieldPosition="0">
        <references count="4">
          <reference field="4" count="1" selected="0">
            <x v="8"/>
          </reference>
          <reference field="6" count="1" selected="0">
            <x v="0"/>
          </reference>
          <reference field="7" count="1" selected="0">
            <x v="18"/>
          </reference>
          <reference field="8" count="1">
            <x v="77"/>
          </reference>
        </references>
      </pivotArea>
    </format>
    <format dxfId="520">
      <pivotArea dataOnly="0" labelOnly="1" fieldPosition="0">
        <references count="4">
          <reference field="4" count="1" selected="0">
            <x v="8"/>
          </reference>
          <reference field="6" count="1" selected="0">
            <x v="0"/>
          </reference>
          <reference field="7" count="1" selected="0">
            <x v="22"/>
          </reference>
          <reference field="8" count="3">
            <x v="92"/>
            <x v="93"/>
            <x v="94"/>
          </reference>
        </references>
      </pivotArea>
    </format>
    <format dxfId="519">
      <pivotArea dataOnly="0" labelOnly="1" fieldPosition="0">
        <references count="4">
          <reference field="4" count="1" selected="0">
            <x v="8"/>
          </reference>
          <reference field="6" count="1" selected="0">
            <x v="1"/>
          </reference>
          <reference field="7" count="1" selected="0">
            <x v="28"/>
          </reference>
          <reference field="8" count="2">
            <x v="138"/>
            <x v="139"/>
          </reference>
        </references>
      </pivotArea>
    </format>
    <format dxfId="518">
      <pivotArea dataOnly="0" labelOnly="1" fieldPosition="0">
        <references count="4">
          <reference field="4" count="1" selected="0">
            <x v="8"/>
          </reference>
          <reference field="6" count="1" selected="0">
            <x v="2"/>
          </reference>
          <reference field="7" count="1" selected="0">
            <x v="32"/>
          </reference>
          <reference field="8" count="2">
            <x v="158"/>
            <x v="159"/>
          </reference>
        </references>
      </pivotArea>
    </format>
    <format dxfId="517">
      <pivotArea dataOnly="0" labelOnly="1" fieldPosition="0">
        <references count="4">
          <reference field="4" count="1" selected="0">
            <x v="8"/>
          </reference>
          <reference field="6" count="1" selected="0">
            <x v="3"/>
          </reference>
          <reference field="7" count="1" selected="0">
            <x v="6"/>
          </reference>
          <reference field="8" count="2">
            <x v="29"/>
            <x v="30"/>
          </reference>
        </references>
      </pivotArea>
    </format>
    <format dxfId="516">
      <pivotArea dataOnly="0" labelOnly="1" fieldPosition="0">
        <references count="4">
          <reference field="4" count="1" selected="0">
            <x v="9"/>
          </reference>
          <reference field="6" count="1" selected="0">
            <x v="1"/>
          </reference>
          <reference field="7" count="1" selected="0">
            <x v="25"/>
          </reference>
          <reference field="8" count="10">
            <x v="115"/>
            <x v="116"/>
            <x v="117"/>
            <x v="118"/>
            <x v="119"/>
            <x v="120"/>
            <x v="121"/>
            <x v="122"/>
            <x v="123"/>
            <x v="124"/>
          </reference>
        </references>
      </pivotArea>
    </format>
    <format dxfId="515">
      <pivotArea dataOnly="0" labelOnly="1" fieldPosition="0">
        <references count="4">
          <reference field="4" count="1" selected="0">
            <x v="10"/>
          </reference>
          <reference field="6" count="1" selected="0">
            <x v="3"/>
          </reference>
          <reference field="7" count="1" selected="0">
            <x v="6"/>
          </reference>
          <reference field="8" count="1">
            <x v="29"/>
          </reference>
        </references>
      </pivotArea>
    </format>
    <format dxfId="514">
      <pivotArea dataOnly="0" labelOnly="1" fieldPosition="0">
        <references count="4">
          <reference field="4" count="1" selected="0">
            <x v="11"/>
          </reference>
          <reference field="6" count="1" selected="0">
            <x v="0"/>
          </reference>
          <reference field="7" count="1" selected="0">
            <x v="17"/>
          </reference>
          <reference field="8" count="3">
            <x v="70"/>
            <x v="71"/>
            <x v="72"/>
          </reference>
        </references>
      </pivotArea>
    </format>
    <format dxfId="513">
      <pivotArea dataOnly="0" labelOnly="1" fieldPosition="0">
        <references count="4">
          <reference field="4" count="1" selected="0">
            <x v="12"/>
          </reference>
          <reference field="6" count="1" selected="0">
            <x v="0"/>
          </reference>
          <reference field="7" count="1" selected="0">
            <x v="18"/>
          </reference>
          <reference field="8" count="3">
            <x v="74"/>
            <x v="75"/>
            <x v="76"/>
          </reference>
        </references>
      </pivotArea>
    </format>
    <format dxfId="512">
      <pivotArea dataOnly="0" labelOnly="1" fieldPosition="0">
        <references count="4">
          <reference field="4" count="1" selected="0">
            <x v="13"/>
          </reference>
          <reference field="6" count="1" selected="0">
            <x v="3"/>
          </reference>
          <reference field="7" count="1" selected="0">
            <x v="1"/>
          </reference>
          <reference field="8" count="1">
            <x v="6"/>
          </reference>
        </references>
      </pivotArea>
    </format>
    <format dxfId="511">
      <pivotArea dataOnly="0" labelOnly="1" fieldPosition="0">
        <references count="4">
          <reference field="4" count="1" selected="0">
            <x v="13"/>
          </reference>
          <reference field="6" count="1" selected="0">
            <x v="3"/>
          </reference>
          <reference field="7" count="1" selected="0">
            <x v="5"/>
          </reference>
          <reference field="8" count="6">
            <x v="22"/>
            <x v="23"/>
            <x v="24"/>
            <x v="25"/>
            <x v="26"/>
            <x v="27"/>
          </reference>
        </references>
      </pivotArea>
    </format>
    <format dxfId="510">
      <pivotArea dataOnly="0" labelOnly="1" fieldPosition="0">
        <references count="4">
          <reference field="4" count="1" selected="0">
            <x v="14"/>
          </reference>
          <reference field="6" count="1" selected="0">
            <x v="1"/>
          </reference>
          <reference field="7" count="1" selected="0">
            <x v="26"/>
          </reference>
          <reference field="8" count="7">
            <x v="125"/>
            <x v="126"/>
            <x v="127"/>
            <x v="128"/>
            <x v="129"/>
            <x v="130"/>
            <x v="131"/>
          </reference>
        </references>
      </pivotArea>
    </format>
    <format dxfId="509">
      <pivotArea dataOnly="0" labelOnly="1" fieldPosition="0">
        <references count="4">
          <reference field="4" count="1" selected="0">
            <x v="15"/>
          </reference>
          <reference field="6" count="1" selected="0">
            <x v="0"/>
          </reference>
          <reference field="7" count="1" selected="0">
            <x v="20"/>
          </reference>
          <reference field="8" count="5">
            <x v="82"/>
            <x v="83"/>
            <x v="84"/>
            <x v="85"/>
            <x v="86"/>
          </reference>
        </references>
      </pivotArea>
    </format>
    <format dxfId="508">
      <pivotArea dataOnly="0" labelOnly="1" fieldPosition="0">
        <references count="4">
          <reference field="4" count="1" selected="0">
            <x v="16"/>
          </reference>
          <reference field="6" count="1" selected="0">
            <x v="1"/>
          </reference>
          <reference field="7" count="1" selected="0">
            <x v="27"/>
          </reference>
          <reference field="8" count="6">
            <x v="132"/>
            <x v="133"/>
            <x v="134"/>
            <x v="135"/>
            <x v="136"/>
            <x v="137"/>
          </reference>
        </references>
      </pivotArea>
    </format>
    <format dxfId="507">
      <pivotArea dataOnly="0" labelOnly="1" fieldPosition="0">
        <references count="4">
          <reference field="4" count="1" selected="0">
            <x v="16"/>
          </reference>
          <reference field="6" count="1" selected="0">
            <x v="3"/>
          </reference>
          <reference field="7" count="1" selected="0">
            <x v="1"/>
          </reference>
          <reference field="8" count="1">
            <x v="6"/>
          </reference>
        </references>
      </pivotArea>
    </format>
    <format dxfId="506">
      <pivotArea dataOnly="0" labelOnly="1" fieldPosition="0">
        <references count="4">
          <reference field="4" count="1" selected="0">
            <x v="16"/>
          </reference>
          <reference field="6" count="1" selected="0">
            <x v="4"/>
          </reference>
          <reference field="7" count="1" selected="0">
            <x v="8"/>
          </reference>
          <reference field="8" count="1">
            <x v="38"/>
          </reference>
        </references>
      </pivotArea>
    </format>
    <format dxfId="505">
      <pivotArea dataOnly="0" labelOnly="1" fieldPosition="0">
        <references count="4">
          <reference field="4" count="1" selected="0">
            <x v="16"/>
          </reference>
          <reference field="6" count="1" selected="0">
            <x v="4"/>
          </reference>
          <reference field="7" count="1" selected="0">
            <x v="11"/>
          </reference>
          <reference field="8" count="1">
            <x v="48"/>
          </reference>
        </references>
      </pivotArea>
    </format>
    <format dxfId="504">
      <pivotArea dataOnly="0" labelOnly="1" fieldPosition="0">
        <references count="4">
          <reference field="4" count="1" selected="0">
            <x v="17"/>
          </reference>
          <reference field="6" count="1" selected="0">
            <x v="0"/>
          </reference>
          <reference field="7" count="1" selected="0">
            <x v="16"/>
          </reference>
          <reference field="8" count="7">
            <x v="57"/>
            <x v="58"/>
            <x v="59"/>
            <x v="60"/>
            <x v="61"/>
            <x v="62"/>
            <x v="63"/>
          </reference>
        </references>
      </pivotArea>
    </format>
    <format dxfId="503">
      <pivotArea dataOnly="0" labelOnly="1" fieldPosition="0">
        <references count="4">
          <reference field="4" count="1" selected="0">
            <x v="17"/>
          </reference>
          <reference field="6" count="1" selected="0">
            <x v="0"/>
          </reference>
          <reference field="7" count="1" selected="0">
            <x v="22"/>
          </reference>
          <reference field="8" count="1">
            <x v="94"/>
          </reference>
        </references>
      </pivotArea>
    </format>
    <format dxfId="502">
      <pivotArea dataOnly="0" labelOnly="1" fieldPosition="0">
        <references count="4">
          <reference field="4" count="1" selected="0">
            <x v="18"/>
          </reference>
          <reference field="6" count="1" selected="0">
            <x v="3"/>
          </reference>
          <reference field="7" count="1" selected="0">
            <x v="2"/>
          </reference>
          <reference field="8" count="4">
            <x v="8"/>
            <x v="9"/>
            <x v="16"/>
            <x v="17"/>
          </reference>
        </references>
      </pivotArea>
    </format>
    <format dxfId="501">
      <pivotArea dataOnly="0" labelOnly="1" fieldPosition="0">
        <references count="4">
          <reference field="4" count="1" selected="0">
            <x v="19"/>
          </reference>
          <reference field="6" count="1" selected="0">
            <x v="3"/>
          </reference>
          <reference field="7" count="1" selected="0">
            <x v="6"/>
          </reference>
          <reference field="8" count="1">
            <x v="29"/>
          </reference>
        </references>
      </pivotArea>
    </format>
    <format dxfId="500">
      <pivotArea dataOnly="0" labelOnly="1" fieldPosition="0">
        <references count="4">
          <reference field="4" count="1" selected="0">
            <x v="20"/>
          </reference>
          <reference field="6" count="1" selected="0">
            <x v="1"/>
          </reference>
          <reference field="7" count="1" selected="0">
            <x v="24"/>
          </reference>
          <reference field="8" count="1">
            <x v="106"/>
          </reference>
        </references>
      </pivotArea>
    </format>
    <format dxfId="499">
      <pivotArea dataOnly="0" labelOnly="1" fieldPosition="0">
        <references count="5">
          <reference field="4" count="1" selected="0">
            <x v="0"/>
          </reference>
          <reference field="6" count="1" selected="0">
            <x v="0"/>
          </reference>
          <reference field="7" count="1" selected="0">
            <x v="17"/>
          </reference>
          <reference field="8" count="1" selected="0">
            <x v="65"/>
          </reference>
          <reference field="15" count="1">
            <x v="108"/>
          </reference>
        </references>
      </pivotArea>
    </format>
    <format dxfId="498">
      <pivotArea dataOnly="0" labelOnly="1" fieldPosition="0">
        <references count="5">
          <reference field="4" count="1" selected="0">
            <x v="0"/>
          </reference>
          <reference field="6" count="1" selected="0">
            <x v="0"/>
          </reference>
          <reference field="7" count="1" selected="0">
            <x v="17"/>
          </reference>
          <reference field="8" count="1" selected="0">
            <x v="66"/>
          </reference>
          <reference field="15" count="2">
            <x v="365"/>
            <x v="366"/>
          </reference>
        </references>
      </pivotArea>
    </format>
    <format dxfId="497">
      <pivotArea dataOnly="0" labelOnly="1" fieldPosition="0">
        <references count="5">
          <reference field="4" count="1" selected="0">
            <x v="0"/>
          </reference>
          <reference field="6" count="1" selected="0">
            <x v="0"/>
          </reference>
          <reference field="7" count="1" selected="0">
            <x v="17"/>
          </reference>
          <reference field="8" count="1" selected="0">
            <x v="67"/>
          </reference>
          <reference field="15" count="2">
            <x v="364"/>
            <x v="370"/>
          </reference>
        </references>
      </pivotArea>
    </format>
    <format dxfId="496">
      <pivotArea dataOnly="0" labelOnly="1" fieldPosition="0">
        <references count="5">
          <reference field="4" count="1" selected="0">
            <x v="0"/>
          </reference>
          <reference field="6" count="1" selected="0">
            <x v="0"/>
          </reference>
          <reference field="7" count="1" selected="0">
            <x v="17"/>
          </reference>
          <reference field="8" count="1" selected="0">
            <x v="68"/>
          </reference>
          <reference field="15" count="1">
            <x v="79"/>
          </reference>
        </references>
      </pivotArea>
    </format>
    <format dxfId="495">
      <pivotArea dataOnly="0" labelOnly="1" fieldPosition="0">
        <references count="5">
          <reference field="4" count="1" selected="0">
            <x v="0"/>
          </reference>
          <reference field="6" count="1" selected="0">
            <x v="0"/>
          </reference>
          <reference field="7" count="1" selected="0">
            <x v="17"/>
          </reference>
          <reference field="8" count="1" selected="0">
            <x v="69"/>
          </reference>
          <reference field="15" count="1">
            <x v="42"/>
          </reference>
        </references>
      </pivotArea>
    </format>
    <format dxfId="494">
      <pivotArea dataOnly="0" labelOnly="1" fieldPosition="0">
        <references count="5">
          <reference field="4" count="1" selected="0">
            <x v="0"/>
          </reference>
          <reference field="6" count="1" selected="0">
            <x v="0"/>
          </reference>
          <reference field="7" count="1" selected="0">
            <x v="19"/>
          </reference>
          <reference field="8" count="1" selected="0">
            <x v="78"/>
          </reference>
          <reference field="15" count="1">
            <x v="236"/>
          </reference>
        </references>
      </pivotArea>
    </format>
    <format dxfId="493">
      <pivotArea dataOnly="0" labelOnly="1" fieldPosition="0">
        <references count="5">
          <reference field="4" count="1" selected="0">
            <x v="0"/>
          </reference>
          <reference field="6" count="1" selected="0">
            <x v="0"/>
          </reference>
          <reference field="7" count="1" selected="0">
            <x v="19"/>
          </reference>
          <reference field="8" count="1" selected="0">
            <x v="79"/>
          </reference>
          <reference field="15" count="1">
            <x v="12"/>
          </reference>
        </references>
      </pivotArea>
    </format>
    <format dxfId="492">
      <pivotArea dataOnly="0" labelOnly="1" fieldPosition="0">
        <references count="5">
          <reference field="4" count="1" selected="0">
            <x v="0"/>
          </reference>
          <reference field="6" count="1" selected="0">
            <x v="0"/>
          </reference>
          <reference field="7" count="1" selected="0">
            <x v="19"/>
          </reference>
          <reference field="8" count="1" selected="0">
            <x v="80"/>
          </reference>
          <reference field="15" count="2">
            <x v="10"/>
            <x v="11"/>
          </reference>
        </references>
      </pivotArea>
    </format>
    <format dxfId="491">
      <pivotArea dataOnly="0" labelOnly="1" fieldPosition="0">
        <references count="5">
          <reference field="4" count="1" selected="0">
            <x v="0"/>
          </reference>
          <reference field="6" count="1" selected="0">
            <x v="1"/>
          </reference>
          <reference field="7" count="1" selected="0">
            <x v="23"/>
          </reference>
          <reference field="8" count="1" selected="0">
            <x v="95"/>
          </reference>
          <reference field="15" count="1">
            <x v="250"/>
          </reference>
        </references>
      </pivotArea>
    </format>
    <format dxfId="490">
      <pivotArea dataOnly="0" labelOnly="1" fieldPosition="0">
        <references count="5">
          <reference field="4" count="1" selected="0">
            <x v="0"/>
          </reference>
          <reference field="6" count="1" selected="0">
            <x v="1"/>
          </reference>
          <reference field="7" count="1" selected="0">
            <x v="23"/>
          </reference>
          <reference field="8" count="1" selected="0">
            <x v="96"/>
          </reference>
          <reference field="15" count="2">
            <x v="251"/>
            <x v="358"/>
          </reference>
        </references>
      </pivotArea>
    </format>
    <format dxfId="489">
      <pivotArea dataOnly="0" labelOnly="1" fieldPosition="0">
        <references count="5">
          <reference field="4" count="1" selected="0">
            <x v="0"/>
          </reference>
          <reference field="6" count="1" selected="0">
            <x v="1"/>
          </reference>
          <reference field="7" count="1" selected="0">
            <x v="23"/>
          </reference>
          <reference field="8" count="1" selected="0">
            <x v="97"/>
          </reference>
          <reference field="15" count="1">
            <x v="257"/>
          </reference>
        </references>
      </pivotArea>
    </format>
    <format dxfId="488">
      <pivotArea dataOnly="0" labelOnly="1" fieldPosition="0">
        <references count="5">
          <reference field="4" count="1" selected="0">
            <x v="0"/>
          </reference>
          <reference field="6" count="1" selected="0">
            <x v="1"/>
          </reference>
          <reference field="7" count="1" selected="0">
            <x v="23"/>
          </reference>
          <reference field="8" count="1" selected="0">
            <x v="98"/>
          </reference>
          <reference field="15" count="1">
            <x v="43"/>
          </reference>
        </references>
      </pivotArea>
    </format>
    <format dxfId="487">
      <pivotArea dataOnly="0" labelOnly="1" fieldPosition="0">
        <references count="5">
          <reference field="4" count="1" selected="0">
            <x v="0"/>
          </reference>
          <reference field="6" count="1" selected="0">
            <x v="1"/>
          </reference>
          <reference field="7" count="1" selected="0">
            <x v="23"/>
          </reference>
          <reference field="8" count="1" selected="0">
            <x v="99"/>
          </reference>
          <reference field="15" count="1">
            <x v="254"/>
          </reference>
        </references>
      </pivotArea>
    </format>
    <format dxfId="486">
      <pivotArea dataOnly="0" labelOnly="1" fieldPosition="0">
        <references count="5">
          <reference field="4" count="1" selected="0">
            <x v="0"/>
          </reference>
          <reference field="6" count="1" selected="0">
            <x v="1"/>
          </reference>
          <reference field="7" count="1" selected="0">
            <x v="23"/>
          </reference>
          <reference field="8" count="1" selected="0">
            <x v="100"/>
          </reference>
          <reference field="15" count="1">
            <x v="253"/>
          </reference>
        </references>
      </pivotArea>
    </format>
    <format dxfId="485">
      <pivotArea dataOnly="0" labelOnly="1" fieldPosition="0">
        <references count="5">
          <reference field="4" count="1" selected="0">
            <x v="0"/>
          </reference>
          <reference field="6" count="1" selected="0">
            <x v="1"/>
          </reference>
          <reference field="7" count="1" selected="0">
            <x v="23"/>
          </reference>
          <reference field="8" count="1" selected="0">
            <x v="101"/>
          </reference>
          <reference field="15" count="1">
            <x v="255"/>
          </reference>
        </references>
      </pivotArea>
    </format>
    <format dxfId="484">
      <pivotArea dataOnly="0" labelOnly="1" fieldPosition="0">
        <references count="5">
          <reference field="4" count="1" selected="0">
            <x v="0"/>
          </reference>
          <reference field="6" count="1" selected="0">
            <x v="1"/>
          </reference>
          <reference field="7" count="1" selected="0">
            <x v="23"/>
          </reference>
          <reference field="8" count="1" selected="0">
            <x v="102"/>
          </reference>
          <reference field="15" count="1">
            <x v="40"/>
          </reference>
        </references>
      </pivotArea>
    </format>
    <format dxfId="483">
      <pivotArea dataOnly="0" labelOnly="1" fieldPosition="0">
        <references count="5">
          <reference field="4" count="1" selected="0">
            <x v="0"/>
          </reference>
          <reference field="6" count="1" selected="0">
            <x v="1"/>
          </reference>
          <reference field="7" count="1" selected="0">
            <x v="23"/>
          </reference>
          <reference field="8" count="1" selected="0">
            <x v="103"/>
          </reference>
          <reference field="15" count="1">
            <x v="252"/>
          </reference>
        </references>
      </pivotArea>
    </format>
    <format dxfId="482">
      <pivotArea dataOnly="0" labelOnly="1" fieldPosition="0">
        <references count="5">
          <reference field="4" count="1" selected="0">
            <x v="0"/>
          </reference>
          <reference field="6" count="1" selected="0">
            <x v="1"/>
          </reference>
          <reference field="7" count="1" selected="0">
            <x v="23"/>
          </reference>
          <reference field="8" count="1" selected="0">
            <x v="104"/>
          </reference>
          <reference field="15" count="1">
            <x v="256"/>
          </reference>
        </references>
      </pivotArea>
    </format>
    <format dxfId="481">
      <pivotArea dataOnly="0" labelOnly="1" fieldPosition="0">
        <references count="5">
          <reference field="4" count="1" selected="0">
            <x v="0"/>
          </reference>
          <reference field="6" count="1" selected="0">
            <x v="1"/>
          </reference>
          <reference field="7" count="1" selected="0">
            <x v="26"/>
          </reference>
          <reference field="8" count="1" selected="0">
            <x v="131"/>
          </reference>
          <reference field="15" count="1">
            <x v="13"/>
          </reference>
        </references>
      </pivotArea>
    </format>
    <format dxfId="480">
      <pivotArea dataOnly="0" labelOnly="1" fieldPosition="0">
        <references count="5">
          <reference field="4" count="1" selected="0">
            <x v="1"/>
          </reference>
          <reference field="6" count="1" selected="0">
            <x v="0"/>
          </reference>
          <reference field="7" count="1" selected="0">
            <x v="19"/>
          </reference>
          <reference field="8" count="1" selected="0">
            <x v="81"/>
          </reference>
          <reference field="15" count="1">
            <x v="231"/>
          </reference>
        </references>
      </pivotArea>
    </format>
    <format dxfId="479">
      <pivotArea dataOnly="0" labelOnly="1" fieldPosition="0">
        <references count="5">
          <reference field="4" count="1" selected="0">
            <x v="1"/>
          </reference>
          <reference field="6" count="1" selected="0">
            <x v="3"/>
          </reference>
          <reference field="7" count="1" selected="0">
            <x v="2"/>
          </reference>
          <reference field="8" count="1" selected="0">
            <x v="7"/>
          </reference>
          <reference field="15" count="5">
            <x v="117"/>
            <x v="124"/>
            <x v="131"/>
            <x v="380"/>
            <x v="400"/>
          </reference>
        </references>
      </pivotArea>
    </format>
    <format dxfId="478">
      <pivotArea dataOnly="0" labelOnly="1" fieldPosition="0">
        <references count="5">
          <reference field="4" count="1" selected="0">
            <x v="1"/>
          </reference>
          <reference field="6" count="1" selected="0">
            <x v="3"/>
          </reference>
          <reference field="7" count="1" selected="0">
            <x v="2"/>
          </reference>
          <reference field="8" count="1" selected="0">
            <x v="10"/>
          </reference>
          <reference field="15" count="2">
            <x v="17"/>
            <x v="18"/>
          </reference>
        </references>
      </pivotArea>
    </format>
    <format dxfId="477">
      <pivotArea dataOnly="0" labelOnly="1" fieldPosition="0">
        <references count="5">
          <reference field="4" count="1" selected="0">
            <x v="1"/>
          </reference>
          <reference field="6" count="1" selected="0">
            <x v="3"/>
          </reference>
          <reference field="7" count="1" selected="0">
            <x v="2"/>
          </reference>
          <reference field="8" count="1" selected="0">
            <x v="11"/>
          </reference>
          <reference field="15" count="2">
            <x v="7"/>
            <x v="8"/>
          </reference>
        </references>
      </pivotArea>
    </format>
    <format dxfId="476">
      <pivotArea dataOnly="0" labelOnly="1" fieldPosition="0">
        <references count="5">
          <reference field="4" count="1" selected="0">
            <x v="1"/>
          </reference>
          <reference field="6" count="1" selected="0">
            <x v="3"/>
          </reference>
          <reference field="7" count="1" selected="0">
            <x v="2"/>
          </reference>
          <reference field="8" count="1" selected="0">
            <x v="12"/>
          </reference>
          <reference field="15" count="1">
            <x v="107"/>
          </reference>
        </references>
      </pivotArea>
    </format>
    <format dxfId="475">
      <pivotArea dataOnly="0" labelOnly="1" fieldPosition="0">
        <references count="5">
          <reference field="4" count="1" selected="0">
            <x v="1"/>
          </reference>
          <reference field="6" count="1" selected="0">
            <x v="3"/>
          </reference>
          <reference field="7" count="1" selected="0">
            <x v="2"/>
          </reference>
          <reference field="8" count="1" selected="0">
            <x v="13"/>
          </reference>
          <reference field="15" count="1">
            <x v="6"/>
          </reference>
        </references>
      </pivotArea>
    </format>
    <format dxfId="474">
      <pivotArea dataOnly="0" labelOnly="1" fieldPosition="0">
        <references count="5">
          <reference field="4" count="1" selected="0">
            <x v="1"/>
          </reference>
          <reference field="6" count="1" selected="0">
            <x v="3"/>
          </reference>
          <reference field="7" count="1" selected="0">
            <x v="2"/>
          </reference>
          <reference field="8" count="1" selected="0">
            <x v="14"/>
          </reference>
          <reference field="15" count="2">
            <x v="46"/>
            <x v="47"/>
          </reference>
        </references>
      </pivotArea>
    </format>
    <format dxfId="473">
      <pivotArea dataOnly="0" labelOnly="1" fieldPosition="0">
        <references count="5">
          <reference field="4" count="1" selected="0">
            <x v="1"/>
          </reference>
          <reference field="6" count="1" selected="0">
            <x v="3"/>
          </reference>
          <reference field="7" count="1" selected="0">
            <x v="2"/>
          </reference>
          <reference field="8" count="1" selected="0">
            <x v="15"/>
          </reference>
          <reference field="15" count="1">
            <x v="372"/>
          </reference>
        </references>
      </pivotArea>
    </format>
    <format dxfId="472">
      <pivotArea dataOnly="0" labelOnly="1" fieldPosition="0">
        <references count="5">
          <reference field="4" count="1" selected="0">
            <x v="1"/>
          </reference>
          <reference field="6" count="1" selected="0">
            <x v="3"/>
          </reference>
          <reference field="7" count="1" selected="0">
            <x v="3"/>
          </reference>
          <reference field="8" count="1" selected="0">
            <x v="18"/>
          </reference>
          <reference field="15" count="1">
            <x v="232"/>
          </reference>
        </references>
      </pivotArea>
    </format>
    <format dxfId="471">
      <pivotArea dataOnly="0" labelOnly="1" fieldPosition="0">
        <references count="5">
          <reference field="4" count="1" selected="0">
            <x v="1"/>
          </reference>
          <reference field="6" count="1" selected="0">
            <x v="3"/>
          </reference>
          <reference field="7" count="1" selected="0">
            <x v="3"/>
          </reference>
          <reference field="8" count="1" selected="0">
            <x v="19"/>
          </reference>
          <reference field="15" count="1">
            <x v="9"/>
          </reference>
        </references>
      </pivotArea>
    </format>
    <format dxfId="470">
      <pivotArea dataOnly="0" labelOnly="1" fieldPosition="0">
        <references count="5">
          <reference field="4" count="1" selected="0">
            <x v="1"/>
          </reference>
          <reference field="6" count="1" selected="0">
            <x v="3"/>
          </reference>
          <reference field="7" count="1" selected="0">
            <x v="4"/>
          </reference>
          <reference field="8" count="1" selected="0">
            <x v="20"/>
          </reference>
          <reference field="15" count="1">
            <x v="34"/>
          </reference>
        </references>
      </pivotArea>
    </format>
    <format dxfId="469">
      <pivotArea dataOnly="0" labelOnly="1" fieldPosition="0">
        <references count="5">
          <reference field="4" count="1" selected="0">
            <x v="1"/>
          </reference>
          <reference field="6" count="1" selected="0">
            <x v="3"/>
          </reference>
          <reference field="7" count="1" selected="0">
            <x v="4"/>
          </reference>
          <reference field="8" count="1" selected="0">
            <x v="21"/>
          </reference>
          <reference field="15" count="1">
            <x v="98"/>
          </reference>
        </references>
      </pivotArea>
    </format>
    <format dxfId="468">
      <pivotArea dataOnly="0" labelOnly="1" fieldPosition="0">
        <references count="5">
          <reference field="4" count="1" selected="0">
            <x v="1"/>
          </reference>
          <reference field="6" count="1" selected="0">
            <x v="4"/>
          </reference>
          <reference field="7" count="1" selected="0">
            <x v="8"/>
          </reference>
          <reference field="8" count="1" selected="0">
            <x v="33"/>
          </reference>
          <reference field="15" count="1">
            <x v="237"/>
          </reference>
        </references>
      </pivotArea>
    </format>
    <format dxfId="467">
      <pivotArea dataOnly="0" labelOnly="1" fieldPosition="0">
        <references count="5">
          <reference field="4" count="1" selected="0">
            <x v="1"/>
          </reference>
          <reference field="6" count="1" selected="0">
            <x v="4"/>
          </reference>
          <reference field="7" count="1" selected="0">
            <x v="8"/>
          </reference>
          <reference field="8" count="1" selected="0">
            <x v="34"/>
          </reference>
          <reference field="15" count="1">
            <x v="373"/>
          </reference>
        </references>
      </pivotArea>
    </format>
    <format dxfId="466">
      <pivotArea dataOnly="0" labelOnly="1" fieldPosition="0">
        <references count="5">
          <reference field="4" count="1" selected="0">
            <x v="1"/>
          </reference>
          <reference field="6" count="1" selected="0">
            <x v="4"/>
          </reference>
          <reference field="7" count="1" selected="0">
            <x v="8"/>
          </reference>
          <reference field="8" count="1" selected="0">
            <x v="39"/>
          </reference>
          <reference field="15" count="2">
            <x v="233"/>
            <x v="234"/>
          </reference>
        </references>
      </pivotArea>
    </format>
    <format dxfId="465">
      <pivotArea dataOnly="0" labelOnly="1" fieldPosition="0">
        <references count="5">
          <reference field="4" count="1" selected="0">
            <x v="2"/>
          </reference>
          <reference field="6" count="1" selected="0">
            <x v="2"/>
          </reference>
          <reference field="7" count="1" selected="0">
            <x v="29"/>
          </reference>
          <reference field="8" count="1" selected="0">
            <x v="145"/>
          </reference>
          <reference field="15" count="1">
            <x v="377"/>
          </reference>
        </references>
      </pivotArea>
    </format>
    <format dxfId="464">
      <pivotArea dataOnly="0" labelOnly="1" fieldPosition="0">
        <references count="5">
          <reference field="4" count="1" selected="0">
            <x v="2"/>
          </reference>
          <reference field="6" count="1" selected="0">
            <x v="2"/>
          </reference>
          <reference field="7" count="1" selected="0">
            <x v="29"/>
          </reference>
          <reference field="8" count="1" selected="0">
            <x v="146"/>
          </reference>
          <reference field="15" count="1">
            <x v="139"/>
          </reference>
        </references>
      </pivotArea>
    </format>
    <format dxfId="463">
      <pivotArea dataOnly="0" labelOnly="1" fieldPosition="0">
        <references count="5">
          <reference field="4" count="1" selected="0">
            <x v="2"/>
          </reference>
          <reference field="6" count="1" selected="0">
            <x v="2"/>
          </reference>
          <reference field="7" count="1" selected="0">
            <x v="29"/>
          </reference>
          <reference field="8" count="1" selected="0">
            <x v="147"/>
          </reference>
          <reference field="15" count="1">
            <x v="127"/>
          </reference>
        </references>
      </pivotArea>
    </format>
    <format dxfId="462">
      <pivotArea dataOnly="0" labelOnly="1" fieldPosition="0">
        <references count="5">
          <reference field="4" count="1" selected="0">
            <x v="2"/>
          </reference>
          <reference field="6" count="1" selected="0">
            <x v="2"/>
          </reference>
          <reference field="7" count="1" selected="0">
            <x v="29"/>
          </reference>
          <reference field="8" count="1" selected="0">
            <x v="148"/>
          </reference>
          <reference field="15" count="1">
            <x v="142"/>
          </reference>
        </references>
      </pivotArea>
    </format>
    <format dxfId="461">
      <pivotArea dataOnly="0" labelOnly="1" fieldPosition="0">
        <references count="5">
          <reference field="4" count="1" selected="0">
            <x v="2"/>
          </reference>
          <reference field="6" count="1" selected="0">
            <x v="2"/>
          </reference>
          <reference field="7" count="1" selected="0">
            <x v="29"/>
          </reference>
          <reference field="8" count="1" selected="0">
            <x v="149"/>
          </reference>
          <reference field="15" count="1">
            <x v="140"/>
          </reference>
        </references>
      </pivotArea>
    </format>
    <format dxfId="460">
      <pivotArea dataOnly="0" labelOnly="1" fieldPosition="0">
        <references count="5">
          <reference field="4" count="1" selected="0">
            <x v="2"/>
          </reference>
          <reference field="6" count="1" selected="0">
            <x v="2"/>
          </reference>
          <reference field="7" count="1" selected="0">
            <x v="29"/>
          </reference>
          <reference field="8" count="1" selected="0">
            <x v="150"/>
          </reference>
          <reference field="15" count="1">
            <x v="144"/>
          </reference>
        </references>
      </pivotArea>
    </format>
    <format dxfId="459">
      <pivotArea dataOnly="0" labelOnly="1" fieldPosition="0">
        <references count="5">
          <reference field="4" count="1" selected="0">
            <x v="2"/>
          </reference>
          <reference field="6" count="1" selected="0">
            <x v="2"/>
          </reference>
          <reference field="7" count="1" selected="0">
            <x v="30"/>
          </reference>
          <reference field="8" count="1" selected="0">
            <x v="152"/>
          </reference>
          <reference field="15" count="2">
            <x v="128"/>
            <x v="129"/>
          </reference>
        </references>
      </pivotArea>
    </format>
    <format dxfId="458">
      <pivotArea dataOnly="0" labelOnly="1" fieldPosition="0">
        <references count="5">
          <reference field="4" count="1" selected="0">
            <x v="2"/>
          </reference>
          <reference field="6" count="1" selected="0">
            <x v="2"/>
          </reference>
          <reference field="7" count="1" selected="0">
            <x v="30"/>
          </reference>
          <reference field="8" count="1" selected="0">
            <x v="153"/>
          </reference>
          <reference field="15" count="1">
            <x v="141"/>
          </reference>
        </references>
      </pivotArea>
    </format>
    <format dxfId="457">
      <pivotArea dataOnly="0" labelOnly="1" fieldPosition="0">
        <references count="5">
          <reference field="4" count="1" selected="0">
            <x v="2"/>
          </reference>
          <reference field="6" count="1" selected="0">
            <x v="3"/>
          </reference>
          <reference field="7" count="1" selected="0">
            <x v="5"/>
          </reference>
          <reference field="8" count="1" selected="0">
            <x v="24"/>
          </reference>
          <reference field="15" count="1">
            <x v="339"/>
          </reference>
        </references>
      </pivotArea>
    </format>
    <format dxfId="456">
      <pivotArea dataOnly="0" labelOnly="1" fieldPosition="0">
        <references count="5">
          <reference field="4" count="1" selected="0">
            <x v="2"/>
          </reference>
          <reference field="6" count="1" selected="0">
            <x v="3"/>
          </reference>
          <reference field="7" count="1" selected="0">
            <x v="7"/>
          </reference>
          <reference field="8" count="1" selected="0">
            <x v="31"/>
          </reference>
          <reference field="15" count="2">
            <x v="391"/>
            <x v="392"/>
          </reference>
        </references>
      </pivotArea>
    </format>
    <format dxfId="455">
      <pivotArea dataOnly="0" labelOnly="1" fieldPosition="0">
        <references count="5">
          <reference field="4" count="1" selected="0">
            <x v="2"/>
          </reference>
          <reference field="6" count="1" selected="0">
            <x v="3"/>
          </reference>
          <reference field="7" count="1" selected="0">
            <x v="7"/>
          </reference>
          <reference field="8" count="1" selected="0">
            <x v="32"/>
          </reference>
          <reference field="15" count="1">
            <x v="371"/>
          </reference>
        </references>
      </pivotArea>
    </format>
    <format dxfId="454">
      <pivotArea dataOnly="0" labelOnly="1" fieldPosition="0">
        <references count="5">
          <reference field="4" count="1" selected="0">
            <x v="2"/>
          </reference>
          <reference field="6" count="1" selected="0">
            <x v="4"/>
          </reference>
          <reference field="7" count="1" selected="0">
            <x v="8"/>
          </reference>
          <reference field="8" count="1" selected="0">
            <x v="36"/>
          </reference>
          <reference field="15" count="1">
            <x v="379"/>
          </reference>
        </references>
      </pivotArea>
    </format>
    <format dxfId="453">
      <pivotArea dataOnly="0" labelOnly="1" fieldPosition="0">
        <references count="5">
          <reference field="4" count="1" selected="0">
            <x v="2"/>
          </reference>
          <reference field="6" count="1" selected="0">
            <x v="4"/>
          </reference>
          <reference field="7" count="1" selected="0">
            <x v="8"/>
          </reference>
          <reference field="8" count="1" selected="0">
            <x v="39"/>
          </reference>
          <reference field="15" count="1">
            <x v="378"/>
          </reference>
        </references>
      </pivotArea>
    </format>
    <format dxfId="452">
      <pivotArea dataOnly="0" labelOnly="1" fieldPosition="0">
        <references count="5">
          <reference field="4" count="1" selected="0">
            <x v="3"/>
          </reference>
          <reference field="6" count="1" selected="0">
            <x v="3"/>
          </reference>
          <reference field="7" count="1" selected="0">
            <x v="6"/>
          </reference>
          <reference field="8" count="1" selected="0">
            <x v="29"/>
          </reference>
          <reference field="15" count="41">
            <x v="0"/>
            <x v="1"/>
            <x v="167"/>
            <x v="175"/>
            <x v="176"/>
            <x v="177"/>
            <x v="178"/>
            <x v="179"/>
            <x v="180"/>
            <x v="181"/>
            <x v="182"/>
            <x v="201"/>
            <x v="202"/>
            <x v="205"/>
            <x v="206"/>
            <x v="207"/>
            <x v="208"/>
            <x v="209"/>
            <x v="210"/>
            <x v="211"/>
            <x v="212"/>
            <x v="213"/>
            <x v="214"/>
            <x v="215"/>
            <x v="216"/>
            <x v="217"/>
            <x v="218"/>
            <x v="219"/>
            <x v="220"/>
            <x v="221"/>
            <x v="224"/>
            <x v="225"/>
            <x v="226"/>
            <x v="227"/>
            <x v="228"/>
            <x v="393"/>
            <x v="394"/>
            <x v="396"/>
            <x v="397"/>
            <x v="398"/>
            <x v="399"/>
          </reference>
        </references>
      </pivotArea>
    </format>
    <format dxfId="451">
      <pivotArea dataOnly="0" labelOnly="1" fieldPosition="0">
        <references count="5">
          <reference field="4" count="1" selected="0">
            <x v="4"/>
          </reference>
          <reference field="6" count="1" selected="0">
            <x v="0"/>
          </reference>
          <reference field="7" count="1" selected="0">
            <x v="21"/>
          </reference>
          <reference field="8" count="1" selected="0">
            <x v="87"/>
          </reference>
          <reference field="15" count="8">
            <x v="126"/>
            <x v="293"/>
            <x v="305"/>
            <x v="306"/>
            <x v="317"/>
            <x v="388"/>
            <x v="389"/>
            <x v="390"/>
          </reference>
        </references>
      </pivotArea>
    </format>
    <format dxfId="450">
      <pivotArea dataOnly="0" labelOnly="1" fieldPosition="0">
        <references count="5">
          <reference field="4" count="1" selected="0">
            <x v="4"/>
          </reference>
          <reference field="6" count="1" selected="0">
            <x v="0"/>
          </reference>
          <reference field="7" count="1" selected="0">
            <x v="21"/>
          </reference>
          <reference field="8" count="1" selected="0">
            <x v="88"/>
          </reference>
          <reference field="15" count="3">
            <x v="291"/>
            <x v="292"/>
            <x v="301"/>
          </reference>
        </references>
      </pivotArea>
    </format>
    <format dxfId="449">
      <pivotArea dataOnly="0" labelOnly="1" fieldPosition="0">
        <references count="5">
          <reference field="4" count="1" selected="0">
            <x v="4"/>
          </reference>
          <reference field="6" count="1" selected="0">
            <x v="0"/>
          </reference>
          <reference field="7" count="1" selected="0">
            <x v="21"/>
          </reference>
          <reference field="8" count="1" selected="0">
            <x v="89"/>
          </reference>
          <reference field="15" count="1">
            <x v="310"/>
          </reference>
        </references>
      </pivotArea>
    </format>
    <format dxfId="448">
      <pivotArea dataOnly="0" labelOnly="1" fieldPosition="0">
        <references count="5">
          <reference field="4" count="1" selected="0">
            <x v="4"/>
          </reference>
          <reference field="6" count="1" selected="0">
            <x v="0"/>
          </reference>
          <reference field="7" count="1" selected="0">
            <x v="21"/>
          </reference>
          <reference field="8" count="1" selected="0">
            <x v="90"/>
          </reference>
          <reference field="15" count="1">
            <x v="385"/>
          </reference>
        </references>
      </pivotArea>
    </format>
    <format dxfId="447">
      <pivotArea dataOnly="0" labelOnly="1" fieldPosition="0">
        <references count="5">
          <reference field="4" count="1" selected="0">
            <x v="4"/>
          </reference>
          <reference field="6" count="1" selected="0">
            <x v="0"/>
          </reference>
          <reference field="7" count="1" selected="0">
            <x v="21"/>
          </reference>
          <reference field="8" count="1" selected="0">
            <x v="91"/>
          </reference>
          <reference field="15" count="2">
            <x v="264"/>
            <x v="265"/>
          </reference>
        </references>
      </pivotArea>
    </format>
    <format dxfId="446">
      <pivotArea dataOnly="0" labelOnly="1" fieldPosition="0">
        <references count="5">
          <reference field="4" count="1" selected="0">
            <x v="4"/>
          </reference>
          <reference field="6" count="1" selected="0">
            <x v="1"/>
          </reference>
          <reference field="7" count="1" selected="0">
            <x v="24"/>
          </reference>
          <reference field="8" count="1" selected="0">
            <x v="114"/>
          </reference>
          <reference field="15" count="1">
            <x v="263"/>
          </reference>
        </references>
      </pivotArea>
    </format>
    <format dxfId="445">
      <pivotArea dataOnly="0" labelOnly="1" fieldPosition="0">
        <references count="5">
          <reference field="4" count="1" selected="0">
            <x v="4"/>
          </reference>
          <reference field="6" count="1" selected="0">
            <x v="2"/>
          </reference>
          <reference field="7" count="1" selected="0">
            <x v="29"/>
          </reference>
          <reference field="8" count="1" selected="0">
            <x v="142"/>
          </reference>
          <reference field="15" count="1">
            <x v="283"/>
          </reference>
        </references>
      </pivotArea>
    </format>
    <format dxfId="444">
      <pivotArea dataOnly="0" labelOnly="1" fieldPosition="0">
        <references count="5">
          <reference field="4" count="1" selected="0">
            <x v="4"/>
          </reference>
          <reference field="6" count="1" selected="0">
            <x v="2"/>
          </reference>
          <reference field="7" count="1" selected="0">
            <x v="29"/>
          </reference>
          <reference field="8" count="1" selected="0">
            <x v="143"/>
          </reference>
          <reference field="15" count="2">
            <x v="289"/>
            <x v="314"/>
          </reference>
        </references>
      </pivotArea>
    </format>
    <format dxfId="443">
      <pivotArea dataOnly="0" labelOnly="1" fieldPosition="0">
        <references count="5">
          <reference field="4" count="1" selected="0">
            <x v="4"/>
          </reference>
          <reference field="6" count="1" selected="0">
            <x v="2"/>
          </reference>
          <reference field="7" count="1" selected="0">
            <x v="29"/>
          </reference>
          <reference field="8" count="1" selected="0">
            <x v="151"/>
          </reference>
          <reference field="15" count="1">
            <x v="387"/>
          </reference>
        </references>
      </pivotArea>
    </format>
    <format dxfId="442">
      <pivotArea dataOnly="0" labelOnly="1" fieldPosition="0">
        <references count="5">
          <reference field="4" count="1" selected="0">
            <x v="4"/>
          </reference>
          <reference field="6" count="1" selected="0">
            <x v="2"/>
          </reference>
          <reference field="7" count="1" selected="0">
            <x v="31"/>
          </reference>
          <reference field="8" count="1" selected="0">
            <x v="155"/>
          </reference>
          <reference field="15" count="4">
            <x v="235"/>
            <x v="303"/>
            <x v="374"/>
            <x v="386"/>
          </reference>
        </references>
      </pivotArea>
    </format>
    <format dxfId="441">
      <pivotArea dataOnly="0" labelOnly="1" fieldPosition="0">
        <references count="5">
          <reference field="4" count="1" selected="0">
            <x v="4"/>
          </reference>
          <reference field="6" count="1" selected="0">
            <x v="2"/>
          </reference>
          <reference field="7" count="1" selected="0">
            <x v="31"/>
          </reference>
          <reference field="8" count="1" selected="0">
            <x v="156"/>
          </reference>
          <reference field="15" count="1">
            <x v="304"/>
          </reference>
        </references>
      </pivotArea>
    </format>
    <format dxfId="440">
      <pivotArea dataOnly="0" labelOnly="1" fieldPosition="0">
        <references count="5">
          <reference field="4" count="1" selected="0">
            <x v="4"/>
          </reference>
          <reference field="6" count="1" selected="0">
            <x v="2"/>
          </reference>
          <reference field="7" count="1" selected="0">
            <x v="31"/>
          </reference>
          <reference field="8" count="1" selected="0">
            <x v="157"/>
          </reference>
          <reference field="15" count="1">
            <x v="302"/>
          </reference>
        </references>
      </pivotArea>
    </format>
    <format dxfId="439">
      <pivotArea dataOnly="0" labelOnly="1" fieldPosition="0">
        <references count="5">
          <reference field="4" count="1" selected="0">
            <x v="4"/>
          </reference>
          <reference field="6" count="1" selected="0">
            <x v="3"/>
          </reference>
          <reference field="7" count="1" selected="0">
            <x v="0"/>
          </reference>
          <reference field="8" count="1" selected="0">
            <x v="0"/>
          </reference>
          <reference field="15" count="2">
            <x v="125"/>
            <x v="269"/>
          </reference>
        </references>
      </pivotArea>
    </format>
    <format dxfId="438">
      <pivotArea dataOnly="0" labelOnly="1" fieldPosition="0">
        <references count="5">
          <reference field="4" count="1" selected="0">
            <x v="4"/>
          </reference>
          <reference field="6" count="1" selected="0">
            <x v="3"/>
          </reference>
          <reference field="7" count="1" selected="0">
            <x v="0"/>
          </reference>
          <reference field="8" count="1" selected="0">
            <x v="1"/>
          </reference>
          <reference field="15" count="1">
            <x v="382"/>
          </reference>
        </references>
      </pivotArea>
    </format>
    <format dxfId="437">
      <pivotArea dataOnly="0" labelOnly="1" fieldPosition="0">
        <references count="5">
          <reference field="4" count="1" selected="0">
            <x v="4"/>
          </reference>
          <reference field="6" count="1" selected="0">
            <x v="3"/>
          </reference>
          <reference field="7" count="1" selected="0">
            <x v="1"/>
          </reference>
          <reference field="8" count="1" selected="0">
            <x v="2"/>
          </reference>
          <reference field="15" count="1">
            <x v="282"/>
          </reference>
        </references>
      </pivotArea>
    </format>
    <format dxfId="436">
      <pivotArea dataOnly="0" labelOnly="1" fieldPosition="0">
        <references count="5">
          <reference field="4" count="1" selected="0">
            <x v="4"/>
          </reference>
          <reference field="6" count="1" selected="0">
            <x v="3"/>
          </reference>
          <reference field="7" count="1" selected="0">
            <x v="1"/>
          </reference>
          <reference field="8" count="1" selected="0">
            <x v="3"/>
          </reference>
          <reference field="15" count="1">
            <x v="384"/>
          </reference>
        </references>
      </pivotArea>
    </format>
    <format dxfId="435">
      <pivotArea dataOnly="0" labelOnly="1" fieldPosition="0">
        <references count="5">
          <reference field="4" count="1" selected="0">
            <x v="4"/>
          </reference>
          <reference field="6" count="1" selected="0">
            <x v="3"/>
          </reference>
          <reference field="7" count="1" selected="0">
            <x v="1"/>
          </reference>
          <reference field="8" count="1" selected="0">
            <x v="4"/>
          </reference>
          <reference field="15" count="1">
            <x v="298"/>
          </reference>
        </references>
      </pivotArea>
    </format>
    <format dxfId="434">
      <pivotArea dataOnly="0" labelOnly="1" fieldPosition="0">
        <references count="5">
          <reference field="4" count="1" selected="0">
            <x v="4"/>
          </reference>
          <reference field="6" count="1" selected="0">
            <x v="3"/>
          </reference>
          <reference field="7" count="1" selected="0">
            <x v="1"/>
          </reference>
          <reference field="8" count="1" selected="0">
            <x v="5"/>
          </reference>
          <reference field="15" count="2">
            <x v="381"/>
            <x v="383"/>
          </reference>
        </references>
      </pivotArea>
    </format>
    <format dxfId="433">
      <pivotArea dataOnly="0" labelOnly="1" fieldPosition="0">
        <references count="5">
          <reference field="4" count="1" selected="0">
            <x v="5"/>
          </reference>
          <reference field="6" count="1" selected="0">
            <x v="0"/>
          </reference>
          <reference field="7" count="1" selected="0">
            <x v="18"/>
          </reference>
          <reference field="8" count="1" selected="0">
            <x v="73"/>
          </reference>
          <reference field="15" count="3">
            <x v="245"/>
            <x v="246"/>
            <x v="313"/>
          </reference>
        </references>
      </pivotArea>
    </format>
    <format dxfId="432">
      <pivotArea dataOnly="0" labelOnly="1" fieldPosition="0">
        <references count="5">
          <reference field="4" count="1" selected="0">
            <x v="5"/>
          </reference>
          <reference field="6" count="1" selected="0">
            <x v="0"/>
          </reference>
          <reference field="7" count="1" selected="0">
            <x v="18"/>
          </reference>
          <reference field="8" count="1" selected="0">
            <x v="74"/>
          </reference>
          <reference field="15" count="1">
            <x v="230"/>
          </reference>
        </references>
      </pivotArea>
    </format>
    <format dxfId="431">
      <pivotArea dataOnly="0" labelOnly="1" fieldPosition="0">
        <references count="5">
          <reference field="4" count="1" selected="0">
            <x v="5"/>
          </reference>
          <reference field="6" count="1" selected="0">
            <x v="0"/>
          </reference>
          <reference field="7" count="1" selected="0">
            <x v="18"/>
          </reference>
          <reference field="8" count="1" selected="0">
            <x v="77"/>
          </reference>
          <reference field="15" count="2">
            <x v="276"/>
            <x v="277"/>
          </reference>
        </references>
      </pivotArea>
    </format>
    <format dxfId="430">
      <pivotArea dataOnly="0" labelOnly="1" fieldPosition="0">
        <references count="5">
          <reference field="4" count="1" selected="0">
            <x v="5"/>
          </reference>
          <reference field="6" count="1" selected="0">
            <x v="0"/>
          </reference>
          <reference field="7" count="1" selected="0">
            <x v="22"/>
          </reference>
          <reference field="8" count="1" selected="0">
            <x v="94"/>
          </reference>
          <reference field="15" count="1">
            <x v="164"/>
          </reference>
        </references>
      </pivotArea>
    </format>
    <format dxfId="429">
      <pivotArea dataOnly="0" labelOnly="1" fieldPosition="0">
        <references count="5">
          <reference field="4" count="1" selected="0">
            <x v="5"/>
          </reference>
          <reference field="6" count="1" selected="0">
            <x v="4"/>
          </reference>
          <reference field="7" count="1" selected="0">
            <x v="8"/>
          </reference>
          <reference field="8" count="1" selected="0">
            <x v="37"/>
          </reference>
          <reference field="15" count="1">
            <x v="222"/>
          </reference>
        </references>
      </pivotArea>
    </format>
    <format dxfId="428">
      <pivotArea dataOnly="0" labelOnly="1" fieldPosition="0">
        <references count="5">
          <reference field="4" count="1" selected="0">
            <x v="6"/>
          </reference>
          <reference field="6" count="1" selected="0">
            <x v="1"/>
          </reference>
          <reference field="7" count="1" selected="0">
            <x v="24"/>
          </reference>
          <reference field="8" count="1" selected="0">
            <x v="105"/>
          </reference>
          <reference field="15" count="13">
            <x v="24"/>
            <x v="25"/>
            <x v="31"/>
            <x v="37"/>
            <x v="44"/>
            <x v="45"/>
            <x v="48"/>
            <x v="49"/>
            <x v="50"/>
            <x v="56"/>
            <x v="66"/>
            <x v="100"/>
            <x v="101"/>
          </reference>
        </references>
      </pivotArea>
    </format>
    <format dxfId="427">
      <pivotArea dataOnly="0" labelOnly="1" fieldPosition="0">
        <references count="5">
          <reference field="4" count="1" selected="0">
            <x v="6"/>
          </reference>
          <reference field="6" count="1" selected="0">
            <x v="1"/>
          </reference>
          <reference field="7" count="1" selected="0">
            <x v="24"/>
          </reference>
          <reference field="8" count="1" selected="0">
            <x v="107"/>
          </reference>
          <reference field="15" count="3">
            <x v="118"/>
            <x v="123"/>
            <x v="165"/>
          </reference>
        </references>
      </pivotArea>
    </format>
    <format dxfId="426">
      <pivotArea dataOnly="0" labelOnly="1" fieldPosition="0">
        <references count="5">
          <reference field="4" count="1" selected="0">
            <x v="6"/>
          </reference>
          <reference field="6" count="1" selected="0">
            <x v="1"/>
          </reference>
          <reference field="7" count="1" selected="0">
            <x v="24"/>
          </reference>
          <reference field="8" count="1" selected="0">
            <x v="108"/>
          </reference>
          <reference field="15" count="2">
            <x v="97"/>
            <x v="119"/>
          </reference>
        </references>
      </pivotArea>
    </format>
    <format dxfId="425">
      <pivotArea dataOnly="0" labelOnly="1" fieldPosition="0">
        <references count="5">
          <reference field="4" count="1" selected="0">
            <x v="6"/>
          </reference>
          <reference field="6" count="1" selected="0">
            <x v="1"/>
          </reference>
          <reference field="7" count="1" selected="0">
            <x v="24"/>
          </reference>
          <reference field="8" count="1" selected="0">
            <x v="109"/>
          </reference>
          <reference field="15" count="2">
            <x v="96"/>
            <x v="327"/>
          </reference>
        </references>
      </pivotArea>
    </format>
    <format dxfId="424">
      <pivotArea dataOnly="0" labelOnly="1" fieldPosition="0">
        <references count="5">
          <reference field="4" count="1" selected="0">
            <x v="6"/>
          </reference>
          <reference field="6" count="1" selected="0">
            <x v="1"/>
          </reference>
          <reference field="7" count="1" selected="0">
            <x v="24"/>
          </reference>
          <reference field="8" count="1" selected="0">
            <x v="110"/>
          </reference>
          <reference field="15" count="2">
            <x v="115"/>
            <x v="324"/>
          </reference>
        </references>
      </pivotArea>
    </format>
    <format dxfId="423">
      <pivotArea dataOnly="0" labelOnly="1" fieldPosition="0">
        <references count="5">
          <reference field="4" count="1" selected="0">
            <x v="6"/>
          </reference>
          <reference field="6" count="1" selected="0">
            <x v="1"/>
          </reference>
          <reference field="7" count="1" selected="0">
            <x v="24"/>
          </reference>
          <reference field="8" count="1" selected="0">
            <x v="111"/>
          </reference>
          <reference field="15" count="1">
            <x v="326"/>
          </reference>
        </references>
      </pivotArea>
    </format>
    <format dxfId="422">
      <pivotArea dataOnly="0" labelOnly="1" fieldPosition="0">
        <references count="5">
          <reference field="4" count="1" selected="0">
            <x v="6"/>
          </reference>
          <reference field="6" count="1" selected="0">
            <x v="1"/>
          </reference>
          <reference field="7" count="1" selected="0">
            <x v="24"/>
          </reference>
          <reference field="8" count="1" selected="0">
            <x v="112"/>
          </reference>
          <reference field="15" count="5">
            <x v="80"/>
            <x v="120"/>
            <x v="121"/>
            <x v="122"/>
            <x v="135"/>
          </reference>
        </references>
      </pivotArea>
    </format>
    <format dxfId="421">
      <pivotArea dataOnly="0" labelOnly="1" fieldPosition="0">
        <references count="5">
          <reference field="4" count="1" selected="0">
            <x v="6"/>
          </reference>
          <reference field="6" count="1" selected="0">
            <x v="1"/>
          </reference>
          <reference field="7" count="1" selected="0">
            <x v="24"/>
          </reference>
          <reference field="8" count="1" selected="0">
            <x v="113"/>
          </reference>
          <reference field="15" count="3">
            <x v="67"/>
            <x v="84"/>
            <x v="166"/>
          </reference>
        </references>
      </pivotArea>
    </format>
    <format dxfId="420">
      <pivotArea dataOnly="0" labelOnly="1" fieldPosition="0">
        <references count="5">
          <reference field="4" count="1" selected="0">
            <x v="7"/>
          </reference>
          <reference field="6" count="1" selected="0">
            <x v="0"/>
          </reference>
          <reference field="7" count="1" selected="0">
            <x v="16"/>
          </reference>
          <reference field="8" count="1" selected="0">
            <x v="64"/>
          </reference>
          <reference field="15" count="3">
            <x v="274"/>
            <x v="278"/>
            <x v="325"/>
          </reference>
        </references>
      </pivotArea>
    </format>
    <format dxfId="419">
      <pivotArea dataOnly="0" labelOnly="1" fieldPosition="0">
        <references count="5">
          <reference field="4" count="1" selected="0">
            <x v="7"/>
          </reference>
          <reference field="6" count="1" selected="0">
            <x v="2"/>
          </reference>
          <reference field="7" count="1" selected="0">
            <x v="29"/>
          </reference>
          <reference field="8" count="1" selected="0">
            <x v="140"/>
          </reference>
          <reference field="15" count="1">
            <x v="53"/>
          </reference>
        </references>
      </pivotArea>
    </format>
    <format dxfId="418">
      <pivotArea dataOnly="0" labelOnly="1" fieldPosition="0">
        <references count="5">
          <reference field="4" count="1" selected="0">
            <x v="7"/>
          </reference>
          <reference field="6" count="1" selected="0">
            <x v="2"/>
          </reference>
          <reference field="7" count="1" selected="0">
            <x v="29"/>
          </reference>
          <reference field="8" count="1" selected="0">
            <x v="141"/>
          </reference>
          <reference field="15" count="1">
            <x v="279"/>
          </reference>
        </references>
      </pivotArea>
    </format>
    <format dxfId="417">
      <pivotArea dataOnly="0" labelOnly="1" fieldPosition="0">
        <references count="5">
          <reference field="4" count="1" selected="0">
            <x v="7"/>
          </reference>
          <reference field="6" count="1" selected="0">
            <x v="2"/>
          </reference>
          <reference field="7" count="1" selected="0">
            <x v="29"/>
          </reference>
          <reference field="8" count="1" selected="0">
            <x v="144"/>
          </reference>
          <reference field="15" count="1">
            <x v="52"/>
          </reference>
        </references>
      </pivotArea>
    </format>
    <format dxfId="416">
      <pivotArea dataOnly="0" labelOnly="1" fieldPosition="0">
        <references count="5">
          <reference field="4" count="1" selected="0">
            <x v="7"/>
          </reference>
          <reference field="6" count="1" selected="0">
            <x v="2"/>
          </reference>
          <reference field="7" count="1" selected="0">
            <x v="29"/>
          </reference>
          <reference field="8" count="1" selected="0">
            <x v="145"/>
          </reference>
          <reference field="15" count="1">
            <x v="51"/>
          </reference>
        </references>
      </pivotArea>
    </format>
    <format dxfId="415">
      <pivotArea dataOnly="0" labelOnly="1" fieldPosition="0">
        <references count="5">
          <reference field="4" count="1" selected="0">
            <x v="7"/>
          </reference>
          <reference field="6" count="1" selected="0">
            <x v="2"/>
          </reference>
          <reference field="7" count="1" selected="0">
            <x v="30"/>
          </reference>
          <reference field="8" count="1" selected="0">
            <x v="154"/>
          </reference>
          <reference field="15" count="1">
            <x v="275"/>
          </reference>
        </references>
      </pivotArea>
    </format>
    <format dxfId="414">
      <pivotArea dataOnly="0" labelOnly="1" fieldPosition="0">
        <references count="5">
          <reference field="4" count="1" selected="0">
            <x v="7"/>
          </reference>
          <reference field="6" count="1" selected="0">
            <x v="3"/>
          </reference>
          <reference field="7" count="1" selected="0">
            <x v="6"/>
          </reference>
          <reference field="8" count="1" selected="0">
            <x v="28"/>
          </reference>
          <reference field="15" count="3">
            <x v="318"/>
            <x v="319"/>
            <x v="320"/>
          </reference>
        </references>
      </pivotArea>
    </format>
    <format dxfId="413">
      <pivotArea dataOnly="0" labelOnly="1" fieldPosition="0">
        <references count="5">
          <reference field="4" count="1" selected="0">
            <x v="7"/>
          </reference>
          <reference field="6" count="1" selected="0">
            <x v="4"/>
          </reference>
          <reference field="7" count="1" selected="0">
            <x v="8"/>
          </reference>
          <reference field="8" count="1" selected="0">
            <x v="35"/>
          </reference>
          <reference field="15" count="1">
            <x v="337"/>
          </reference>
        </references>
      </pivotArea>
    </format>
    <format dxfId="412">
      <pivotArea dataOnly="0" labelOnly="1" fieldPosition="0">
        <references count="5">
          <reference field="4" count="1" selected="0">
            <x v="7"/>
          </reference>
          <reference field="6" count="1" selected="0">
            <x v="4"/>
          </reference>
          <reference field="7" count="1" selected="0">
            <x v="8"/>
          </reference>
          <reference field="8" count="1" selected="0">
            <x v="36"/>
          </reference>
          <reference field="15" count="1">
            <x v="280"/>
          </reference>
        </references>
      </pivotArea>
    </format>
    <format dxfId="411">
      <pivotArea dataOnly="0" labelOnly="1" fieldPosition="0">
        <references count="5">
          <reference field="4" count="1" selected="0">
            <x v="7"/>
          </reference>
          <reference field="6" count="1" selected="0">
            <x v="4"/>
          </reference>
          <reference field="7" count="1" selected="0">
            <x v="9"/>
          </reference>
          <reference field="8" count="1" selected="0">
            <x v="40"/>
          </reference>
          <reference field="15" count="3">
            <x v="311"/>
            <x v="312"/>
            <x v="334"/>
          </reference>
        </references>
      </pivotArea>
    </format>
    <format dxfId="410">
      <pivotArea dataOnly="0" labelOnly="1" fieldPosition="0">
        <references count="5">
          <reference field="4" count="1" selected="0">
            <x v="7"/>
          </reference>
          <reference field="6" count="1" selected="0">
            <x v="4"/>
          </reference>
          <reference field="7" count="1" selected="0">
            <x v="9"/>
          </reference>
          <reference field="8" count="1" selected="0">
            <x v="41"/>
          </reference>
          <reference field="15" count="1">
            <x v="328"/>
          </reference>
        </references>
      </pivotArea>
    </format>
    <format dxfId="409">
      <pivotArea dataOnly="0" labelOnly="1" fieldPosition="0">
        <references count="5">
          <reference field="4" count="1" selected="0">
            <x v="7"/>
          </reference>
          <reference field="6" count="1" selected="0">
            <x v="4"/>
          </reference>
          <reference field="7" count="1" selected="0">
            <x v="9"/>
          </reference>
          <reference field="8" count="1" selected="0">
            <x v="42"/>
          </reference>
          <reference field="15" count="1">
            <x v="329"/>
          </reference>
        </references>
      </pivotArea>
    </format>
    <format dxfId="408">
      <pivotArea dataOnly="0" labelOnly="1" fieldPosition="0">
        <references count="5">
          <reference field="4" count="1" selected="0">
            <x v="7"/>
          </reference>
          <reference field="6" count="1" selected="0">
            <x v="4"/>
          </reference>
          <reference field="7" count="1" selected="0">
            <x v="9"/>
          </reference>
          <reference field="8" count="1" selected="0">
            <x v="43"/>
          </reference>
          <reference field="15" count="1">
            <x v="321"/>
          </reference>
        </references>
      </pivotArea>
    </format>
    <format dxfId="407">
      <pivotArea dataOnly="0" labelOnly="1" fieldPosition="0">
        <references count="5">
          <reference field="4" count="1" selected="0">
            <x v="7"/>
          </reference>
          <reference field="6" count="1" selected="0">
            <x v="4"/>
          </reference>
          <reference field="7" count="1" selected="0">
            <x v="10"/>
          </reference>
          <reference field="8" count="1" selected="0">
            <x v="44"/>
          </reference>
          <reference field="15" count="2">
            <x v="57"/>
            <x v="58"/>
          </reference>
        </references>
      </pivotArea>
    </format>
    <format dxfId="406">
      <pivotArea dataOnly="0" labelOnly="1" fieldPosition="0">
        <references count="5">
          <reference field="4" count="1" selected="0">
            <x v="7"/>
          </reference>
          <reference field="6" count="1" selected="0">
            <x v="4"/>
          </reference>
          <reference field="7" count="1" selected="0">
            <x v="10"/>
          </reference>
          <reference field="8" count="1" selected="0">
            <x v="45"/>
          </reference>
          <reference field="15" count="1">
            <x v="55"/>
          </reference>
        </references>
      </pivotArea>
    </format>
    <format dxfId="405">
      <pivotArea dataOnly="0" labelOnly="1" fieldPosition="0">
        <references count="5">
          <reference field="4" count="1" selected="0">
            <x v="7"/>
          </reference>
          <reference field="6" count="1" selected="0">
            <x v="4"/>
          </reference>
          <reference field="7" count="1" selected="0">
            <x v="10"/>
          </reference>
          <reference field="8" count="1" selected="0">
            <x v="46"/>
          </reference>
          <reference field="15" count="1">
            <x v="59"/>
          </reference>
        </references>
      </pivotArea>
    </format>
    <format dxfId="404">
      <pivotArea dataOnly="0" labelOnly="1" fieldPosition="0">
        <references count="5">
          <reference field="4" count="1" selected="0">
            <x v="7"/>
          </reference>
          <reference field="6" count="1" selected="0">
            <x v="4"/>
          </reference>
          <reference field="7" count="1" selected="0">
            <x v="10"/>
          </reference>
          <reference field="8" count="1" selected="0">
            <x v="47"/>
          </reference>
          <reference field="15" count="1">
            <x v="54"/>
          </reference>
        </references>
      </pivotArea>
    </format>
    <format dxfId="403">
      <pivotArea dataOnly="0" labelOnly="1" fieldPosition="0">
        <references count="5">
          <reference field="4" count="1" selected="0">
            <x v="7"/>
          </reference>
          <reference field="6" count="1" selected="0">
            <x v="4"/>
          </reference>
          <reference field="7" count="1" selected="0">
            <x v="11"/>
          </reference>
          <reference field="8" count="1" selected="0">
            <x v="48"/>
          </reference>
          <reference field="15" count="1">
            <x v="88"/>
          </reference>
        </references>
      </pivotArea>
    </format>
    <format dxfId="402">
      <pivotArea dataOnly="0" labelOnly="1" fieldPosition="0">
        <references count="5">
          <reference field="4" count="1" selected="0">
            <x v="7"/>
          </reference>
          <reference field="6" count="1" selected="0">
            <x v="4"/>
          </reference>
          <reference field="7" count="1" selected="0">
            <x v="11"/>
          </reference>
          <reference field="8" count="1" selected="0">
            <x v="49"/>
          </reference>
          <reference field="15" count="1">
            <x v="86"/>
          </reference>
        </references>
      </pivotArea>
    </format>
    <format dxfId="401">
      <pivotArea dataOnly="0" labelOnly="1" fieldPosition="0">
        <references count="5">
          <reference field="4" count="1" selected="0">
            <x v="7"/>
          </reference>
          <reference field="6" count="1" selected="0">
            <x v="4"/>
          </reference>
          <reference field="7" count="1" selected="0">
            <x v="12"/>
          </reference>
          <reference field="8" count="1" selected="0">
            <x v="50"/>
          </reference>
          <reference field="15" count="3">
            <x v="64"/>
            <x v="65"/>
            <x v="136"/>
          </reference>
        </references>
      </pivotArea>
    </format>
    <format dxfId="400">
      <pivotArea dataOnly="0" labelOnly="1" fieldPosition="0">
        <references count="5">
          <reference field="4" count="1" selected="0">
            <x v="7"/>
          </reference>
          <reference field="6" count="1" selected="0">
            <x v="4"/>
          </reference>
          <reference field="7" count="1" selected="0">
            <x v="13"/>
          </reference>
          <reference field="8" count="1" selected="0">
            <x v="51"/>
          </reference>
          <reference field="15" count="1">
            <x v="307"/>
          </reference>
        </references>
      </pivotArea>
    </format>
    <format dxfId="399">
      <pivotArea dataOnly="0" labelOnly="1" fieldPosition="0">
        <references count="5">
          <reference field="4" count="1" selected="0">
            <x v="7"/>
          </reference>
          <reference field="6" count="1" selected="0">
            <x v="4"/>
          </reference>
          <reference field="7" count="1" selected="0">
            <x v="13"/>
          </reference>
          <reference field="8" count="1" selected="0">
            <x v="52"/>
          </reference>
          <reference field="15" count="1">
            <x v="309"/>
          </reference>
        </references>
      </pivotArea>
    </format>
    <format dxfId="398">
      <pivotArea dataOnly="0" labelOnly="1" fieldPosition="0">
        <references count="5">
          <reference field="4" count="1" selected="0">
            <x v="7"/>
          </reference>
          <reference field="6" count="1" selected="0">
            <x v="4"/>
          </reference>
          <reference field="7" count="1" selected="0">
            <x v="13"/>
          </reference>
          <reference field="8" count="1" selected="0">
            <x v="53"/>
          </reference>
          <reference field="15" count="1">
            <x v="308"/>
          </reference>
        </references>
      </pivotArea>
    </format>
    <format dxfId="397">
      <pivotArea dataOnly="0" labelOnly="1" fieldPosition="0">
        <references count="5">
          <reference field="4" count="1" selected="0">
            <x v="7"/>
          </reference>
          <reference field="6" count="1" selected="0">
            <x v="4"/>
          </reference>
          <reference field="7" count="1" selected="0">
            <x v="14"/>
          </reference>
          <reference field="8" count="1" selected="0">
            <x v="54"/>
          </reference>
          <reference field="15" count="1">
            <x v="281"/>
          </reference>
        </references>
      </pivotArea>
    </format>
    <format dxfId="396">
      <pivotArea dataOnly="0" labelOnly="1" fieldPosition="0">
        <references count="5">
          <reference field="4" count="1" selected="0">
            <x v="7"/>
          </reference>
          <reference field="6" count="1" selected="0">
            <x v="4"/>
          </reference>
          <reference field="7" count="1" selected="0">
            <x v="14"/>
          </reference>
          <reference field="8" count="1" selected="0">
            <x v="55"/>
          </reference>
          <reference field="15" count="1">
            <x v="138"/>
          </reference>
        </references>
      </pivotArea>
    </format>
    <format dxfId="395">
      <pivotArea dataOnly="0" labelOnly="1" fieldPosition="0">
        <references count="5">
          <reference field="4" count="1" selected="0">
            <x v="7"/>
          </reference>
          <reference field="6" count="1" selected="0">
            <x v="4"/>
          </reference>
          <reference field="7" count="1" selected="0">
            <x v="15"/>
          </reference>
          <reference field="8" count="1" selected="0">
            <x v="56"/>
          </reference>
          <reference field="15" count="2">
            <x v="335"/>
            <x v="336"/>
          </reference>
        </references>
      </pivotArea>
    </format>
    <format dxfId="394">
      <pivotArea dataOnly="0" labelOnly="1" fieldPosition="0">
        <references count="5">
          <reference field="4" count="1" selected="0">
            <x v="8"/>
          </reference>
          <reference field="6" count="1" selected="0">
            <x v="0"/>
          </reference>
          <reference field="7" count="1" selected="0">
            <x v="18"/>
          </reference>
          <reference field="8" count="1" selected="0">
            <x v="77"/>
          </reference>
          <reference field="15" count="1">
            <x v="290"/>
          </reference>
        </references>
      </pivotArea>
    </format>
    <format dxfId="393">
      <pivotArea dataOnly="0" labelOnly="1" fieldPosition="0">
        <references count="5">
          <reference field="4" count="1" selected="0">
            <x v="8"/>
          </reference>
          <reference field="6" count="1" selected="0">
            <x v="0"/>
          </reference>
          <reference field="7" count="1" selected="0">
            <x v="22"/>
          </reference>
          <reference field="8" count="1" selected="0">
            <x v="92"/>
          </reference>
          <reference field="15" count="4">
            <x v="130"/>
            <x v="359"/>
            <x v="360"/>
            <x v="361"/>
          </reference>
        </references>
      </pivotArea>
    </format>
    <format dxfId="392">
      <pivotArea dataOnly="0" labelOnly="1" fieldPosition="0">
        <references count="5">
          <reference field="4" count="1" selected="0">
            <x v="8"/>
          </reference>
          <reference field="6" count="1" selected="0">
            <x v="0"/>
          </reference>
          <reference field="7" count="1" selected="0">
            <x v="22"/>
          </reference>
          <reference field="8" count="1" selected="0">
            <x v="93"/>
          </reference>
          <reference field="15" count="1">
            <x v="369"/>
          </reference>
        </references>
      </pivotArea>
    </format>
    <format dxfId="391">
      <pivotArea dataOnly="0" labelOnly="1" fieldPosition="0">
        <references count="5">
          <reference field="4" count="1" selected="0">
            <x v="8"/>
          </reference>
          <reference field="6" count="1" selected="0">
            <x v="0"/>
          </reference>
          <reference field="7" count="1" selected="0">
            <x v="22"/>
          </reference>
          <reference field="8" count="1" selected="0">
            <x v="94"/>
          </reference>
          <reference field="15" count="1">
            <x v="273"/>
          </reference>
        </references>
      </pivotArea>
    </format>
    <format dxfId="390">
      <pivotArea dataOnly="0" labelOnly="1" fieldPosition="0">
        <references count="5">
          <reference field="4" count="1" selected="0">
            <x v="8"/>
          </reference>
          <reference field="6" count="1" selected="0">
            <x v="1"/>
          </reference>
          <reference field="7" count="1" selected="0">
            <x v="28"/>
          </reference>
          <reference field="8" count="1" selected="0">
            <x v="138"/>
          </reference>
          <reference field="15" count="3">
            <x v="270"/>
            <x v="343"/>
            <x v="355"/>
          </reference>
        </references>
      </pivotArea>
    </format>
    <format dxfId="389">
      <pivotArea dataOnly="0" labelOnly="1" fieldPosition="0">
        <references count="5">
          <reference field="4" count="1" selected="0">
            <x v="8"/>
          </reference>
          <reference field="6" count="1" selected="0">
            <x v="1"/>
          </reference>
          <reference field="7" count="1" selected="0">
            <x v="28"/>
          </reference>
          <reference field="8" count="1" selected="0">
            <x v="139"/>
          </reference>
          <reference field="15" count="1">
            <x v="147"/>
          </reference>
        </references>
      </pivotArea>
    </format>
    <format dxfId="388">
      <pivotArea dataOnly="0" labelOnly="1" fieldPosition="0">
        <references count="5">
          <reference field="4" count="1" selected="0">
            <x v="8"/>
          </reference>
          <reference field="6" count="1" selected="0">
            <x v="2"/>
          </reference>
          <reference field="7" count="1" selected="0">
            <x v="32"/>
          </reference>
          <reference field="8" count="1" selected="0">
            <x v="158"/>
          </reference>
          <reference field="15" count="1">
            <x v="344"/>
          </reference>
        </references>
      </pivotArea>
    </format>
    <format dxfId="387">
      <pivotArea dataOnly="0" labelOnly="1" fieldPosition="0">
        <references count="5">
          <reference field="4" count="1" selected="0">
            <x v="8"/>
          </reference>
          <reference field="6" count="1" selected="0">
            <x v="2"/>
          </reference>
          <reference field="7" count="1" selected="0">
            <x v="32"/>
          </reference>
          <reference field="8" count="1" selected="0">
            <x v="159"/>
          </reference>
          <reference field="15" count="1">
            <x v="137"/>
          </reference>
        </references>
      </pivotArea>
    </format>
    <format dxfId="386">
      <pivotArea dataOnly="0" labelOnly="1" fieldPosition="0">
        <references count="5">
          <reference field="4" count="1" selected="0">
            <x v="8"/>
          </reference>
          <reference field="6" count="1" selected="0">
            <x v="3"/>
          </reference>
          <reference field="7" count="1" selected="0">
            <x v="6"/>
          </reference>
          <reference field="8" count="1" selected="0">
            <x v="29"/>
          </reference>
          <reference field="15" count="4">
            <x v="145"/>
            <x v="146"/>
            <x v="356"/>
            <x v="357"/>
          </reference>
        </references>
      </pivotArea>
    </format>
    <format dxfId="385">
      <pivotArea dataOnly="0" labelOnly="1" fieldPosition="0">
        <references count="5">
          <reference field="4" count="1" selected="0">
            <x v="8"/>
          </reference>
          <reference field="6" count="1" selected="0">
            <x v="3"/>
          </reference>
          <reference field="7" count="1" selected="0">
            <x v="6"/>
          </reference>
          <reference field="8" count="1" selected="0">
            <x v="30"/>
          </reference>
          <reference field="15" count="2">
            <x v="267"/>
            <x v="268"/>
          </reference>
        </references>
      </pivotArea>
    </format>
    <format dxfId="384">
      <pivotArea dataOnly="0" labelOnly="1" fieldPosition="0">
        <references count="5">
          <reference field="4" count="1" selected="0">
            <x v="9"/>
          </reference>
          <reference field="6" count="1" selected="0">
            <x v="1"/>
          </reference>
          <reference field="7" count="1" selected="0">
            <x v="25"/>
          </reference>
          <reference field="8" count="1" selected="0">
            <x v="115"/>
          </reference>
          <reference field="15" count="13">
            <x v="35"/>
            <x v="36"/>
            <x v="63"/>
            <x v="72"/>
            <x v="77"/>
            <x v="238"/>
            <x v="241"/>
            <x v="242"/>
            <x v="243"/>
            <x v="247"/>
            <x v="248"/>
            <x v="260"/>
            <x v="262"/>
          </reference>
        </references>
      </pivotArea>
    </format>
    <format dxfId="383">
      <pivotArea dataOnly="0" labelOnly="1" fieldPosition="0">
        <references count="5">
          <reference field="4" count="1" selected="0">
            <x v="9"/>
          </reference>
          <reference field="6" count="1" selected="0">
            <x v="1"/>
          </reference>
          <reference field="7" count="1" selected="0">
            <x v="25"/>
          </reference>
          <reference field="8" count="1" selected="0">
            <x v="116"/>
          </reference>
          <reference field="15" count="1">
            <x v="61"/>
          </reference>
        </references>
      </pivotArea>
    </format>
    <format dxfId="382">
      <pivotArea dataOnly="0" labelOnly="1" fieldPosition="0">
        <references count="5">
          <reference field="4" count="1" selected="0">
            <x v="9"/>
          </reference>
          <reference field="6" count="1" selected="0">
            <x v="1"/>
          </reference>
          <reference field="7" count="1" selected="0">
            <x v="25"/>
          </reference>
          <reference field="8" count="1" selected="0">
            <x v="117"/>
          </reference>
          <reference field="15" count="2">
            <x v="92"/>
            <x v="249"/>
          </reference>
        </references>
      </pivotArea>
    </format>
    <format dxfId="381">
      <pivotArea dataOnly="0" labelOnly="1" fieldPosition="0">
        <references count="5">
          <reference field="4" count="1" selected="0">
            <x v="9"/>
          </reference>
          <reference field="6" count="1" selected="0">
            <x v="1"/>
          </reference>
          <reference field="7" count="1" selected="0">
            <x v="25"/>
          </reference>
          <reference field="8" count="1" selected="0">
            <x v="118"/>
          </reference>
          <reference field="15" count="3">
            <x v="71"/>
            <x v="87"/>
            <x v="91"/>
          </reference>
        </references>
      </pivotArea>
    </format>
    <format dxfId="380">
      <pivotArea dataOnly="0" labelOnly="1" fieldPosition="0">
        <references count="5">
          <reference field="4" count="1" selected="0">
            <x v="9"/>
          </reference>
          <reference field="6" count="1" selected="0">
            <x v="1"/>
          </reference>
          <reference field="7" count="1" selected="0">
            <x v="25"/>
          </reference>
          <reference field="8" count="1" selected="0">
            <x v="119"/>
          </reference>
          <reference field="15" count="4">
            <x v="62"/>
            <x v="68"/>
            <x v="69"/>
            <x v="70"/>
          </reference>
        </references>
      </pivotArea>
    </format>
    <format dxfId="379">
      <pivotArea dataOnly="0" labelOnly="1" fieldPosition="0">
        <references count="5">
          <reference field="4" count="1" selected="0">
            <x v="9"/>
          </reference>
          <reference field="6" count="1" selected="0">
            <x v="1"/>
          </reference>
          <reference field="7" count="1" selected="0">
            <x v="25"/>
          </reference>
          <reference field="8" count="1" selected="0">
            <x v="120"/>
          </reference>
          <reference field="15" count="1">
            <x v="85"/>
          </reference>
        </references>
      </pivotArea>
    </format>
    <format dxfId="378">
      <pivotArea dataOnly="0" labelOnly="1" fieldPosition="0">
        <references count="5">
          <reference field="4" count="1" selected="0">
            <x v="9"/>
          </reference>
          <reference field="6" count="1" selected="0">
            <x v="1"/>
          </reference>
          <reference field="7" count="1" selected="0">
            <x v="25"/>
          </reference>
          <reference field="8" count="1" selected="0">
            <x v="121"/>
          </reference>
          <reference field="15" count="2">
            <x v="41"/>
            <x v="78"/>
          </reference>
        </references>
      </pivotArea>
    </format>
    <format dxfId="377">
      <pivotArea dataOnly="0" labelOnly="1" fieldPosition="0">
        <references count="5">
          <reference field="4" count="1" selected="0">
            <x v="9"/>
          </reference>
          <reference field="6" count="1" selected="0">
            <x v="1"/>
          </reference>
          <reference field="7" count="1" selected="0">
            <x v="25"/>
          </reference>
          <reference field="8" count="1" selected="0">
            <x v="122"/>
          </reference>
          <reference field="15" count="2">
            <x v="38"/>
            <x v="39"/>
          </reference>
        </references>
      </pivotArea>
    </format>
    <format dxfId="376">
      <pivotArea dataOnly="0" labelOnly="1" fieldPosition="0">
        <references count="5">
          <reference field="4" count="1" selected="0">
            <x v="9"/>
          </reference>
          <reference field="6" count="1" selected="0">
            <x v="1"/>
          </reference>
          <reference field="7" count="1" selected="0">
            <x v="25"/>
          </reference>
          <reference field="8" count="1" selected="0">
            <x v="123"/>
          </reference>
          <reference field="15" count="7">
            <x v="32"/>
            <x v="33"/>
            <x v="60"/>
            <x v="82"/>
            <x v="83"/>
            <x v="89"/>
            <x v="90"/>
          </reference>
        </references>
      </pivotArea>
    </format>
    <format dxfId="375">
      <pivotArea dataOnly="0" labelOnly="1" fieldPosition="0">
        <references count="5">
          <reference field="4" count="1" selected="0">
            <x v="9"/>
          </reference>
          <reference field="6" count="1" selected="0">
            <x v="1"/>
          </reference>
          <reference field="7" count="1" selected="0">
            <x v="25"/>
          </reference>
          <reference field="8" count="1" selected="0">
            <x v="124"/>
          </reference>
          <reference field="15" count="1">
            <x v="261"/>
          </reference>
        </references>
      </pivotArea>
    </format>
    <format dxfId="374">
      <pivotArea dataOnly="0" labelOnly="1" fieldPosition="0">
        <references count="5">
          <reference field="4" count="1" selected="0">
            <x v="10"/>
          </reference>
          <reference field="6" count="1" selected="0">
            <x v="3"/>
          </reference>
          <reference field="7" count="1" selected="0">
            <x v="6"/>
          </reference>
          <reference field="8" count="1" selected="0">
            <x v="29"/>
          </reference>
          <reference field="15" count="21">
            <x v="2"/>
            <x v="3"/>
            <x v="5"/>
            <x v="152"/>
            <x v="153"/>
            <x v="154"/>
            <x v="155"/>
            <x v="156"/>
            <x v="157"/>
            <x v="158"/>
            <x v="159"/>
            <x v="160"/>
            <x v="161"/>
            <x v="162"/>
            <x v="163"/>
            <x v="189"/>
            <x v="190"/>
            <x v="191"/>
            <x v="192"/>
            <x v="193"/>
            <x v="395"/>
          </reference>
        </references>
      </pivotArea>
    </format>
    <format dxfId="373">
      <pivotArea dataOnly="0" labelOnly="1" fieldPosition="0">
        <references count="5">
          <reference field="4" count="1" selected="0">
            <x v="11"/>
          </reference>
          <reference field="6" count="1" selected="0">
            <x v="0"/>
          </reference>
          <reference field="7" count="1" selected="0">
            <x v="17"/>
          </reference>
          <reference field="8" count="1" selected="0">
            <x v="70"/>
          </reference>
          <reference field="15" count="4">
            <x v="345"/>
            <x v="346"/>
            <x v="347"/>
            <x v="351"/>
          </reference>
        </references>
      </pivotArea>
    </format>
    <format dxfId="372">
      <pivotArea dataOnly="0" labelOnly="1" fieldPosition="0">
        <references count="5">
          <reference field="4" count="1" selected="0">
            <x v="11"/>
          </reference>
          <reference field="6" count="1" selected="0">
            <x v="0"/>
          </reference>
          <reference field="7" count="1" selected="0">
            <x v="17"/>
          </reference>
          <reference field="8" count="1" selected="0">
            <x v="71"/>
          </reference>
          <reference field="15" count="3">
            <x v="348"/>
            <x v="352"/>
            <x v="353"/>
          </reference>
        </references>
      </pivotArea>
    </format>
    <format dxfId="371">
      <pivotArea dataOnly="0" labelOnly="1" fieldPosition="0">
        <references count="5">
          <reference field="4" count="1" selected="0">
            <x v="11"/>
          </reference>
          <reference field="6" count="1" selected="0">
            <x v="0"/>
          </reference>
          <reference field="7" count="1" selected="0">
            <x v="17"/>
          </reference>
          <reference field="8" count="1" selected="0">
            <x v="72"/>
          </reference>
          <reference field="15" count="3">
            <x v="143"/>
            <x v="349"/>
            <x v="350"/>
          </reference>
        </references>
      </pivotArea>
    </format>
    <format dxfId="370">
      <pivotArea dataOnly="0" labelOnly="1" fieldPosition="0">
        <references count="5">
          <reference field="4" count="1" selected="0">
            <x v="12"/>
          </reference>
          <reference field="6" count="1" selected="0">
            <x v="0"/>
          </reference>
          <reference field="7" count="1" selected="0">
            <x v="18"/>
          </reference>
          <reference field="8" count="1" selected="0">
            <x v="74"/>
          </reference>
          <reference field="15" count="2">
            <x v="113"/>
            <x v="114"/>
          </reference>
        </references>
      </pivotArea>
    </format>
    <format dxfId="369">
      <pivotArea dataOnly="0" labelOnly="1" fieldPosition="0">
        <references count="5">
          <reference field="4" count="1" selected="0">
            <x v="12"/>
          </reference>
          <reference field="6" count="1" selected="0">
            <x v="0"/>
          </reference>
          <reference field="7" count="1" selected="0">
            <x v="18"/>
          </reference>
          <reference field="8" count="1" selected="0">
            <x v="75"/>
          </reference>
          <reference field="15" count="1">
            <x v="116"/>
          </reference>
        </references>
      </pivotArea>
    </format>
    <format dxfId="368">
      <pivotArea dataOnly="0" labelOnly="1" fieldPosition="0">
        <references count="5">
          <reference field="4" count="1" selected="0">
            <x v="12"/>
          </reference>
          <reference field="6" count="1" selected="0">
            <x v="0"/>
          </reference>
          <reference field="7" count="1" selected="0">
            <x v="18"/>
          </reference>
          <reference field="8" count="1" selected="0">
            <x v="76"/>
          </reference>
          <reference field="15" count="1">
            <x v="244"/>
          </reference>
        </references>
      </pivotArea>
    </format>
    <format dxfId="367">
      <pivotArea dataOnly="0" labelOnly="1" fieldPosition="0">
        <references count="5">
          <reference field="4" count="1" selected="0">
            <x v="13"/>
          </reference>
          <reference field="6" count="1" selected="0">
            <x v="3"/>
          </reference>
          <reference field="7" count="1" selected="0">
            <x v="1"/>
          </reference>
          <reference field="8" count="1" selected="0">
            <x v="6"/>
          </reference>
          <reference field="15" count="1">
            <x v="340"/>
          </reference>
        </references>
      </pivotArea>
    </format>
    <format dxfId="366">
      <pivotArea dataOnly="0" labelOnly="1" fieldPosition="0">
        <references count="5">
          <reference field="4" count="1" selected="0">
            <x v="13"/>
          </reference>
          <reference field="6" count="1" selected="0">
            <x v="3"/>
          </reference>
          <reference field="7" count="1" selected="0">
            <x v="5"/>
          </reference>
          <reference field="8" count="1" selected="0">
            <x v="22"/>
          </reference>
          <reference field="15" count="1">
            <x v="333"/>
          </reference>
        </references>
      </pivotArea>
    </format>
    <format dxfId="365">
      <pivotArea dataOnly="0" labelOnly="1" fieldPosition="0">
        <references count="5">
          <reference field="4" count="1" selected="0">
            <x v="13"/>
          </reference>
          <reference field="6" count="1" selected="0">
            <x v="3"/>
          </reference>
          <reference field="7" count="1" selected="0">
            <x v="5"/>
          </reference>
          <reference field="8" count="1" selected="0">
            <x v="23"/>
          </reference>
          <reference field="15" count="1">
            <x v="332"/>
          </reference>
        </references>
      </pivotArea>
    </format>
    <format dxfId="364">
      <pivotArea dataOnly="0" labelOnly="1" fieldPosition="0">
        <references count="5">
          <reference field="4" count="1" selected="0">
            <x v="13"/>
          </reference>
          <reference field="6" count="1" selected="0">
            <x v="3"/>
          </reference>
          <reference field="7" count="1" selected="0">
            <x v="5"/>
          </reference>
          <reference field="8" count="1" selected="0">
            <x v="24"/>
          </reference>
          <reference field="15" count="1">
            <x v="339"/>
          </reference>
        </references>
      </pivotArea>
    </format>
    <format dxfId="363">
      <pivotArea dataOnly="0" labelOnly="1" fieldPosition="0">
        <references count="5">
          <reference field="4" count="1" selected="0">
            <x v="13"/>
          </reference>
          <reference field="6" count="1" selected="0">
            <x v="3"/>
          </reference>
          <reference field="7" count="1" selected="0">
            <x v="5"/>
          </reference>
          <reference field="8" count="1" selected="0">
            <x v="25"/>
          </reference>
          <reference field="15" count="1">
            <x v="342"/>
          </reference>
        </references>
      </pivotArea>
    </format>
    <format dxfId="362">
      <pivotArea dataOnly="0" labelOnly="1" fieldPosition="0">
        <references count="5">
          <reference field="4" count="1" selected="0">
            <x v="13"/>
          </reference>
          <reference field="6" count="1" selected="0">
            <x v="3"/>
          </reference>
          <reference field="7" count="1" selected="0">
            <x v="5"/>
          </reference>
          <reference field="8" count="1" selected="0">
            <x v="26"/>
          </reference>
          <reference field="15" count="1">
            <x v="338"/>
          </reference>
        </references>
      </pivotArea>
    </format>
    <format dxfId="361">
      <pivotArea dataOnly="0" labelOnly="1" fieldPosition="0">
        <references count="5">
          <reference field="4" count="1" selected="0">
            <x v="13"/>
          </reference>
          <reference field="6" count="1" selected="0">
            <x v="3"/>
          </reference>
          <reference field="7" count="1" selected="0">
            <x v="5"/>
          </reference>
          <reference field="8" count="1" selected="0">
            <x v="27"/>
          </reference>
          <reference field="15" count="1">
            <x v="341"/>
          </reference>
        </references>
      </pivotArea>
    </format>
    <format dxfId="360">
      <pivotArea dataOnly="0" labelOnly="1" fieldPosition="0">
        <references count="5">
          <reference field="4" count="1" selected="0">
            <x v="14"/>
          </reference>
          <reference field="6" count="1" selected="0">
            <x v="1"/>
          </reference>
          <reference field="7" count="1" selected="0">
            <x v="26"/>
          </reference>
          <reference field="8" count="1" selected="0">
            <x v="125"/>
          </reference>
          <reference field="15" count="4">
            <x v="26"/>
            <x v="27"/>
            <x v="28"/>
            <x v="99"/>
          </reference>
        </references>
      </pivotArea>
    </format>
    <format dxfId="359">
      <pivotArea dataOnly="0" labelOnly="1" fieldPosition="0">
        <references count="5">
          <reference field="4" count="1" selected="0">
            <x v="14"/>
          </reference>
          <reference field="6" count="1" selected="0">
            <x v="1"/>
          </reference>
          <reference field="7" count="1" selected="0">
            <x v="26"/>
          </reference>
          <reference field="8" count="1" selected="0">
            <x v="126"/>
          </reference>
          <reference field="15" count="1">
            <x v="19"/>
          </reference>
        </references>
      </pivotArea>
    </format>
    <format dxfId="358">
      <pivotArea dataOnly="0" labelOnly="1" fieldPosition="0">
        <references count="5">
          <reference field="4" count="1" selected="0">
            <x v="14"/>
          </reference>
          <reference field="6" count="1" selected="0">
            <x v="1"/>
          </reference>
          <reference field="7" count="1" selected="0">
            <x v="26"/>
          </reference>
          <reference field="8" count="1" selected="0">
            <x v="127"/>
          </reference>
          <reference field="15" count="2">
            <x v="150"/>
            <x v="151"/>
          </reference>
        </references>
      </pivotArea>
    </format>
    <format dxfId="357">
      <pivotArea dataOnly="0" labelOnly="1" fieldPosition="0">
        <references count="5">
          <reference field="4" count="1" selected="0">
            <x v="14"/>
          </reference>
          <reference field="6" count="1" selected="0">
            <x v="1"/>
          </reference>
          <reference field="7" count="1" selected="0">
            <x v="26"/>
          </reference>
          <reference field="8" count="1" selected="0">
            <x v="128"/>
          </reference>
          <reference field="15" count="2">
            <x v="29"/>
            <x v="30"/>
          </reference>
        </references>
      </pivotArea>
    </format>
    <format dxfId="356">
      <pivotArea dataOnly="0" labelOnly="1" fieldPosition="0">
        <references count="5">
          <reference field="4" count="1" selected="0">
            <x v="14"/>
          </reference>
          <reference field="6" count="1" selected="0">
            <x v="1"/>
          </reference>
          <reference field="7" count="1" selected="0">
            <x v="26"/>
          </reference>
          <reference field="8" count="1" selected="0">
            <x v="129"/>
          </reference>
          <reference field="15" count="2">
            <x v="330"/>
            <x v="331"/>
          </reference>
        </references>
      </pivotArea>
    </format>
    <format dxfId="355">
      <pivotArea dataOnly="0" labelOnly="1" fieldPosition="0">
        <references count="5">
          <reference field="4" count="1" selected="0">
            <x v="14"/>
          </reference>
          <reference field="6" count="1" selected="0">
            <x v="1"/>
          </reference>
          <reference field="7" count="1" selected="0">
            <x v="26"/>
          </reference>
          <reference field="8" count="1" selected="0">
            <x v="130"/>
          </reference>
          <reference field="15" count="2">
            <x v="367"/>
            <x v="368"/>
          </reference>
        </references>
      </pivotArea>
    </format>
    <format dxfId="354">
      <pivotArea dataOnly="0" labelOnly="1" fieldPosition="0">
        <references count="5">
          <reference field="4" count="1" selected="0">
            <x v="14"/>
          </reference>
          <reference field="6" count="1" selected="0">
            <x v="1"/>
          </reference>
          <reference field="7" count="1" selected="0">
            <x v="26"/>
          </reference>
          <reference field="8" count="1" selected="0">
            <x v="131"/>
          </reference>
          <reference field="15" count="3">
            <x v="14"/>
            <x v="15"/>
            <x v="16"/>
          </reference>
        </references>
      </pivotArea>
    </format>
    <format dxfId="353">
      <pivotArea dataOnly="0" labelOnly="1" fieldPosition="0">
        <references count="5">
          <reference field="4" count="1" selected="0">
            <x v="15"/>
          </reference>
          <reference field="6" count="1" selected="0">
            <x v="0"/>
          </reference>
          <reference field="7" count="1" selected="0">
            <x v="20"/>
          </reference>
          <reference field="8" count="1" selected="0">
            <x v="82"/>
          </reference>
          <reference field="15" count="2">
            <x v="73"/>
            <x v="74"/>
          </reference>
        </references>
      </pivotArea>
    </format>
    <format dxfId="352">
      <pivotArea dataOnly="0" labelOnly="1" fieldPosition="0">
        <references count="5">
          <reference field="4" count="1" selected="0">
            <x v="15"/>
          </reference>
          <reference field="6" count="1" selected="0">
            <x v="0"/>
          </reference>
          <reference field="7" count="1" selected="0">
            <x v="20"/>
          </reference>
          <reference field="8" count="1" selected="0">
            <x v="83"/>
          </reference>
          <reference field="15" count="1">
            <x v="75"/>
          </reference>
        </references>
      </pivotArea>
    </format>
    <format dxfId="351">
      <pivotArea dataOnly="0" labelOnly="1" fieldPosition="0">
        <references count="5">
          <reference field="4" count="1" selected="0">
            <x v="15"/>
          </reference>
          <reference field="6" count="1" selected="0">
            <x v="0"/>
          </reference>
          <reference field="7" count="1" selected="0">
            <x v="20"/>
          </reference>
          <reference field="8" count="1" selected="0">
            <x v="84"/>
          </reference>
          <reference field="15" count="1">
            <x v="76"/>
          </reference>
        </references>
      </pivotArea>
    </format>
    <format dxfId="350">
      <pivotArea dataOnly="0" labelOnly="1" fieldPosition="0">
        <references count="5">
          <reference field="4" count="1" selected="0">
            <x v="15"/>
          </reference>
          <reference field="6" count="1" selected="0">
            <x v="0"/>
          </reference>
          <reference field="7" count="1" selected="0">
            <x v="20"/>
          </reference>
          <reference field="8" count="1" selected="0">
            <x v="85"/>
          </reference>
          <reference field="15" count="1">
            <x v="259"/>
          </reference>
        </references>
      </pivotArea>
    </format>
    <format dxfId="349">
      <pivotArea dataOnly="0" labelOnly="1" fieldPosition="0">
        <references count="5">
          <reference field="4" count="1" selected="0">
            <x v="15"/>
          </reference>
          <reference field="6" count="1" selected="0">
            <x v="0"/>
          </reference>
          <reference field="7" count="1" selected="0">
            <x v="20"/>
          </reference>
          <reference field="8" count="1" selected="0">
            <x v="86"/>
          </reference>
          <reference field="15" count="3">
            <x v="132"/>
            <x v="133"/>
            <x v="134"/>
          </reference>
        </references>
      </pivotArea>
    </format>
    <format dxfId="348">
      <pivotArea dataOnly="0" labelOnly="1" fieldPosition="0">
        <references count="5">
          <reference field="4" count="1" selected="0">
            <x v="16"/>
          </reference>
          <reference field="6" count="1" selected="0">
            <x v="1"/>
          </reference>
          <reference field="7" count="1" selected="0">
            <x v="27"/>
          </reference>
          <reference field="8" count="1" selected="0">
            <x v="132"/>
          </reference>
          <reference field="15" count="1">
            <x v="20"/>
          </reference>
        </references>
      </pivotArea>
    </format>
    <format dxfId="347">
      <pivotArea dataOnly="0" labelOnly="1" fieldPosition="0">
        <references count="5">
          <reference field="4" count="1" selected="0">
            <x v="16"/>
          </reference>
          <reference field="6" count="1" selected="0">
            <x v="1"/>
          </reference>
          <reference field="7" count="1" selected="0">
            <x v="27"/>
          </reference>
          <reference field="8" count="1" selected="0">
            <x v="133"/>
          </reference>
          <reference field="15" count="3">
            <x v="21"/>
            <x v="22"/>
            <x v="23"/>
          </reference>
        </references>
      </pivotArea>
    </format>
    <format dxfId="346">
      <pivotArea dataOnly="0" labelOnly="1" fieldPosition="0">
        <references count="5">
          <reference field="4" count="1" selected="0">
            <x v="16"/>
          </reference>
          <reference field="6" count="1" selected="0">
            <x v="1"/>
          </reference>
          <reference field="7" count="1" selected="0">
            <x v="27"/>
          </reference>
          <reference field="8" count="1" selected="0">
            <x v="134"/>
          </reference>
          <reference field="15" count="2">
            <x v="149"/>
            <x v="354"/>
          </reference>
        </references>
      </pivotArea>
    </format>
    <format dxfId="345">
      <pivotArea dataOnly="0" labelOnly="1" fieldPosition="0">
        <references count="5">
          <reference field="4" count="1" selected="0">
            <x v="16"/>
          </reference>
          <reference field="6" count="1" selected="0">
            <x v="1"/>
          </reference>
          <reference field="7" count="1" selected="0">
            <x v="27"/>
          </reference>
          <reference field="8" count="1" selected="0">
            <x v="135"/>
          </reference>
          <reference field="15" count="2">
            <x v="109"/>
            <x v="363"/>
          </reference>
        </references>
      </pivotArea>
    </format>
    <format dxfId="344">
      <pivotArea dataOnly="0" labelOnly="1" fieldPosition="0">
        <references count="5">
          <reference field="4" count="1" selected="0">
            <x v="16"/>
          </reference>
          <reference field="6" count="1" selected="0">
            <x v="1"/>
          </reference>
          <reference field="7" count="1" selected="0">
            <x v="27"/>
          </reference>
          <reference field="8" count="1" selected="0">
            <x v="136"/>
          </reference>
          <reference field="15" count="2">
            <x v="81"/>
            <x v="148"/>
          </reference>
        </references>
      </pivotArea>
    </format>
    <format dxfId="343">
      <pivotArea dataOnly="0" labelOnly="1" fieldPosition="0">
        <references count="5">
          <reference field="4" count="1" selected="0">
            <x v="16"/>
          </reference>
          <reference field="6" count="1" selected="0">
            <x v="1"/>
          </reference>
          <reference field="7" count="1" selected="0">
            <x v="27"/>
          </reference>
          <reference field="8" count="1" selected="0">
            <x v="137"/>
          </reference>
          <reference field="15" count="2">
            <x v="111"/>
            <x v="112"/>
          </reference>
        </references>
      </pivotArea>
    </format>
    <format dxfId="342">
      <pivotArea dataOnly="0" labelOnly="1" fieldPosition="0">
        <references count="5">
          <reference field="4" count="1" selected="0">
            <x v="16"/>
          </reference>
          <reference field="6" count="1" selected="0">
            <x v="3"/>
          </reference>
          <reference field="7" count="1" selected="0">
            <x v="1"/>
          </reference>
          <reference field="8" count="1" selected="0">
            <x v="6"/>
          </reference>
          <reference field="15" count="1">
            <x v="362"/>
          </reference>
        </references>
      </pivotArea>
    </format>
    <format dxfId="341">
      <pivotArea dataOnly="0" labelOnly="1" fieldPosition="0">
        <references count="5">
          <reference field="4" count="1" selected="0">
            <x v="16"/>
          </reference>
          <reference field="6" count="1" selected="0">
            <x v="4"/>
          </reference>
          <reference field="7" count="1" selected="0">
            <x v="8"/>
          </reference>
          <reference field="8" count="1" selected="0">
            <x v="38"/>
          </reference>
          <reference field="15" count="1">
            <x v="229"/>
          </reference>
        </references>
      </pivotArea>
    </format>
    <format dxfId="340">
      <pivotArea dataOnly="0" labelOnly="1" fieldPosition="0">
        <references count="5">
          <reference field="4" count="1" selected="0">
            <x v="16"/>
          </reference>
          <reference field="6" count="1" selected="0">
            <x v="4"/>
          </reference>
          <reference field="7" count="1" selected="0">
            <x v="11"/>
          </reference>
          <reference field="8" count="1" selected="0">
            <x v="48"/>
          </reference>
          <reference field="15" count="1">
            <x v="200"/>
          </reference>
        </references>
      </pivotArea>
    </format>
    <format dxfId="339">
      <pivotArea dataOnly="0" labelOnly="1" fieldPosition="0">
        <references count="5">
          <reference field="4" count="1" selected="0">
            <x v="17"/>
          </reference>
          <reference field="6" count="1" selected="0">
            <x v="0"/>
          </reference>
          <reference field="7" count="1" selected="0">
            <x v="16"/>
          </reference>
          <reference field="8" count="1" selected="0">
            <x v="57"/>
          </reference>
          <reference field="15" count="5">
            <x v="110"/>
            <x v="284"/>
            <x v="285"/>
            <x v="294"/>
            <x v="295"/>
          </reference>
        </references>
      </pivotArea>
    </format>
    <format dxfId="338">
      <pivotArea dataOnly="0" labelOnly="1" fieldPosition="0">
        <references count="5">
          <reference field="4" count="1" selected="0">
            <x v="17"/>
          </reference>
          <reference field="6" count="1" selected="0">
            <x v="0"/>
          </reference>
          <reference field="7" count="1" selected="0">
            <x v="16"/>
          </reference>
          <reference field="8" count="1" selected="0">
            <x v="58"/>
          </reference>
          <reference field="15" count="2">
            <x v="299"/>
            <x v="300"/>
          </reference>
        </references>
      </pivotArea>
    </format>
    <format dxfId="337">
      <pivotArea dataOnly="0" labelOnly="1" fieldPosition="0">
        <references count="5">
          <reference field="4" count="1" selected="0">
            <x v="17"/>
          </reference>
          <reference field="6" count="1" selected="0">
            <x v="0"/>
          </reference>
          <reference field="7" count="1" selected="0">
            <x v="16"/>
          </reference>
          <reference field="8" count="1" selected="0">
            <x v="59"/>
          </reference>
          <reference field="15" count="2">
            <x v="94"/>
            <x v="95"/>
          </reference>
        </references>
      </pivotArea>
    </format>
    <format dxfId="336">
      <pivotArea dataOnly="0" labelOnly="1" fieldPosition="0">
        <references count="5">
          <reference field="4" count="1" selected="0">
            <x v="17"/>
          </reference>
          <reference field="6" count="1" selected="0">
            <x v="0"/>
          </reference>
          <reference field="7" count="1" selected="0">
            <x v="16"/>
          </reference>
          <reference field="8" count="1" selected="0">
            <x v="60"/>
          </reference>
          <reference field="15" count="5">
            <x v="102"/>
            <x v="103"/>
            <x v="104"/>
            <x v="322"/>
            <x v="323"/>
          </reference>
        </references>
      </pivotArea>
    </format>
    <format dxfId="335">
      <pivotArea dataOnly="0" labelOnly="1" fieldPosition="0">
        <references count="5">
          <reference field="4" count="1" selected="0">
            <x v="17"/>
          </reference>
          <reference field="6" count="1" selected="0">
            <x v="0"/>
          </reference>
          <reference field="7" count="1" selected="0">
            <x v="16"/>
          </reference>
          <reference field="8" count="1" selected="0">
            <x v="61"/>
          </reference>
          <reference field="15" count="2">
            <x v="296"/>
            <x v="297"/>
          </reference>
        </references>
      </pivotArea>
    </format>
    <format dxfId="334">
      <pivotArea dataOnly="0" labelOnly="1" fieldPosition="0">
        <references count="5">
          <reference field="4" count="1" selected="0">
            <x v="17"/>
          </reference>
          <reference field="6" count="1" selected="0">
            <x v="0"/>
          </reference>
          <reference field="7" count="1" selected="0">
            <x v="16"/>
          </reference>
          <reference field="8" count="1" selected="0">
            <x v="62"/>
          </reference>
          <reference field="15" count="1">
            <x v="93"/>
          </reference>
        </references>
      </pivotArea>
    </format>
    <format dxfId="333">
      <pivotArea dataOnly="0" labelOnly="1" fieldPosition="0">
        <references count="5">
          <reference field="4" count="1" selected="0">
            <x v="17"/>
          </reference>
          <reference field="6" count="1" selected="0">
            <x v="0"/>
          </reference>
          <reference field="7" count="1" selected="0">
            <x v="16"/>
          </reference>
          <reference field="8" count="1" selected="0">
            <x v="63"/>
          </reference>
          <reference field="15" count="2">
            <x v="315"/>
            <x v="316"/>
          </reference>
        </references>
      </pivotArea>
    </format>
    <format dxfId="332">
      <pivotArea dataOnly="0" labelOnly="1" fieldPosition="0">
        <references count="5">
          <reference field="4" count="1" selected="0">
            <x v="17"/>
          </reference>
          <reference field="6" count="1" selected="0">
            <x v="0"/>
          </reference>
          <reference field="7" count="1" selected="0">
            <x v="22"/>
          </reference>
          <reference field="8" count="1" selected="0">
            <x v="94"/>
          </reference>
          <reference field="15" count="2">
            <x v="105"/>
            <x v="106"/>
          </reference>
        </references>
      </pivotArea>
    </format>
    <format dxfId="331">
      <pivotArea dataOnly="0" labelOnly="1" fieldPosition="0">
        <references count="5">
          <reference field="4" count="1" selected="0">
            <x v="18"/>
          </reference>
          <reference field="6" count="1" selected="0">
            <x v="3"/>
          </reference>
          <reference field="7" count="1" selected="0">
            <x v="2"/>
          </reference>
          <reference field="8" count="1" selected="0">
            <x v="8"/>
          </reference>
          <reference field="15" count="2">
            <x v="375"/>
            <x v="376"/>
          </reference>
        </references>
      </pivotArea>
    </format>
    <format dxfId="330">
      <pivotArea dataOnly="0" labelOnly="1" fieldPosition="0">
        <references count="5">
          <reference field="4" count="1" selected="0">
            <x v="18"/>
          </reference>
          <reference field="6" count="1" selected="0">
            <x v="3"/>
          </reference>
          <reference field="7" count="1" selected="0">
            <x v="2"/>
          </reference>
          <reference field="8" count="1" selected="0">
            <x v="9"/>
          </reference>
          <reference field="15" count="1">
            <x v="266"/>
          </reference>
        </references>
      </pivotArea>
    </format>
    <format dxfId="329">
      <pivotArea dataOnly="0" labelOnly="1" fieldPosition="0">
        <references count="5">
          <reference field="4" count="1" selected="0">
            <x v="18"/>
          </reference>
          <reference field="6" count="1" selected="0">
            <x v="3"/>
          </reference>
          <reference field="7" count="1" selected="0">
            <x v="2"/>
          </reference>
          <reference field="8" count="1" selected="0">
            <x v="16"/>
          </reference>
          <reference field="15" count="2">
            <x v="271"/>
            <x v="272"/>
          </reference>
        </references>
      </pivotArea>
    </format>
    <format dxfId="328">
      <pivotArea dataOnly="0" labelOnly="1" fieldPosition="0">
        <references count="5">
          <reference field="4" count="1" selected="0">
            <x v="18"/>
          </reference>
          <reference field="6" count="1" selected="0">
            <x v="3"/>
          </reference>
          <reference field="7" count="1" selected="0">
            <x v="2"/>
          </reference>
          <reference field="8" count="1" selected="0">
            <x v="17"/>
          </reference>
          <reference field="15" count="3">
            <x v="286"/>
            <x v="287"/>
            <x v="288"/>
          </reference>
        </references>
      </pivotArea>
    </format>
    <format dxfId="327">
      <pivotArea dataOnly="0" labelOnly="1" fieldPosition="0">
        <references count="5">
          <reference field="4" count="1" selected="0">
            <x v="19"/>
          </reference>
          <reference field="6" count="1" selected="0">
            <x v="3"/>
          </reference>
          <reference field="7" count="1" selected="0">
            <x v="6"/>
          </reference>
          <reference field="8" count="1" selected="0">
            <x v="29"/>
          </reference>
          <reference field="15" count="24">
            <x v="4"/>
            <x v="168"/>
            <x v="169"/>
            <x v="170"/>
            <x v="171"/>
            <x v="172"/>
            <x v="173"/>
            <x v="174"/>
            <x v="183"/>
            <x v="184"/>
            <x v="185"/>
            <x v="186"/>
            <x v="187"/>
            <x v="188"/>
            <x v="194"/>
            <x v="195"/>
            <x v="196"/>
            <x v="197"/>
            <x v="198"/>
            <x v="199"/>
            <x v="203"/>
            <x v="204"/>
            <x v="223"/>
            <x v="258"/>
          </reference>
        </references>
      </pivotArea>
    </format>
    <format dxfId="326">
      <pivotArea dataOnly="0" labelOnly="1" fieldPosition="0">
        <references count="5">
          <reference field="4" count="1" selected="0">
            <x v="20"/>
          </reference>
          <reference field="6" count="1" selected="0">
            <x v="1"/>
          </reference>
          <reference field="7" count="1" selected="0">
            <x v="24"/>
          </reference>
          <reference field="8" count="1" selected="0">
            <x v="106"/>
          </reference>
          <reference field="15" count="2">
            <x v="239"/>
            <x v="240"/>
          </reference>
        </references>
      </pivotArea>
    </format>
    <format dxfId="325">
      <pivotArea dataOnly="0" labelOnly="1" outline="0" fieldPosition="0">
        <references count="1">
          <reference field="4294967294" count="2">
            <x v="7"/>
            <x v="8"/>
          </reference>
        </references>
      </pivotArea>
    </format>
    <format dxfId="324">
      <pivotArea outline="0" collapsedLevelsAreSubtotals="1" fieldPosition="0"/>
    </format>
    <format dxfId="323">
      <pivotArea dataOnly="0" labelOnly="1" outline="0" fieldPosition="0">
        <references count="1">
          <reference field="2" count="0"/>
        </references>
      </pivotArea>
    </format>
    <format dxfId="322">
      <pivotArea dataOnly="0" labelOnly="1" outline="0" fieldPosition="0">
        <references count="1">
          <reference field="4294967294" count="9">
            <x v="0"/>
            <x v="1"/>
            <x v="2"/>
            <x v="3"/>
            <x v="4"/>
            <x v="5"/>
            <x v="6"/>
            <x v="7"/>
            <x v="8"/>
          </reference>
        </references>
      </pivotArea>
    </format>
    <format dxfId="321">
      <pivotArea outline="0" collapsedLevelsAreSubtotals="1" fieldPosition="0">
        <references count="1">
          <reference field="4294967294" count="2" selected="0">
            <x v="7"/>
            <x v="8"/>
          </reference>
        </references>
      </pivotArea>
    </format>
    <format dxfId="320">
      <pivotArea dataOnly="0" labelOnly="1" outline="0" fieldPosition="0">
        <references count="1">
          <reference field="4294967294" count="2">
            <x v="7"/>
            <x v="8"/>
          </reference>
        </references>
      </pivotArea>
    </format>
    <format dxfId="319">
      <pivotArea field="2" type="button" dataOnly="0" labelOnly="1" outline="0" axis="axisPage" fieldPosition="0"/>
    </format>
    <format dxfId="318">
      <pivotArea field="4" type="button" dataOnly="0" labelOnly="1" outline="0" axis="axisRow" fieldPosition="0"/>
    </format>
    <format dxfId="317">
      <pivotArea dataOnly="0" labelOnly="1" fieldPosition="0">
        <references count="1">
          <reference field="4" count="1">
            <x v="20"/>
          </reference>
        </references>
      </pivotArea>
    </format>
    <format dxfId="316">
      <pivotArea dataOnly="0" labelOnly="1" grandRow="1" outline="0" fieldPosition="0"/>
    </format>
    <format dxfId="315">
      <pivotArea dataOnly="0" labelOnly="1" fieldPosition="0">
        <references count="2">
          <reference field="4" count="1" selected="0">
            <x v="20"/>
          </reference>
          <reference field="6" count="1">
            <x v="1"/>
          </reference>
        </references>
      </pivotArea>
    </format>
    <format dxfId="314">
      <pivotArea dataOnly="0" labelOnly="1" fieldPosition="0">
        <references count="3">
          <reference field="4" count="1" selected="0">
            <x v="20"/>
          </reference>
          <reference field="6" count="1" selected="0">
            <x v="1"/>
          </reference>
          <reference field="7" count="1">
            <x v="24"/>
          </reference>
        </references>
      </pivotArea>
    </format>
    <format dxfId="313">
      <pivotArea dataOnly="0" labelOnly="1" fieldPosition="0">
        <references count="4">
          <reference field="4" count="1" selected="0">
            <x v="20"/>
          </reference>
          <reference field="6" count="1" selected="0">
            <x v="1"/>
          </reference>
          <reference field="7" count="1" selected="0">
            <x v="24"/>
          </reference>
          <reference field="8" count="1">
            <x v="106"/>
          </reference>
        </references>
      </pivotArea>
    </format>
    <format dxfId="312">
      <pivotArea dataOnly="0" labelOnly="1" fieldPosition="0">
        <references count="5">
          <reference field="4" count="1" selected="0">
            <x v="20"/>
          </reference>
          <reference field="6" count="1" selected="0">
            <x v="1"/>
          </reference>
          <reference field="7" count="1" selected="0">
            <x v="24"/>
          </reference>
          <reference field="8" count="1" selected="0">
            <x v="106"/>
          </reference>
          <reference field="15" count="2">
            <x v="239"/>
            <x v="24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2" applyNumberFormats="0" applyBorderFormats="0" applyFontFormats="0" applyPatternFormats="0" applyAlignmentFormats="0" applyWidthHeightFormats="1" dataCaption="Valores" grandTotalCaption="TOTAL " updatedVersion="8" minRefreshableVersion="3" useAutoFormatting="1" itemPrintTitles="1" createdVersion="8" indent="0" outline="1" outlineData="1" multipleFieldFilters="0" rowHeaderCaption="UNIDAD EJECUTORA">
  <location ref="A3:J698" firstHeaderRow="0" firstDataRow="1" firstDataCol="1" rowPageCount="1" colPageCount="1"/>
  <pivotFields count="33">
    <pivotField showAll="0"/>
    <pivotField showAll="0"/>
    <pivotField axis="axisPage" showAll="0">
      <items count="22">
        <item x="4"/>
        <item x="3"/>
        <item x="14"/>
        <item x="0"/>
        <item x="13"/>
        <item x="17"/>
        <item x="7"/>
        <item x="9"/>
        <item x="15"/>
        <item x="8"/>
        <item x="1"/>
        <item x="16"/>
        <item x="12"/>
        <item x="20"/>
        <item x="5"/>
        <item x="10"/>
        <item x="6"/>
        <item x="11"/>
        <item x="19"/>
        <item x="2"/>
        <item x="18"/>
        <item t="default"/>
      </items>
    </pivotField>
    <pivotField showAll="0"/>
    <pivotField axis="axisRow" showAll="0">
      <items count="22">
        <item x="4"/>
        <item x="3"/>
        <item x="14"/>
        <item x="0"/>
        <item x="13"/>
        <item x="17"/>
        <item x="7"/>
        <item x="9"/>
        <item x="15"/>
        <item x="8"/>
        <item x="1"/>
        <item x="16"/>
        <item x="12"/>
        <item x="20"/>
        <item x="5"/>
        <item x="10"/>
        <item x="6"/>
        <item x="11"/>
        <item x="19"/>
        <item x="2"/>
        <item x="18"/>
        <item t="default"/>
      </items>
    </pivotField>
    <pivotField numFmtId="1" showAll="0"/>
    <pivotField axis="axisRow" showAll="0">
      <items count="6">
        <item x="1"/>
        <item x="2"/>
        <item x="3"/>
        <item x="0"/>
        <item x="4"/>
        <item t="default"/>
      </items>
    </pivotField>
    <pivotField axis="axisRow" showAll="0">
      <items count="34">
        <item x="19"/>
        <item x="27"/>
        <item x="1"/>
        <item x="2"/>
        <item x="8"/>
        <item x="30"/>
        <item x="0"/>
        <item x="32"/>
        <item x="25"/>
        <item x="29"/>
        <item x="12"/>
        <item x="15"/>
        <item x="13"/>
        <item x="28"/>
        <item x="23"/>
        <item x="31"/>
        <item x="16"/>
        <item x="10"/>
        <item x="18"/>
        <item x="3"/>
        <item x="14"/>
        <item x="20"/>
        <item x="17"/>
        <item x="9"/>
        <item x="6"/>
        <item x="7"/>
        <item x="4"/>
        <item x="5"/>
        <item x="24"/>
        <item x="11"/>
        <item x="21"/>
        <item x="26"/>
        <item x="22"/>
        <item t="default"/>
      </items>
    </pivotField>
    <pivotField axis="axisRow" showAll="0">
      <items count="161">
        <item x="62"/>
        <item x="155"/>
        <item x="112"/>
        <item x="156"/>
        <item x="118"/>
        <item x="154"/>
        <item x="140"/>
        <item x="60"/>
        <item x="153"/>
        <item x="102"/>
        <item x="7"/>
        <item x="2"/>
        <item x="52"/>
        <item x="1"/>
        <item x="22"/>
        <item x="151"/>
        <item x="105"/>
        <item x="114"/>
        <item x="82"/>
        <item x="3"/>
        <item x="15"/>
        <item x="49"/>
        <item x="135"/>
        <item x="134"/>
        <item x="139"/>
        <item x="142"/>
        <item x="138"/>
        <item x="141"/>
        <item x="128"/>
        <item x="0"/>
        <item x="103"/>
        <item x="159"/>
        <item x="150"/>
        <item x="86"/>
        <item x="152"/>
        <item x="137"/>
        <item x="110"/>
        <item x="79"/>
        <item x="80"/>
        <item x="83"/>
        <item x="126"/>
        <item x="131"/>
        <item x="132"/>
        <item x="129"/>
        <item x="28"/>
        <item x="27"/>
        <item x="29"/>
        <item x="26"/>
        <item x="43"/>
        <item x="42"/>
        <item x="32"/>
        <item x="122"/>
        <item x="124"/>
        <item x="123"/>
        <item x="111"/>
        <item x="69"/>
        <item x="136"/>
        <item x="55"/>
        <item x="119"/>
        <item x="46"/>
        <item x="50"/>
        <item x="117"/>
        <item x="45"/>
        <item x="127"/>
        <item x="106"/>
        <item x="53"/>
        <item x="147"/>
        <item x="146"/>
        <item x="38"/>
        <item x="20"/>
        <item x="144"/>
        <item x="145"/>
        <item x="74"/>
        <item x="89"/>
        <item x="57"/>
        <item x="59"/>
        <item x="88"/>
        <item x="108"/>
        <item x="85"/>
        <item x="5"/>
        <item x="4"/>
        <item x="81"/>
        <item x="35"/>
        <item x="36"/>
        <item x="37"/>
        <item x="98"/>
        <item x="67"/>
        <item x="63"/>
        <item x="116"/>
        <item x="125"/>
        <item x="157"/>
        <item x="101"/>
        <item x="66"/>
        <item x="149"/>
        <item x="51"/>
        <item x="90"/>
        <item x="91"/>
        <item x="97"/>
        <item x="21"/>
        <item x="94"/>
        <item x="93"/>
        <item x="95"/>
        <item x="18"/>
        <item x="92"/>
        <item x="96"/>
        <item x="11"/>
        <item x="87"/>
        <item x="61"/>
        <item x="48"/>
        <item x="47"/>
        <item x="58"/>
        <item x="130"/>
        <item x="39"/>
        <item x="33"/>
        <item x="100"/>
        <item x="16"/>
        <item x="30"/>
        <item x="44"/>
        <item x="34"/>
        <item x="31"/>
        <item x="41"/>
        <item x="19"/>
        <item x="17"/>
        <item x="14"/>
        <item x="99"/>
        <item x="12"/>
        <item x="8"/>
        <item x="78"/>
        <item x="13"/>
        <item x="133"/>
        <item x="148"/>
        <item x="6"/>
        <item x="9"/>
        <item x="10"/>
        <item x="77"/>
        <item x="54"/>
        <item x="40"/>
        <item x="56"/>
        <item x="104"/>
        <item x="76"/>
        <item x="25"/>
        <item x="109"/>
        <item x="113"/>
        <item x="115"/>
        <item x="24"/>
        <item x="23"/>
        <item x="70"/>
        <item x="64"/>
        <item x="73"/>
        <item x="71"/>
        <item x="75"/>
        <item x="158"/>
        <item x="65"/>
        <item x="72"/>
        <item x="107"/>
        <item x="84"/>
        <item x="121"/>
        <item x="120"/>
        <item x="143"/>
        <item x="68"/>
        <item t="default"/>
      </items>
    </pivotField>
    <pivotField showAll="0"/>
    <pivotField showAll="0"/>
    <pivotField showAll="0"/>
    <pivotField showAll="0"/>
    <pivotField showAll="0"/>
    <pivotField showAll="0"/>
    <pivotField axis="axisRow" showAll="0">
      <items count="402">
        <item x="1"/>
        <item x="0"/>
        <item x="3"/>
        <item x="2"/>
        <item x="4"/>
        <item x="5"/>
        <item x="6"/>
        <item x="8"/>
        <item x="7"/>
        <item x="9"/>
        <item x="11"/>
        <item x="10"/>
        <item x="12"/>
        <item x="13"/>
        <item x="16"/>
        <item x="15"/>
        <item x="14"/>
        <item x="18"/>
        <item x="17"/>
        <item x="19"/>
        <item x="20"/>
        <item x="21"/>
        <item x="22"/>
        <item x="23"/>
        <item x="25"/>
        <item x="24"/>
        <item x="27"/>
        <item x="26"/>
        <item x="28"/>
        <item x="29"/>
        <item x="30"/>
        <item x="31"/>
        <item x="32"/>
        <item x="33"/>
        <item x="34"/>
        <item x="35"/>
        <item x="36"/>
        <item x="37"/>
        <item x="38"/>
        <item x="39"/>
        <item x="40"/>
        <item x="41"/>
        <item x="42"/>
        <item x="43"/>
        <item x="44"/>
        <item x="45"/>
        <item x="46"/>
        <item x="47"/>
        <item x="48"/>
        <item x="49"/>
        <item x="50"/>
        <item x="51"/>
        <item x="52"/>
        <item x="53"/>
        <item x="54"/>
        <item x="55"/>
        <item x="56"/>
        <item x="58"/>
        <item x="57"/>
        <item x="59"/>
        <item x="60"/>
        <item x="61"/>
        <item x="62"/>
        <item x="63"/>
        <item x="65"/>
        <item x="64"/>
        <item x="66"/>
        <item x="67"/>
        <item x="68"/>
        <item x="69"/>
        <item x="70"/>
        <item x="71"/>
        <item x="72"/>
        <item x="74"/>
        <item x="73"/>
        <item x="75"/>
        <item x="76"/>
        <item x="77"/>
        <item x="78"/>
        <item x="79"/>
        <item x="80"/>
        <item x="81"/>
        <item x="82"/>
        <item x="83"/>
        <item x="84"/>
        <item x="85"/>
        <item x="86"/>
        <item x="87"/>
        <item x="88"/>
        <item x="89"/>
        <item x="90"/>
        <item x="91"/>
        <item x="92"/>
        <item x="93"/>
        <item x="95"/>
        <item x="94"/>
        <item x="96"/>
        <item x="97"/>
        <item x="98"/>
        <item x="99"/>
        <item x="101"/>
        <item x="100"/>
        <item x="103"/>
        <item x="102"/>
        <item x="104"/>
        <item x="105"/>
        <item x="106"/>
        <item x="107"/>
        <item x="108"/>
        <item x="109"/>
        <item x="110"/>
        <item x="111"/>
        <item x="112"/>
        <item x="114"/>
        <item x="113"/>
        <item x="115"/>
        <item x="116"/>
        <item x="117"/>
        <item x="118"/>
        <item x="119"/>
        <item x="122"/>
        <item x="120"/>
        <item x="121"/>
        <item x="123"/>
        <item x="124"/>
        <item x="125"/>
        <item x="126"/>
        <item x="127"/>
        <item x="129"/>
        <item x="128"/>
        <item x="130"/>
        <item x="131"/>
        <item x="132"/>
        <item x="133"/>
        <item x="134"/>
        <item x="135"/>
        <item x="136"/>
        <item x="137"/>
        <item x="138"/>
        <item x="139"/>
        <item x="140"/>
        <item x="141"/>
        <item x="142"/>
        <item x="143"/>
        <item x="144"/>
        <item x="145"/>
        <item x="146"/>
        <item x="147"/>
        <item x="148"/>
        <item x="149"/>
        <item x="151"/>
        <item x="150"/>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3"/>
        <item x="192"/>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4"/>
        <item x="233"/>
        <item x="235"/>
        <item x="236"/>
        <item x="237"/>
        <item x="238"/>
        <item x="239"/>
        <item x="240"/>
        <item x="241"/>
        <item x="242"/>
        <item x="243"/>
        <item x="244"/>
        <item x="246"/>
        <item x="245"/>
        <item x="247"/>
        <item x="248"/>
        <item x="249"/>
        <item x="250"/>
        <item x="251"/>
        <item x="252"/>
        <item x="253"/>
        <item x="254"/>
        <item x="255"/>
        <item x="256"/>
        <item x="257"/>
        <item x="258"/>
        <item x="259"/>
        <item x="260"/>
        <item x="261"/>
        <item x="262"/>
        <item x="263"/>
        <item x="264"/>
        <item x="265"/>
        <item x="266"/>
        <item x="268"/>
        <item x="267"/>
        <item x="269"/>
        <item x="270"/>
        <item x="271"/>
        <item x="272"/>
        <item x="273"/>
        <item x="274"/>
        <item x="275"/>
        <item x="277"/>
        <item x="276"/>
        <item x="278"/>
        <item x="279"/>
        <item x="280"/>
        <item x="281"/>
        <item x="282"/>
        <item x="283"/>
        <item x="285"/>
        <item x="284"/>
        <item x="288"/>
        <item x="286"/>
        <item x="287"/>
        <item x="289"/>
        <item x="290"/>
        <item x="291"/>
        <item x="292"/>
        <item x="293"/>
        <item x="294"/>
        <item x="295"/>
        <item x="297"/>
        <item x="296"/>
        <item x="298"/>
        <item x="299"/>
        <item x="300"/>
        <item x="301"/>
        <item x="302"/>
        <item x="303"/>
        <item x="304"/>
        <item x="305"/>
        <item x="306"/>
        <item x="307"/>
        <item x="308"/>
        <item x="309"/>
        <item x="310"/>
        <item x="311"/>
        <item x="312"/>
        <item x="313"/>
        <item x="314"/>
        <item x="316"/>
        <item x="315"/>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7"/>
        <item x="346"/>
        <item x="348"/>
        <item x="349"/>
        <item x="350"/>
        <item x="351"/>
        <item x="352"/>
        <item x="353"/>
        <item x="354"/>
        <item x="355"/>
        <item x="357"/>
        <item x="356"/>
        <item x="358"/>
        <item x="360"/>
        <item x="359"/>
        <item x="361"/>
        <item x="362"/>
        <item x="363"/>
        <item x="364"/>
        <item x="365"/>
        <item x="366"/>
        <item x="368"/>
        <item x="367"/>
        <item x="369"/>
        <item x="370"/>
        <item x="371"/>
        <item x="372"/>
        <item x="373"/>
        <item x="374"/>
        <item x="376"/>
        <item x="375"/>
        <item x="377"/>
        <item x="378"/>
        <item x="379"/>
        <item x="380"/>
        <item x="381"/>
        <item x="382"/>
        <item x="383"/>
        <item x="384"/>
        <item x="385"/>
        <item x="386"/>
        <item x="387"/>
        <item x="389"/>
        <item x="388"/>
        <item x="390"/>
        <item x="391"/>
        <item x="392"/>
        <item x="393"/>
        <item x="394"/>
        <item x="395"/>
        <item x="396"/>
        <item x="397"/>
        <item x="398"/>
        <item x="399"/>
        <item x="400"/>
        <item t="default"/>
      </items>
    </pivotField>
    <pivotField showAll="0"/>
    <pivotField showAll="0"/>
    <pivotField dataField="1" numFmtId="43" showAll="0"/>
    <pivotField numFmtId="43" showAll="0"/>
    <pivotField dataField="1" numFmtId="43" showAll="0"/>
    <pivotField numFmtId="43" showAll="0"/>
    <pivotField numFmtId="43" showAll="0"/>
    <pivotField dataField="1" numFmtId="43" showAll="0"/>
    <pivotField numFmtId="43" showAll="0"/>
    <pivotField dataField="1" numFmtId="43" showAll="0"/>
    <pivotField numFmtId="43" showAll="0"/>
    <pivotField numFmtId="43" showAll="0"/>
    <pivotField dataField="1" numFmtId="43" showAl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5">
    <field x="4"/>
    <field x="6"/>
    <field x="7"/>
    <field x="8"/>
    <field x="15"/>
  </rowFields>
  <rowItems count="695">
    <i>
      <x/>
    </i>
    <i r="1">
      <x/>
    </i>
    <i r="2">
      <x v="17"/>
    </i>
    <i r="3">
      <x v="65"/>
    </i>
    <i r="4">
      <x v="108"/>
    </i>
    <i r="3">
      <x v="66"/>
    </i>
    <i r="4">
      <x v="365"/>
    </i>
    <i r="4">
      <x v="366"/>
    </i>
    <i r="3">
      <x v="67"/>
    </i>
    <i r="4">
      <x v="364"/>
    </i>
    <i r="4">
      <x v="370"/>
    </i>
    <i r="3">
      <x v="68"/>
    </i>
    <i r="4">
      <x v="79"/>
    </i>
    <i r="3">
      <x v="69"/>
    </i>
    <i r="4">
      <x v="42"/>
    </i>
    <i r="2">
      <x v="19"/>
    </i>
    <i r="3">
      <x v="78"/>
    </i>
    <i r="4">
      <x v="236"/>
    </i>
    <i r="3">
      <x v="79"/>
    </i>
    <i r="4">
      <x v="12"/>
    </i>
    <i r="3">
      <x v="80"/>
    </i>
    <i r="4">
      <x v="10"/>
    </i>
    <i r="4">
      <x v="11"/>
    </i>
    <i r="1">
      <x v="1"/>
    </i>
    <i r="2">
      <x v="23"/>
    </i>
    <i r="3">
      <x v="95"/>
    </i>
    <i r="4">
      <x v="250"/>
    </i>
    <i r="3">
      <x v="96"/>
    </i>
    <i r="4">
      <x v="251"/>
    </i>
    <i r="4">
      <x v="358"/>
    </i>
    <i r="3">
      <x v="97"/>
    </i>
    <i r="4">
      <x v="257"/>
    </i>
    <i r="3">
      <x v="98"/>
    </i>
    <i r="4">
      <x v="43"/>
    </i>
    <i r="3">
      <x v="99"/>
    </i>
    <i r="4">
      <x v="254"/>
    </i>
    <i r="3">
      <x v="100"/>
    </i>
    <i r="4">
      <x v="253"/>
    </i>
    <i r="3">
      <x v="101"/>
    </i>
    <i r="4">
      <x v="255"/>
    </i>
    <i r="3">
      <x v="102"/>
    </i>
    <i r="4">
      <x v="40"/>
    </i>
    <i r="3">
      <x v="103"/>
    </i>
    <i r="4">
      <x v="252"/>
    </i>
    <i r="3">
      <x v="104"/>
    </i>
    <i r="4">
      <x v="256"/>
    </i>
    <i r="2">
      <x v="26"/>
    </i>
    <i r="3">
      <x v="131"/>
    </i>
    <i r="4">
      <x v="13"/>
    </i>
    <i>
      <x v="1"/>
    </i>
    <i r="1">
      <x/>
    </i>
    <i r="2">
      <x v="19"/>
    </i>
    <i r="3">
      <x v="81"/>
    </i>
    <i r="4">
      <x v="231"/>
    </i>
    <i r="1">
      <x v="3"/>
    </i>
    <i r="2">
      <x v="2"/>
    </i>
    <i r="3">
      <x v="7"/>
    </i>
    <i r="4">
      <x v="117"/>
    </i>
    <i r="4">
      <x v="124"/>
    </i>
    <i r="4">
      <x v="131"/>
    </i>
    <i r="4">
      <x v="380"/>
    </i>
    <i r="4">
      <x v="400"/>
    </i>
    <i r="3">
      <x v="10"/>
    </i>
    <i r="4">
      <x v="17"/>
    </i>
    <i r="4">
      <x v="18"/>
    </i>
    <i r="3">
      <x v="11"/>
    </i>
    <i r="4">
      <x v="7"/>
    </i>
    <i r="4">
      <x v="8"/>
    </i>
    <i r="3">
      <x v="12"/>
    </i>
    <i r="4">
      <x v="107"/>
    </i>
    <i r="3">
      <x v="13"/>
    </i>
    <i r="4">
      <x v="6"/>
    </i>
    <i r="3">
      <x v="14"/>
    </i>
    <i r="4">
      <x v="46"/>
    </i>
    <i r="4">
      <x v="47"/>
    </i>
    <i r="3">
      <x v="15"/>
    </i>
    <i r="4">
      <x v="372"/>
    </i>
    <i r="2">
      <x v="3"/>
    </i>
    <i r="3">
      <x v="18"/>
    </i>
    <i r="4">
      <x v="232"/>
    </i>
    <i r="3">
      <x v="19"/>
    </i>
    <i r="4">
      <x v="9"/>
    </i>
    <i r="2">
      <x v="4"/>
    </i>
    <i r="3">
      <x v="20"/>
    </i>
    <i r="4">
      <x v="34"/>
    </i>
    <i r="3">
      <x v="21"/>
    </i>
    <i r="4">
      <x v="98"/>
    </i>
    <i r="1">
      <x v="4"/>
    </i>
    <i r="2">
      <x v="8"/>
    </i>
    <i r="3">
      <x v="33"/>
    </i>
    <i r="4">
      <x v="237"/>
    </i>
    <i r="3">
      <x v="34"/>
    </i>
    <i r="4">
      <x v="373"/>
    </i>
    <i r="3">
      <x v="39"/>
    </i>
    <i r="4">
      <x v="233"/>
    </i>
    <i r="4">
      <x v="234"/>
    </i>
    <i>
      <x v="2"/>
    </i>
    <i r="1">
      <x v="2"/>
    </i>
    <i r="2">
      <x v="29"/>
    </i>
    <i r="3">
      <x v="145"/>
    </i>
    <i r="4">
      <x v="377"/>
    </i>
    <i r="3">
      <x v="146"/>
    </i>
    <i r="4">
      <x v="139"/>
    </i>
    <i r="3">
      <x v="147"/>
    </i>
    <i r="4">
      <x v="127"/>
    </i>
    <i r="3">
      <x v="148"/>
    </i>
    <i r="4">
      <x v="142"/>
    </i>
    <i r="3">
      <x v="149"/>
    </i>
    <i r="4">
      <x v="140"/>
    </i>
    <i r="3">
      <x v="150"/>
    </i>
    <i r="4">
      <x v="144"/>
    </i>
    <i r="2">
      <x v="30"/>
    </i>
    <i r="3">
      <x v="152"/>
    </i>
    <i r="4">
      <x v="128"/>
    </i>
    <i r="4">
      <x v="129"/>
    </i>
    <i r="3">
      <x v="153"/>
    </i>
    <i r="4">
      <x v="141"/>
    </i>
    <i r="1">
      <x v="3"/>
    </i>
    <i r="2">
      <x v="5"/>
    </i>
    <i r="3">
      <x v="24"/>
    </i>
    <i r="4">
      <x v="339"/>
    </i>
    <i r="2">
      <x v="7"/>
    </i>
    <i r="3">
      <x v="31"/>
    </i>
    <i r="4">
      <x v="391"/>
    </i>
    <i r="4">
      <x v="392"/>
    </i>
    <i r="3">
      <x v="32"/>
    </i>
    <i r="4">
      <x v="371"/>
    </i>
    <i r="1">
      <x v="4"/>
    </i>
    <i r="2">
      <x v="8"/>
    </i>
    <i r="3">
      <x v="36"/>
    </i>
    <i r="4">
      <x v="379"/>
    </i>
    <i r="3">
      <x v="39"/>
    </i>
    <i r="4">
      <x v="378"/>
    </i>
    <i>
      <x v="3"/>
    </i>
    <i r="1">
      <x v="3"/>
    </i>
    <i r="2">
      <x v="6"/>
    </i>
    <i r="3">
      <x v="29"/>
    </i>
    <i r="4">
      <x/>
    </i>
    <i r="4">
      <x v="1"/>
    </i>
    <i r="4">
      <x v="167"/>
    </i>
    <i r="4">
      <x v="175"/>
    </i>
    <i r="4">
      <x v="176"/>
    </i>
    <i r="4">
      <x v="177"/>
    </i>
    <i r="4">
      <x v="178"/>
    </i>
    <i r="4">
      <x v="179"/>
    </i>
    <i r="4">
      <x v="180"/>
    </i>
    <i r="4">
      <x v="181"/>
    </i>
    <i r="4">
      <x v="182"/>
    </i>
    <i r="4">
      <x v="201"/>
    </i>
    <i r="4">
      <x v="202"/>
    </i>
    <i r="4">
      <x v="205"/>
    </i>
    <i r="4">
      <x v="206"/>
    </i>
    <i r="4">
      <x v="207"/>
    </i>
    <i r="4">
      <x v="208"/>
    </i>
    <i r="4">
      <x v="209"/>
    </i>
    <i r="4">
      <x v="210"/>
    </i>
    <i r="4">
      <x v="211"/>
    </i>
    <i r="4">
      <x v="212"/>
    </i>
    <i r="4">
      <x v="213"/>
    </i>
    <i r="4">
      <x v="214"/>
    </i>
    <i r="4">
      <x v="215"/>
    </i>
    <i r="4">
      <x v="216"/>
    </i>
    <i r="4">
      <x v="217"/>
    </i>
    <i r="4">
      <x v="218"/>
    </i>
    <i r="4">
      <x v="219"/>
    </i>
    <i r="4">
      <x v="220"/>
    </i>
    <i r="4">
      <x v="221"/>
    </i>
    <i r="4">
      <x v="224"/>
    </i>
    <i r="4">
      <x v="225"/>
    </i>
    <i r="4">
      <x v="226"/>
    </i>
    <i r="4">
      <x v="227"/>
    </i>
    <i r="4">
      <x v="228"/>
    </i>
    <i r="4">
      <x v="393"/>
    </i>
    <i r="4">
      <x v="394"/>
    </i>
    <i r="4">
      <x v="396"/>
    </i>
    <i r="4">
      <x v="397"/>
    </i>
    <i r="4">
      <x v="398"/>
    </i>
    <i r="4">
      <x v="399"/>
    </i>
    <i>
      <x v="4"/>
    </i>
    <i r="1">
      <x/>
    </i>
    <i r="2">
      <x v="21"/>
    </i>
    <i r="3">
      <x v="87"/>
    </i>
    <i r="4">
      <x v="126"/>
    </i>
    <i r="4">
      <x v="293"/>
    </i>
    <i r="4">
      <x v="305"/>
    </i>
    <i r="4">
      <x v="306"/>
    </i>
    <i r="4">
      <x v="317"/>
    </i>
    <i r="4">
      <x v="388"/>
    </i>
    <i r="4">
      <x v="389"/>
    </i>
    <i r="4">
      <x v="390"/>
    </i>
    <i r="3">
      <x v="88"/>
    </i>
    <i r="4">
      <x v="291"/>
    </i>
    <i r="4">
      <x v="292"/>
    </i>
    <i r="4">
      <x v="301"/>
    </i>
    <i r="3">
      <x v="89"/>
    </i>
    <i r="4">
      <x v="310"/>
    </i>
    <i r="3">
      <x v="90"/>
    </i>
    <i r="4">
      <x v="385"/>
    </i>
    <i r="3">
      <x v="91"/>
    </i>
    <i r="4">
      <x v="264"/>
    </i>
    <i r="4">
      <x v="265"/>
    </i>
    <i r="1">
      <x v="1"/>
    </i>
    <i r="2">
      <x v="24"/>
    </i>
    <i r="3">
      <x v="114"/>
    </i>
    <i r="4">
      <x v="263"/>
    </i>
    <i r="1">
      <x v="2"/>
    </i>
    <i r="2">
      <x v="29"/>
    </i>
    <i r="3">
      <x v="142"/>
    </i>
    <i r="4">
      <x v="283"/>
    </i>
    <i r="3">
      <x v="143"/>
    </i>
    <i r="4">
      <x v="289"/>
    </i>
    <i r="4">
      <x v="314"/>
    </i>
    <i r="3">
      <x v="151"/>
    </i>
    <i r="4">
      <x v="387"/>
    </i>
    <i r="2">
      <x v="31"/>
    </i>
    <i r="3">
      <x v="155"/>
    </i>
    <i r="4">
      <x v="235"/>
    </i>
    <i r="4">
      <x v="303"/>
    </i>
    <i r="4">
      <x v="374"/>
    </i>
    <i r="4">
      <x v="386"/>
    </i>
    <i r="3">
      <x v="156"/>
    </i>
    <i r="4">
      <x v="304"/>
    </i>
    <i r="3">
      <x v="157"/>
    </i>
    <i r="4">
      <x v="302"/>
    </i>
    <i r="1">
      <x v="3"/>
    </i>
    <i r="2">
      <x/>
    </i>
    <i r="3">
      <x/>
    </i>
    <i r="4">
      <x v="125"/>
    </i>
    <i r="4">
      <x v="269"/>
    </i>
    <i r="3">
      <x v="1"/>
    </i>
    <i r="4">
      <x v="382"/>
    </i>
    <i r="2">
      <x v="1"/>
    </i>
    <i r="3">
      <x v="2"/>
    </i>
    <i r="4">
      <x v="282"/>
    </i>
    <i r="3">
      <x v="3"/>
    </i>
    <i r="4">
      <x v="384"/>
    </i>
    <i r="3">
      <x v="4"/>
    </i>
    <i r="4">
      <x v="298"/>
    </i>
    <i r="3">
      <x v="5"/>
    </i>
    <i r="4">
      <x v="381"/>
    </i>
    <i r="4">
      <x v="383"/>
    </i>
    <i>
      <x v="5"/>
    </i>
    <i r="1">
      <x/>
    </i>
    <i r="2">
      <x v="18"/>
    </i>
    <i r="3">
      <x v="73"/>
    </i>
    <i r="4">
      <x v="245"/>
    </i>
    <i r="4">
      <x v="246"/>
    </i>
    <i r="4">
      <x v="313"/>
    </i>
    <i r="3">
      <x v="74"/>
    </i>
    <i r="4">
      <x v="230"/>
    </i>
    <i r="3">
      <x v="77"/>
    </i>
    <i r="4">
      <x v="276"/>
    </i>
    <i r="4">
      <x v="277"/>
    </i>
    <i r="2">
      <x v="22"/>
    </i>
    <i r="3">
      <x v="94"/>
    </i>
    <i r="4">
      <x v="164"/>
    </i>
    <i r="1">
      <x v="4"/>
    </i>
    <i r="2">
      <x v="8"/>
    </i>
    <i r="3">
      <x v="37"/>
    </i>
    <i r="4">
      <x v="222"/>
    </i>
    <i>
      <x v="6"/>
    </i>
    <i r="1">
      <x v="1"/>
    </i>
    <i r="2">
      <x v="24"/>
    </i>
    <i r="3">
      <x v="105"/>
    </i>
    <i r="4">
      <x v="24"/>
    </i>
    <i r="4">
      <x v="25"/>
    </i>
    <i r="4">
      <x v="31"/>
    </i>
    <i r="4">
      <x v="37"/>
    </i>
    <i r="4">
      <x v="44"/>
    </i>
    <i r="4">
      <x v="45"/>
    </i>
    <i r="4">
      <x v="48"/>
    </i>
    <i r="4">
      <x v="49"/>
    </i>
    <i r="4">
      <x v="50"/>
    </i>
    <i r="4">
      <x v="56"/>
    </i>
    <i r="4">
      <x v="66"/>
    </i>
    <i r="4">
      <x v="100"/>
    </i>
    <i r="4">
      <x v="101"/>
    </i>
    <i r="3">
      <x v="107"/>
    </i>
    <i r="4">
      <x v="118"/>
    </i>
    <i r="4">
      <x v="123"/>
    </i>
    <i r="4">
      <x v="165"/>
    </i>
    <i r="3">
      <x v="108"/>
    </i>
    <i r="4">
      <x v="97"/>
    </i>
    <i r="4">
      <x v="119"/>
    </i>
    <i r="3">
      <x v="109"/>
    </i>
    <i r="4">
      <x v="96"/>
    </i>
    <i r="4">
      <x v="327"/>
    </i>
    <i r="3">
      <x v="110"/>
    </i>
    <i r="4">
      <x v="115"/>
    </i>
    <i r="4">
      <x v="324"/>
    </i>
    <i r="3">
      <x v="111"/>
    </i>
    <i r="4">
      <x v="326"/>
    </i>
    <i r="3">
      <x v="112"/>
    </i>
    <i r="4">
      <x v="80"/>
    </i>
    <i r="4">
      <x v="120"/>
    </i>
    <i r="4">
      <x v="121"/>
    </i>
    <i r="4">
      <x v="122"/>
    </i>
    <i r="4">
      <x v="135"/>
    </i>
    <i r="3">
      <x v="113"/>
    </i>
    <i r="4">
      <x v="67"/>
    </i>
    <i r="4">
      <x v="84"/>
    </i>
    <i r="4">
      <x v="166"/>
    </i>
    <i>
      <x v="7"/>
    </i>
    <i r="1">
      <x/>
    </i>
    <i r="2">
      <x v="16"/>
    </i>
    <i r="3">
      <x v="64"/>
    </i>
    <i r="4">
      <x v="274"/>
    </i>
    <i r="4">
      <x v="278"/>
    </i>
    <i r="4">
      <x v="325"/>
    </i>
    <i r="1">
      <x v="2"/>
    </i>
    <i r="2">
      <x v="29"/>
    </i>
    <i r="3">
      <x v="140"/>
    </i>
    <i r="4">
      <x v="53"/>
    </i>
    <i r="3">
      <x v="141"/>
    </i>
    <i r="4">
      <x v="279"/>
    </i>
    <i r="3">
      <x v="144"/>
    </i>
    <i r="4">
      <x v="52"/>
    </i>
    <i r="3">
      <x v="145"/>
    </i>
    <i r="4">
      <x v="51"/>
    </i>
    <i r="2">
      <x v="30"/>
    </i>
    <i r="3">
      <x v="154"/>
    </i>
    <i r="4">
      <x v="275"/>
    </i>
    <i r="1">
      <x v="3"/>
    </i>
    <i r="2">
      <x v="6"/>
    </i>
    <i r="3">
      <x v="28"/>
    </i>
    <i r="4">
      <x v="318"/>
    </i>
    <i r="4">
      <x v="319"/>
    </i>
    <i r="4">
      <x v="320"/>
    </i>
    <i r="1">
      <x v="4"/>
    </i>
    <i r="2">
      <x v="8"/>
    </i>
    <i r="3">
      <x v="35"/>
    </i>
    <i r="4">
      <x v="337"/>
    </i>
    <i r="3">
      <x v="36"/>
    </i>
    <i r="4">
      <x v="280"/>
    </i>
    <i r="2">
      <x v="9"/>
    </i>
    <i r="3">
      <x v="40"/>
    </i>
    <i r="4">
      <x v="311"/>
    </i>
    <i r="4">
      <x v="312"/>
    </i>
    <i r="4">
      <x v="334"/>
    </i>
    <i r="3">
      <x v="41"/>
    </i>
    <i r="4">
      <x v="328"/>
    </i>
    <i r="3">
      <x v="42"/>
    </i>
    <i r="4">
      <x v="329"/>
    </i>
    <i r="3">
      <x v="43"/>
    </i>
    <i r="4">
      <x v="321"/>
    </i>
    <i r="2">
      <x v="10"/>
    </i>
    <i r="3">
      <x v="44"/>
    </i>
    <i r="4">
      <x v="57"/>
    </i>
    <i r="4">
      <x v="58"/>
    </i>
    <i r="3">
      <x v="45"/>
    </i>
    <i r="4">
      <x v="55"/>
    </i>
    <i r="3">
      <x v="46"/>
    </i>
    <i r="4">
      <x v="59"/>
    </i>
    <i r="3">
      <x v="47"/>
    </i>
    <i r="4">
      <x v="54"/>
    </i>
    <i r="2">
      <x v="11"/>
    </i>
    <i r="3">
      <x v="48"/>
    </i>
    <i r="4">
      <x v="88"/>
    </i>
    <i r="3">
      <x v="49"/>
    </i>
    <i r="4">
      <x v="86"/>
    </i>
    <i r="2">
      <x v="12"/>
    </i>
    <i r="3">
      <x v="50"/>
    </i>
    <i r="4">
      <x v="64"/>
    </i>
    <i r="4">
      <x v="65"/>
    </i>
    <i r="4">
      <x v="136"/>
    </i>
    <i r="2">
      <x v="13"/>
    </i>
    <i r="3">
      <x v="51"/>
    </i>
    <i r="4">
      <x v="307"/>
    </i>
    <i r="3">
      <x v="52"/>
    </i>
    <i r="4">
      <x v="309"/>
    </i>
    <i r="3">
      <x v="53"/>
    </i>
    <i r="4">
      <x v="308"/>
    </i>
    <i r="2">
      <x v="14"/>
    </i>
    <i r="3">
      <x v="54"/>
    </i>
    <i r="4">
      <x v="281"/>
    </i>
    <i r="3">
      <x v="55"/>
    </i>
    <i r="4">
      <x v="138"/>
    </i>
    <i r="2">
      <x v="15"/>
    </i>
    <i r="3">
      <x v="56"/>
    </i>
    <i r="4">
      <x v="335"/>
    </i>
    <i r="4">
      <x v="336"/>
    </i>
    <i>
      <x v="8"/>
    </i>
    <i r="1">
      <x/>
    </i>
    <i r="2">
      <x v="18"/>
    </i>
    <i r="3">
      <x v="77"/>
    </i>
    <i r="4">
      <x v="290"/>
    </i>
    <i r="2">
      <x v="22"/>
    </i>
    <i r="3">
      <x v="92"/>
    </i>
    <i r="4">
      <x v="130"/>
    </i>
    <i r="4">
      <x v="359"/>
    </i>
    <i r="4">
      <x v="360"/>
    </i>
    <i r="4">
      <x v="361"/>
    </i>
    <i r="3">
      <x v="93"/>
    </i>
    <i r="4">
      <x v="369"/>
    </i>
    <i r="3">
      <x v="94"/>
    </i>
    <i r="4">
      <x v="273"/>
    </i>
    <i r="1">
      <x v="1"/>
    </i>
    <i r="2">
      <x v="28"/>
    </i>
    <i r="3">
      <x v="138"/>
    </i>
    <i r="4">
      <x v="270"/>
    </i>
    <i r="4">
      <x v="343"/>
    </i>
    <i r="4">
      <x v="355"/>
    </i>
    <i r="3">
      <x v="139"/>
    </i>
    <i r="4">
      <x v="147"/>
    </i>
    <i r="1">
      <x v="2"/>
    </i>
    <i r="2">
      <x v="32"/>
    </i>
    <i r="3">
      <x v="158"/>
    </i>
    <i r="4">
      <x v="344"/>
    </i>
    <i r="3">
      <x v="159"/>
    </i>
    <i r="4">
      <x v="137"/>
    </i>
    <i r="1">
      <x v="3"/>
    </i>
    <i r="2">
      <x v="6"/>
    </i>
    <i r="3">
      <x v="29"/>
    </i>
    <i r="4">
      <x v="145"/>
    </i>
    <i r="4">
      <x v="146"/>
    </i>
    <i r="4">
      <x v="356"/>
    </i>
    <i r="4">
      <x v="357"/>
    </i>
    <i r="3">
      <x v="30"/>
    </i>
    <i r="4">
      <x v="267"/>
    </i>
    <i r="4">
      <x v="268"/>
    </i>
    <i>
      <x v="9"/>
    </i>
    <i r="1">
      <x v="1"/>
    </i>
    <i r="2">
      <x v="25"/>
    </i>
    <i r="3">
      <x v="115"/>
    </i>
    <i r="4">
      <x v="35"/>
    </i>
    <i r="4">
      <x v="36"/>
    </i>
    <i r="4">
      <x v="63"/>
    </i>
    <i r="4">
      <x v="72"/>
    </i>
    <i r="4">
      <x v="77"/>
    </i>
    <i r="4">
      <x v="238"/>
    </i>
    <i r="4">
      <x v="241"/>
    </i>
    <i r="4">
      <x v="242"/>
    </i>
    <i r="4">
      <x v="243"/>
    </i>
    <i r="4">
      <x v="247"/>
    </i>
    <i r="4">
      <x v="248"/>
    </i>
    <i r="4">
      <x v="260"/>
    </i>
    <i r="4">
      <x v="262"/>
    </i>
    <i r="3">
      <x v="116"/>
    </i>
    <i r="4">
      <x v="61"/>
    </i>
    <i r="3">
      <x v="117"/>
    </i>
    <i r="4">
      <x v="92"/>
    </i>
    <i r="4">
      <x v="249"/>
    </i>
    <i r="3">
      <x v="118"/>
    </i>
    <i r="4">
      <x v="71"/>
    </i>
    <i r="4">
      <x v="87"/>
    </i>
    <i r="4">
      <x v="91"/>
    </i>
    <i r="3">
      <x v="119"/>
    </i>
    <i r="4">
      <x v="62"/>
    </i>
    <i r="4">
      <x v="68"/>
    </i>
    <i r="4">
      <x v="69"/>
    </i>
    <i r="4">
      <x v="70"/>
    </i>
    <i r="3">
      <x v="120"/>
    </i>
    <i r="4">
      <x v="85"/>
    </i>
    <i r="3">
      <x v="121"/>
    </i>
    <i r="4">
      <x v="41"/>
    </i>
    <i r="4">
      <x v="78"/>
    </i>
    <i r="3">
      <x v="122"/>
    </i>
    <i r="4">
      <x v="38"/>
    </i>
    <i r="4">
      <x v="39"/>
    </i>
    <i r="3">
      <x v="123"/>
    </i>
    <i r="4">
      <x v="32"/>
    </i>
    <i r="4">
      <x v="33"/>
    </i>
    <i r="4">
      <x v="60"/>
    </i>
    <i r="4">
      <x v="82"/>
    </i>
    <i r="4">
      <x v="83"/>
    </i>
    <i r="4">
      <x v="89"/>
    </i>
    <i r="4">
      <x v="90"/>
    </i>
    <i r="3">
      <x v="124"/>
    </i>
    <i r="4">
      <x v="261"/>
    </i>
    <i>
      <x v="10"/>
    </i>
    <i r="1">
      <x v="3"/>
    </i>
    <i r="2">
      <x v="6"/>
    </i>
    <i r="3">
      <x v="29"/>
    </i>
    <i r="4">
      <x v="2"/>
    </i>
    <i r="4">
      <x v="3"/>
    </i>
    <i r="4">
      <x v="5"/>
    </i>
    <i r="4">
      <x v="152"/>
    </i>
    <i r="4">
      <x v="153"/>
    </i>
    <i r="4">
      <x v="154"/>
    </i>
    <i r="4">
      <x v="155"/>
    </i>
    <i r="4">
      <x v="156"/>
    </i>
    <i r="4">
      <x v="157"/>
    </i>
    <i r="4">
      <x v="158"/>
    </i>
    <i r="4">
      <x v="159"/>
    </i>
    <i r="4">
      <x v="160"/>
    </i>
    <i r="4">
      <x v="161"/>
    </i>
    <i r="4">
      <x v="162"/>
    </i>
    <i r="4">
      <x v="163"/>
    </i>
    <i r="4">
      <x v="189"/>
    </i>
    <i r="4">
      <x v="190"/>
    </i>
    <i r="4">
      <x v="191"/>
    </i>
    <i r="4">
      <x v="192"/>
    </i>
    <i r="4">
      <x v="193"/>
    </i>
    <i r="4">
      <x v="395"/>
    </i>
    <i>
      <x v="11"/>
    </i>
    <i r="1">
      <x/>
    </i>
    <i r="2">
      <x v="17"/>
    </i>
    <i r="3">
      <x v="70"/>
    </i>
    <i r="4">
      <x v="345"/>
    </i>
    <i r="4">
      <x v="346"/>
    </i>
    <i r="4">
      <x v="347"/>
    </i>
    <i r="4">
      <x v="351"/>
    </i>
    <i r="3">
      <x v="71"/>
    </i>
    <i r="4">
      <x v="348"/>
    </i>
    <i r="4">
      <x v="352"/>
    </i>
    <i r="4">
      <x v="353"/>
    </i>
    <i r="3">
      <x v="72"/>
    </i>
    <i r="4">
      <x v="143"/>
    </i>
    <i r="4">
      <x v="349"/>
    </i>
    <i r="4">
      <x v="350"/>
    </i>
    <i>
      <x v="12"/>
    </i>
    <i r="1">
      <x/>
    </i>
    <i r="2">
      <x v="18"/>
    </i>
    <i r="3">
      <x v="74"/>
    </i>
    <i r="4">
      <x v="113"/>
    </i>
    <i r="4">
      <x v="114"/>
    </i>
    <i r="3">
      <x v="75"/>
    </i>
    <i r="4">
      <x v="116"/>
    </i>
    <i r="3">
      <x v="76"/>
    </i>
    <i r="4">
      <x v="244"/>
    </i>
    <i>
      <x v="13"/>
    </i>
    <i r="1">
      <x v="3"/>
    </i>
    <i r="2">
      <x v="1"/>
    </i>
    <i r="3">
      <x v="6"/>
    </i>
    <i r="4">
      <x v="340"/>
    </i>
    <i r="2">
      <x v="5"/>
    </i>
    <i r="3">
      <x v="22"/>
    </i>
    <i r="4">
      <x v="333"/>
    </i>
    <i r="3">
      <x v="23"/>
    </i>
    <i r="4">
      <x v="332"/>
    </i>
    <i r="3">
      <x v="24"/>
    </i>
    <i r="4">
      <x v="339"/>
    </i>
    <i r="3">
      <x v="25"/>
    </i>
    <i r="4">
      <x v="342"/>
    </i>
    <i r="3">
      <x v="26"/>
    </i>
    <i r="4">
      <x v="338"/>
    </i>
    <i r="3">
      <x v="27"/>
    </i>
    <i r="4">
      <x v="341"/>
    </i>
    <i>
      <x v="14"/>
    </i>
    <i r="1">
      <x v="1"/>
    </i>
    <i r="2">
      <x v="26"/>
    </i>
    <i r="3">
      <x v="125"/>
    </i>
    <i r="4">
      <x v="26"/>
    </i>
    <i r="4">
      <x v="27"/>
    </i>
    <i r="4">
      <x v="28"/>
    </i>
    <i r="4">
      <x v="99"/>
    </i>
    <i r="3">
      <x v="126"/>
    </i>
    <i r="4">
      <x v="19"/>
    </i>
    <i r="3">
      <x v="127"/>
    </i>
    <i r="4">
      <x v="150"/>
    </i>
    <i r="4">
      <x v="151"/>
    </i>
    <i r="3">
      <x v="128"/>
    </i>
    <i r="4">
      <x v="29"/>
    </i>
    <i r="4">
      <x v="30"/>
    </i>
    <i r="3">
      <x v="129"/>
    </i>
    <i r="4">
      <x v="330"/>
    </i>
    <i r="4">
      <x v="331"/>
    </i>
    <i r="3">
      <x v="130"/>
    </i>
    <i r="4">
      <x v="367"/>
    </i>
    <i r="4">
      <x v="368"/>
    </i>
    <i r="3">
      <x v="131"/>
    </i>
    <i r="4">
      <x v="14"/>
    </i>
    <i r="4">
      <x v="15"/>
    </i>
    <i r="4">
      <x v="16"/>
    </i>
    <i>
      <x v="15"/>
    </i>
    <i r="1">
      <x/>
    </i>
    <i r="2">
      <x v="20"/>
    </i>
    <i r="3">
      <x v="82"/>
    </i>
    <i r="4">
      <x v="73"/>
    </i>
    <i r="4">
      <x v="74"/>
    </i>
    <i r="3">
      <x v="83"/>
    </i>
    <i r="4">
      <x v="75"/>
    </i>
    <i r="3">
      <x v="84"/>
    </i>
    <i r="4">
      <x v="76"/>
    </i>
    <i r="3">
      <x v="85"/>
    </i>
    <i r="4">
      <x v="259"/>
    </i>
    <i r="3">
      <x v="86"/>
    </i>
    <i r="4">
      <x v="132"/>
    </i>
    <i r="4">
      <x v="133"/>
    </i>
    <i r="4">
      <x v="134"/>
    </i>
    <i>
      <x v="16"/>
    </i>
    <i r="1">
      <x v="1"/>
    </i>
    <i r="2">
      <x v="27"/>
    </i>
    <i r="3">
      <x v="132"/>
    </i>
    <i r="4">
      <x v="20"/>
    </i>
    <i r="3">
      <x v="133"/>
    </i>
    <i r="4">
      <x v="21"/>
    </i>
    <i r="4">
      <x v="22"/>
    </i>
    <i r="4">
      <x v="23"/>
    </i>
    <i r="3">
      <x v="134"/>
    </i>
    <i r="4">
      <x v="149"/>
    </i>
    <i r="4">
      <x v="354"/>
    </i>
    <i r="3">
      <x v="135"/>
    </i>
    <i r="4">
      <x v="109"/>
    </i>
    <i r="4">
      <x v="363"/>
    </i>
    <i r="3">
      <x v="136"/>
    </i>
    <i r="4">
      <x v="81"/>
    </i>
    <i r="4">
      <x v="148"/>
    </i>
    <i r="3">
      <x v="137"/>
    </i>
    <i r="4">
      <x v="111"/>
    </i>
    <i r="4">
      <x v="112"/>
    </i>
    <i r="1">
      <x v="3"/>
    </i>
    <i r="2">
      <x v="1"/>
    </i>
    <i r="3">
      <x v="6"/>
    </i>
    <i r="4">
      <x v="362"/>
    </i>
    <i r="1">
      <x v="4"/>
    </i>
    <i r="2">
      <x v="8"/>
    </i>
    <i r="3">
      <x v="38"/>
    </i>
    <i r="4">
      <x v="229"/>
    </i>
    <i r="2">
      <x v="11"/>
    </i>
    <i r="3">
      <x v="48"/>
    </i>
    <i r="4">
      <x v="200"/>
    </i>
    <i>
      <x v="17"/>
    </i>
    <i r="1">
      <x/>
    </i>
    <i r="2">
      <x v="16"/>
    </i>
    <i r="3">
      <x v="57"/>
    </i>
    <i r="4">
      <x v="110"/>
    </i>
    <i r="4">
      <x v="284"/>
    </i>
    <i r="4">
      <x v="285"/>
    </i>
    <i r="4">
      <x v="294"/>
    </i>
    <i r="4">
      <x v="295"/>
    </i>
    <i r="3">
      <x v="58"/>
    </i>
    <i r="4">
      <x v="299"/>
    </i>
    <i r="4">
      <x v="300"/>
    </i>
    <i r="3">
      <x v="59"/>
    </i>
    <i r="4">
      <x v="94"/>
    </i>
    <i r="4">
      <x v="95"/>
    </i>
    <i r="3">
      <x v="60"/>
    </i>
    <i r="4">
      <x v="102"/>
    </i>
    <i r="4">
      <x v="103"/>
    </i>
    <i r="4">
      <x v="104"/>
    </i>
    <i r="4">
      <x v="322"/>
    </i>
    <i r="4">
      <x v="323"/>
    </i>
    <i r="3">
      <x v="61"/>
    </i>
    <i r="4">
      <x v="296"/>
    </i>
    <i r="4">
      <x v="297"/>
    </i>
    <i r="3">
      <x v="62"/>
    </i>
    <i r="4">
      <x v="93"/>
    </i>
    <i r="3">
      <x v="63"/>
    </i>
    <i r="4">
      <x v="315"/>
    </i>
    <i r="4">
      <x v="316"/>
    </i>
    <i r="2">
      <x v="22"/>
    </i>
    <i r="3">
      <x v="94"/>
    </i>
    <i r="4">
      <x v="105"/>
    </i>
    <i r="4">
      <x v="106"/>
    </i>
    <i>
      <x v="18"/>
    </i>
    <i r="1">
      <x v="3"/>
    </i>
    <i r="2">
      <x v="2"/>
    </i>
    <i r="3">
      <x v="8"/>
    </i>
    <i r="4">
      <x v="375"/>
    </i>
    <i r="4">
      <x v="376"/>
    </i>
    <i r="3">
      <x v="9"/>
    </i>
    <i r="4">
      <x v="266"/>
    </i>
    <i r="3">
      <x v="16"/>
    </i>
    <i r="4">
      <x v="271"/>
    </i>
    <i r="4">
      <x v="272"/>
    </i>
    <i r="3">
      <x v="17"/>
    </i>
    <i r="4">
      <x v="286"/>
    </i>
    <i r="4">
      <x v="287"/>
    </i>
    <i r="4">
      <x v="288"/>
    </i>
    <i>
      <x v="19"/>
    </i>
    <i r="1">
      <x v="3"/>
    </i>
    <i r="2">
      <x v="6"/>
    </i>
    <i r="3">
      <x v="29"/>
    </i>
    <i r="4">
      <x v="4"/>
    </i>
    <i r="4">
      <x v="168"/>
    </i>
    <i r="4">
      <x v="169"/>
    </i>
    <i r="4">
      <x v="170"/>
    </i>
    <i r="4">
      <x v="171"/>
    </i>
    <i r="4">
      <x v="172"/>
    </i>
    <i r="4">
      <x v="173"/>
    </i>
    <i r="4">
      <x v="174"/>
    </i>
    <i r="4">
      <x v="183"/>
    </i>
    <i r="4">
      <x v="184"/>
    </i>
    <i r="4">
      <x v="185"/>
    </i>
    <i r="4">
      <x v="186"/>
    </i>
    <i r="4">
      <x v="187"/>
    </i>
    <i r="4">
      <x v="188"/>
    </i>
    <i r="4">
      <x v="194"/>
    </i>
    <i r="4">
      <x v="195"/>
    </i>
    <i r="4">
      <x v="196"/>
    </i>
    <i r="4">
      <x v="197"/>
    </i>
    <i r="4">
      <x v="198"/>
    </i>
    <i r="4">
      <x v="199"/>
    </i>
    <i r="4">
      <x v="203"/>
    </i>
    <i r="4">
      <x v="204"/>
    </i>
    <i r="4">
      <x v="223"/>
    </i>
    <i r="4">
      <x v="258"/>
    </i>
    <i>
      <x v="20"/>
    </i>
    <i r="1">
      <x v="1"/>
    </i>
    <i r="2">
      <x v="24"/>
    </i>
    <i r="3">
      <x v="106"/>
    </i>
    <i r="4">
      <x v="239"/>
    </i>
    <i r="4">
      <x v="240"/>
    </i>
    <i t="grand">
      <x/>
    </i>
  </rowItems>
  <colFields count="1">
    <field x="-2"/>
  </colFields>
  <colItems count="9">
    <i>
      <x/>
    </i>
    <i i="1">
      <x v="1"/>
    </i>
    <i i="2">
      <x v="2"/>
    </i>
    <i i="3">
      <x v="3"/>
    </i>
    <i i="4">
      <x v="4"/>
    </i>
    <i i="5">
      <x v="5"/>
    </i>
    <i i="6">
      <x v="6"/>
    </i>
    <i i="7">
      <x v="7"/>
    </i>
    <i i="8">
      <x v="8"/>
    </i>
  </colItems>
  <pageFields count="1">
    <pageField fld="2" hier="-1"/>
  </pageFields>
  <dataFields count="9">
    <dataField name="PPTO INICIAL" fld="18" baseField="4" baseItem="0"/>
    <dataField name="PPTO VIGENTE" fld="20" baseField="4" baseItem="0"/>
    <dataField name="COMPROMISOS." fld="23" baseField="4" baseItem="0"/>
    <dataField name="GIROS." fld="25" baseField="4" baseItem="0"/>
    <dataField name="PAGOS " fld="28" baseField="4" baseItem="0"/>
    <dataField name=" SALDO APROPIACIÓN CDP" fld="29" baseField="4" baseItem="0" numFmtId="43"/>
    <dataField name="SALDO APROPIACIÓN RP" fld="30" baseField="4" baseItem="0" numFmtId="43"/>
    <dataField name="Suma de % CDP" fld="31" baseField="0" baseItem="0" numFmtId="43"/>
    <dataField name="Suma de % RP" fld="32" baseField="0" baseItem="0" numFmtId="43"/>
  </dataFields>
  <formats count="311">
    <format dxfId="311">
      <pivotArea dataOnly="0" labelOnly="1" fieldPosition="0">
        <references count="1">
          <reference field="4" count="0"/>
        </references>
      </pivotArea>
    </format>
    <format dxfId="310">
      <pivotArea dataOnly="0" labelOnly="1" fieldPosition="0">
        <references count="1">
          <reference field="4" count="1">
            <x v="0"/>
          </reference>
        </references>
      </pivotArea>
    </format>
    <format dxfId="309">
      <pivotArea dataOnly="0" labelOnly="1" fieldPosition="0">
        <references count="1">
          <reference field="6" count="0"/>
        </references>
      </pivotArea>
    </format>
    <format dxfId="308">
      <pivotArea dataOnly="0" labelOnly="1" fieldPosition="0">
        <references count="1">
          <reference field="7" count="0"/>
        </references>
      </pivotArea>
    </format>
    <format dxfId="307">
      <pivotArea dataOnly="0" labelOnly="1" fieldPosition="0">
        <references count="1">
          <reference field="7" count="0"/>
        </references>
      </pivotArea>
    </format>
    <format dxfId="306">
      <pivotArea dataOnly="0" labelOnly="1" fieldPosition="0">
        <references count="1">
          <reference field="8" count="0"/>
        </references>
      </pivotArea>
    </format>
    <format dxfId="305">
      <pivotArea outline="0" collapsedLevelsAreSubtotals="1" fieldPosition="0"/>
    </format>
    <format dxfId="304">
      <pivotArea dataOnly="0" labelOnly="1" outline="0" fieldPosition="0">
        <references count="1">
          <reference field="2" count="0"/>
        </references>
      </pivotArea>
    </format>
    <format dxfId="303">
      <pivotArea dataOnly="0" labelOnly="1" outline="0" fieldPosition="0">
        <references count="1">
          <reference field="4294967294" count="9">
            <x v="0"/>
            <x v="1"/>
            <x v="2"/>
            <x v="3"/>
            <x v="4"/>
            <x v="5"/>
            <x v="6"/>
            <x v="7"/>
            <x v="8"/>
          </reference>
        </references>
      </pivotArea>
    </format>
    <format dxfId="302">
      <pivotArea field="2" type="button" dataOnly="0" labelOnly="1" outline="0" axis="axisPage" fieldPosition="0"/>
    </format>
    <format dxfId="301">
      <pivotArea field="4" type="button" dataOnly="0" labelOnly="1" outline="0" axis="axisRow" fieldPosition="0"/>
    </format>
    <format dxfId="300">
      <pivotArea dataOnly="0" labelOnly="1" fieldPosition="0">
        <references count="1">
          <reference field="4" count="0"/>
        </references>
      </pivotArea>
    </format>
    <format dxfId="299">
      <pivotArea dataOnly="0" labelOnly="1" grandRow="1" outline="0" fieldPosition="0"/>
    </format>
    <format dxfId="298">
      <pivotArea dataOnly="0" labelOnly="1" fieldPosition="0">
        <references count="2">
          <reference field="4" count="1" selected="0">
            <x v="0"/>
          </reference>
          <reference field="6" count="2">
            <x v="0"/>
            <x v="1"/>
          </reference>
        </references>
      </pivotArea>
    </format>
    <format dxfId="297">
      <pivotArea dataOnly="0" labelOnly="1" fieldPosition="0">
        <references count="2">
          <reference field="4" count="1" selected="0">
            <x v="1"/>
          </reference>
          <reference field="6" count="3">
            <x v="0"/>
            <x v="3"/>
            <x v="4"/>
          </reference>
        </references>
      </pivotArea>
    </format>
    <format dxfId="296">
      <pivotArea dataOnly="0" labelOnly="1" fieldPosition="0">
        <references count="2">
          <reference field="4" count="1" selected="0">
            <x v="2"/>
          </reference>
          <reference field="6" count="3">
            <x v="2"/>
            <x v="3"/>
            <x v="4"/>
          </reference>
        </references>
      </pivotArea>
    </format>
    <format dxfId="295">
      <pivotArea dataOnly="0" labelOnly="1" fieldPosition="0">
        <references count="2">
          <reference field="4" count="1" selected="0">
            <x v="3"/>
          </reference>
          <reference field="6" count="1">
            <x v="3"/>
          </reference>
        </references>
      </pivotArea>
    </format>
    <format dxfId="294">
      <pivotArea dataOnly="0" labelOnly="1" fieldPosition="0">
        <references count="2">
          <reference field="4" count="1" selected="0">
            <x v="4"/>
          </reference>
          <reference field="6" count="4">
            <x v="0"/>
            <x v="1"/>
            <x v="2"/>
            <x v="3"/>
          </reference>
        </references>
      </pivotArea>
    </format>
    <format dxfId="293">
      <pivotArea dataOnly="0" labelOnly="1" fieldPosition="0">
        <references count="2">
          <reference field="4" count="1" selected="0">
            <x v="5"/>
          </reference>
          <reference field="6" count="2">
            <x v="0"/>
            <x v="4"/>
          </reference>
        </references>
      </pivotArea>
    </format>
    <format dxfId="292">
      <pivotArea dataOnly="0" labelOnly="1" fieldPosition="0">
        <references count="2">
          <reference field="4" count="1" selected="0">
            <x v="6"/>
          </reference>
          <reference field="6" count="1">
            <x v="1"/>
          </reference>
        </references>
      </pivotArea>
    </format>
    <format dxfId="291">
      <pivotArea dataOnly="0" labelOnly="1" fieldPosition="0">
        <references count="2">
          <reference field="4" count="1" selected="0">
            <x v="7"/>
          </reference>
          <reference field="6" count="4">
            <x v="0"/>
            <x v="2"/>
            <x v="3"/>
            <x v="4"/>
          </reference>
        </references>
      </pivotArea>
    </format>
    <format dxfId="290">
      <pivotArea dataOnly="0" labelOnly="1" fieldPosition="0">
        <references count="2">
          <reference field="4" count="1" selected="0">
            <x v="8"/>
          </reference>
          <reference field="6" count="4">
            <x v="0"/>
            <x v="1"/>
            <x v="2"/>
            <x v="3"/>
          </reference>
        </references>
      </pivotArea>
    </format>
    <format dxfId="289">
      <pivotArea dataOnly="0" labelOnly="1" fieldPosition="0">
        <references count="2">
          <reference field="4" count="1" selected="0">
            <x v="9"/>
          </reference>
          <reference field="6" count="1">
            <x v="1"/>
          </reference>
        </references>
      </pivotArea>
    </format>
    <format dxfId="288">
      <pivotArea dataOnly="0" labelOnly="1" fieldPosition="0">
        <references count="2">
          <reference field="4" count="1" selected="0">
            <x v="10"/>
          </reference>
          <reference field="6" count="1">
            <x v="3"/>
          </reference>
        </references>
      </pivotArea>
    </format>
    <format dxfId="287">
      <pivotArea dataOnly="0" labelOnly="1" fieldPosition="0">
        <references count="2">
          <reference field="4" count="1" selected="0">
            <x v="11"/>
          </reference>
          <reference field="6" count="1">
            <x v="0"/>
          </reference>
        </references>
      </pivotArea>
    </format>
    <format dxfId="286">
      <pivotArea dataOnly="0" labelOnly="1" fieldPosition="0">
        <references count="2">
          <reference field="4" count="1" selected="0">
            <x v="12"/>
          </reference>
          <reference field="6" count="1">
            <x v="0"/>
          </reference>
        </references>
      </pivotArea>
    </format>
    <format dxfId="285">
      <pivotArea dataOnly="0" labelOnly="1" fieldPosition="0">
        <references count="2">
          <reference field="4" count="1" selected="0">
            <x v="13"/>
          </reference>
          <reference field="6" count="1">
            <x v="3"/>
          </reference>
        </references>
      </pivotArea>
    </format>
    <format dxfId="284">
      <pivotArea dataOnly="0" labelOnly="1" fieldPosition="0">
        <references count="2">
          <reference field="4" count="1" selected="0">
            <x v="14"/>
          </reference>
          <reference field="6" count="1">
            <x v="1"/>
          </reference>
        </references>
      </pivotArea>
    </format>
    <format dxfId="283">
      <pivotArea dataOnly="0" labelOnly="1" fieldPosition="0">
        <references count="2">
          <reference field="4" count="1" selected="0">
            <x v="15"/>
          </reference>
          <reference field="6" count="1">
            <x v="0"/>
          </reference>
        </references>
      </pivotArea>
    </format>
    <format dxfId="282">
      <pivotArea dataOnly="0" labelOnly="1" fieldPosition="0">
        <references count="2">
          <reference field="4" count="1" selected="0">
            <x v="16"/>
          </reference>
          <reference field="6" count="3">
            <x v="1"/>
            <x v="3"/>
            <x v="4"/>
          </reference>
        </references>
      </pivotArea>
    </format>
    <format dxfId="281">
      <pivotArea dataOnly="0" labelOnly="1" fieldPosition="0">
        <references count="2">
          <reference field="4" count="1" selected="0">
            <x v="17"/>
          </reference>
          <reference field="6" count="1">
            <x v="0"/>
          </reference>
        </references>
      </pivotArea>
    </format>
    <format dxfId="280">
      <pivotArea dataOnly="0" labelOnly="1" fieldPosition="0">
        <references count="2">
          <reference field="4" count="1" selected="0">
            <x v="18"/>
          </reference>
          <reference field="6" count="1">
            <x v="3"/>
          </reference>
        </references>
      </pivotArea>
    </format>
    <format dxfId="279">
      <pivotArea dataOnly="0" labelOnly="1" fieldPosition="0">
        <references count="2">
          <reference field="4" count="1" selected="0">
            <x v="19"/>
          </reference>
          <reference field="6" count="1">
            <x v="3"/>
          </reference>
        </references>
      </pivotArea>
    </format>
    <format dxfId="278">
      <pivotArea dataOnly="0" labelOnly="1" fieldPosition="0">
        <references count="2">
          <reference field="4" count="1" selected="0">
            <x v="20"/>
          </reference>
          <reference field="6" count="1">
            <x v="1"/>
          </reference>
        </references>
      </pivotArea>
    </format>
    <format dxfId="277">
      <pivotArea dataOnly="0" labelOnly="1" fieldPosition="0">
        <references count="3">
          <reference field="4" count="1" selected="0">
            <x v="0"/>
          </reference>
          <reference field="6" count="1" selected="0">
            <x v="0"/>
          </reference>
          <reference field="7" count="2">
            <x v="17"/>
            <x v="19"/>
          </reference>
        </references>
      </pivotArea>
    </format>
    <format dxfId="276">
      <pivotArea dataOnly="0" labelOnly="1" fieldPosition="0">
        <references count="3">
          <reference field="4" count="1" selected="0">
            <x v="0"/>
          </reference>
          <reference field="6" count="1" selected="0">
            <x v="1"/>
          </reference>
          <reference field="7" count="2">
            <x v="23"/>
            <x v="26"/>
          </reference>
        </references>
      </pivotArea>
    </format>
    <format dxfId="275">
      <pivotArea dataOnly="0" labelOnly="1" fieldPosition="0">
        <references count="3">
          <reference field="4" count="1" selected="0">
            <x v="1"/>
          </reference>
          <reference field="6" count="1" selected="0">
            <x v="0"/>
          </reference>
          <reference field="7" count="1">
            <x v="19"/>
          </reference>
        </references>
      </pivotArea>
    </format>
    <format dxfId="274">
      <pivotArea dataOnly="0" labelOnly="1" fieldPosition="0">
        <references count="3">
          <reference field="4" count="1" selected="0">
            <x v="1"/>
          </reference>
          <reference field="6" count="1" selected="0">
            <x v="3"/>
          </reference>
          <reference field="7" count="3">
            <x v="2"/>
            <x v="3"/>
            <x v="4"/>
          </reference>
        </references>
      </pivotArea>
    </format>
    <format dxfId="273">
      <pivotArea dataOnly="0" labelOnly="1" fieldPosition="0">
        <references count="3">
          <reference field="4" count="1" selected="0">
            <x v="1"/>
          </reference>
          <reference field="6" count="1" selected="0">
            <x v="4"/>
          </reference>
          <reference field="7" count="1">
            <x v="8"/>
          </reference>
        </references>
      </pivotArea>
    </format>
    <format dxfId="272">
      <pivotArea dataOnly="0" labelOnly="1" fieldPosition="0">
        <references count="3">
          <reference field="4" count="1" selected="0">
            <x v="2"/>
          </reference>
          <reference field="6" count="1" selected="0">
            <x v="2"/>
          </reference>
          <reference field="7" count="2">
            <x v="29"/>
            <x v="30"/>
          </reference>
        </references>
      </pivotArea>
    </format>
    <format dxfId="271">
      <pivotArea dataOnly="0" labelOnly="1" fieldPosition="0">
        <references count="3">
          <reference field="4" count="1" selected="0">
            <x v="2"/>
          </reference>
          <reference field="6" count="1" selected="0">
            <x v="3"/>
          </reference>
          <reference field="7" count="2">
            <x v="5"/>
            <x v="7"/>
          </reference>
        </references>
      </pivotArea>
    </format>
    <format dxfId="270">
      <pivotArea dataOnly="0" labelOnly="1" fieldPosition="0">
        <references count="3">
          <reference field="4" count="1" selected="0">
            <x v="2"/>
          </reference>
          <reference field="6" count="1" selected="0">
            <x v="4"/>
          </reference>
          <reference field="7" count="1">
            <x v="8"/>
          </reference>
        </references>
      </pivotArea>
    </format>
    <format dxfId="269">
      <pivotArea dataOnly="0" labelOnly="1" fieldPosition="0">
        <references count="3">
          <reference field="4" count="1" selected="0">
            <x v="3"/>
          </reference>
          <reference field="6" count="1" selected="0">
            <x v="3"/>
          </reference>
          <reference field="7" count="1">
            <x v="6"/>
          </reference>
        </references>
      </pivotArea>
    </format>
    <format dxfId="268">
      <pivotArea dataOnly="0" labelOnly="1" fieldPosition="0">
        <references count="3">
          <reference field="4" count="1" selected="0">
            <x v="4"/>
          </reference>
          <reference field="6" count="1" selected="0">
            <x v="0"/>
          </reference>
          <reference field="7" count="1">
            <x v="21"/>
          </reference>
        </references>
      </pivotArea>
    </format>
    <format dxfId="267">
      <pivotArea dataOnly="0" labelOnly="1" fieldPosition="0">
        <references count="3">
          <reference field="4" count="1" selected="0">
            <x v="4"/>
          </reference>
          <reference field="6" count="1" selected="0">
            <x v="1"/>
          </reference>
          <reference field="7" count="1">
            <x v="24"/>
          </reference>
        </references>
      </pivotArea>
    </format>
    <format dxfId="266">
      <pivotArea dataOnly="0" labelOnly="1" fieldPosition="0">
        <references count="3">
          <reference field="4" count="1" selected="0">
            <x v="4"/>
          </reference>
          <reference field="6" count="1" selected="0">
            <x v="2"/>
          </reference>
          <reference field="7" count="2">
            <x v="29"/>
            <x v="31"/>
          </reference>
        </references>
      </pivotArea>
    </format>
    <format dxfId="265">
      <pivotArea dataOnly="0" labelOnly="1" fieldPosition="0">
        <references count="3">
          <reference field="4" count="1" selected="0">
            <x v="4"/>
          </reference>
          <reference field="6" count="1" selected="0">
            <x v="3"/>
          </reference>
          <reference field="7" count="2">
            <x v="0"/>
            <x v="1"/>
          </reference>
        </references>
      </pivotArea>
    </format>
    <format dxfId="264">
      <pivotArea dataOnly="0" labelOnly="1" fieldPosition="0">
        <references count="3">
          <reference field="4" count="1" selected="0">
            <x v="5"/>
          </reference>
          <reference field="6" count="1" selected="0">
            <x v="0"/>
          </reference>
          <reference field="7" count="2">
            <x v="18"/>
            <x v="22"/>
          </reference>
        </references>
      </pivotArea>
    </format>
    <format dxfId="263">
      <pivotArea dataOnly="0" labelOnly="1" fieldPosition="0">
        <references count="3">
          <reference field="4" count="1" selected="0">
            <x v="5"/>
          </reference>
          <reference field="6" count="1" selected="0">
            <x v="4"/>
          </reference>
          <reference field="7" count="1">
            <x v="8"/>
          </reference>
        </references>
      </pivotArea>
    </format>
    <format dxfId="262">
      <pivotArea dataOnly="0" labelOnly="1" fieldPosition="0">
        <references count="3">
          <reference field="4" count="1" selected="0">
            <x v="6"/>
          </reference>
          <reference field="6" count="1" selected="0">
            <x v="1"/>
          </reference>
          <reference field="7" count="1">
            <x v="24"/>
          </reference>
        </references>
      </pivotArea>
    </format>
    <format dxfId="261">
      <pivotArea dataOnly="0" labelOnly="1" fieldPosition="0">
        <references count="3">
          <reference field="4" count="1" selected="0">
            <x v="7"/>
          </reference>
          <reference field="6" count="1" selected="0">
            <x v="0"/>
          </reference>
          <reference field="7" count="1">
            <x v="16"/>
          </reference>
        </references>
      </pivotArea>
    </format>
    <format dxfId="260">
      <pivotArea dataOnly="0" labelOnly="1" fieldPosition="0">
        <references count="3">
          <reference field="4" count="1" selected="0">
            <x v="7"/>
          </reference>
          <reference field="6" count="1" selected="0">
            <x v="2"/>
          </reference>
          <reference field="7" count="2">
            <x v="29"/>
            <x v="30"/>
          </reference>
        </references>
      </pivotArea>
    </format>
    <format dxfId="259">
      <pivotArea dataOnly="0" labelOnly="1" fieldPosition="0">
        <references count="3">
          <reference field="4" count="1" selected="0">
            <x v="7"/>
          </reference>
          <reference field="6" count="1" selected="0">
            <x v="3"/>
          </reference>
          <reference field="7" count="1">
            <x v="6"/>
          </reference>
        </references>
      </pivotArea>
    </format>
    <format dxfId="258">
      <pivotArea dataOnly="0" labelOnly="1" fieldPosition="0">
        <references count="3">
          <reference field="4" count="1" selected="0">
            <x v="7"/>
          </reference>
          <reference field="6" count="1" selected="0">
            <x v="4"/>
          </reference>
          <reference field="7" count="8">
            <x v="8"/>
            <x v="9"/>
            <x v="10"/>
            <x v="11"/>
            <x v="12"/>
            <x v="13"/>
            <x v="14"/>
            <x v="15"/>
          </reference>
        </references>
      </pivotArea>
    </format>
    <format dxfId="257">
      <pivotArea dataOnly="0" labelOnly="1" fieldPosition="0">
        <references count="3">
          <reference field="4" count="1" selected="0">
            <x v="8"/>
          </reference>
          <reference field="6" count="1" selected="0">
            <x v="0"/>
          </reference>
          <reference field="7" count="2">
            <x v="18"/>
            <x v="22"/>
          </reference>
        </references>
      </pivotArea>
    </format>
    <format dxfId="256">
      <pivotArea dataOnly="0" labelOnly="1" fieldPosition="0">
        <references count="3">
          <reference field="4" count="1" selected="0">
            <x v="8"/>
          </reference>
          <reference field="6" count="1" selected="0">
            <x v="1"/>
          </reference>
          <reference field="7" count="1">
            <x v="28"/>
          </reference>
        </references>
      </pivotArea>
    </format>
    <format dxfId="255">
      <pivotArea dataOnly="0" labelOnly="1" fieldPosition="0">
        <references count="3">
          <reference field="4" count="1" selected="0">
            <x v="8"/>
          </reference>
          <reference field="6" count="1" selected="0">
            <x v="2"/>
          </reference>
          <reference field="7" count="1">
            <x v="32"/>
          </reference>
        </references>
      </pivotArea>
    </format>
    <format dxfId="254">
      <pivotArea dataOnly="0" labelOnly="1" fieldPosition="0">
        <references count="3">
          <reference field="4" count="1" selected="0">
            <x v="8"/>
          </reference>
          <reference field="6" count="1" selected="0">
            <x v="3"/>
          </reference>
          <reference field="7" count="1">
            <x v="6"/>
          </reference>
        </references>
      </pivotArea>
    </format>
    <format dxfId="253">
      <pivotArea dataOnly="0" labelOnly="1" fieldPosition="0">
        <references count="3">
          <reference field="4" count="1" selected="0">
            <x v="9"/>
          </reference>
          <reference field="6" count="1" selected="0">
            <x v="1"/>
          </reference>
          <reference field="7" count="1">
            <x v="25"/>
          </reference>
        </references>
      </pivotArea>
    </format>
    <format dxfId="252">
      <pivotArea dataOnly="0" labelOnly="1" fieldPosition="0">
        <references count="3">
          <reference field="4" count="1" selected="0">
            <x v="10"/>
          </reference>
          <reference field="6" count="1" selected="0">
            <x v="3"/>
          </reference>
          <reference field="7" count="1">
            <x v="6"/>
          </reference>
        </references>
      </pivotArea>
    </format>
    <format dxfId="251">
      <pivotArea dataOnly="0" labelOnly="1" fieldPosition="0">
        <references count="3">
          <reference field="4" count="1" selected="0">
            <x v="11"/>
          </reference>
          <reference field="6" count="1" selected="0">
            <x v="0"/>
          </reference>
          <reference field="7" count="1">
            <x v="17"/>
          </reference>
        </references>
      </pivotArea>
    </format>
    <format dxfId="250">
      <pivotArea dataOnly="0" labelOnly="1" fieldPosition="0">
        <references count="3">
          <reference field="4" count="1" selected="0">
            <x v="12"/>
          </reference>
          <reference field="6" count="1" selected="0">
            <x v="0"/>
          </reference>
          <reference field="7" count="1">
            <x v="18"/>
          </reference>
        </references>
      </pivotArea>
    </format>
    <format dxfId="249">
      <pivotArea dataOnly="0" labelOnly="1" fieldPosition="0">
        <references count="3">
          <reference field="4" count="1" selected="0">
            <x v="13"/>
          </reference>
          <reference field="6" count="1" selected="0">
            <x v="3"/>
          </reference>
          <reference field="7" count="2">
            <x v="1"/>
            <x v="5"/>
          </reference>
        </references>
      </pivotArea>
    </format>
    <format dxfId="248">
      <pivotArea dataOnly="0" labelOnly="1" fieldPosition="0">
        <references count="3">
          <reference field="4" count="1" selected="0">
            <x v="14"/>
          </reference>
          <reference field="6" count="1" selected="0">
            <x v="1"/>
          </reference>
          <reference field="7" count="1">
            <x v="26"/>
          </reference>
        </references>
      </pivotArea>
    </format>
    <format dxfId="247">
      <pivotArea dataOnly="0" labelOnly="1" fieldPosition="0">
        <references count="3">
          <reference field="4" count="1" selected="0">
            <x v="15"/>
          </reference>
          <reference field="6" count="1" selected="0">
            <x v="0"/>
          </reference>
          <reference field="7" count="1">
            <x v="20"/>
          </reference>
        </references>
      </pivotArea>
    </format>
    <format dxfId="246">
      <pivotArea dataOnly="0" labelOnly="1" fieldPosition="0">
        <references count="3">
          <reference field="4" count="1" selected="0">
            <x v="16"/>
          </reference>
          <reference field="6" count="1" selected="0">
            <x v="1"/>
          </reference>
          <reference field="7" count="1">
            <x v="27"/>
          </reference>
        </references>
      </pivotArea>
    </format>
    <format dxfId="245">
      <pivotArea dataOnly="0" labelOnly="1" fieldPosition="0">
        <references count="3">
          <reference field="4" count="1" selected="0">
            <x v="16"/>
          </reference>
          <reference field="6" count="1" selected="0">
            <x v="3"/>
          </reference>
          <reference field="7" count="1">
            <x v="1"/>
          </reference>
        </references>
      </pivotArea>
    </format>
    <format dxfId="244">
      <pivotArea dataOnly="0" labelOnly="1" fieldPosition="0">
        <references count="3">
          <reference field="4" count="1" selected="0">
            <x v="16"/>
          </reference>
          <reference field="6" count="1" selected="0">
            <x v="4"/>
          </reference>
          <reference field="7" count="2">
            <x v="8"/>
            <x v="11"/>
          </reference>
        </references>
      </pivotArea>
    </format>
    <format dxfId="243">
      <pivotArea dataOnly="0" labelOnly="1" fieldPosition="0">
        <references count="3">
          <reference field="4" count="1" selected="0">
            <x v="17"/>
          </reference>
          <reference field="6" count="1" selected="0">
            <x v="0"/>
          </reference>
          <reference field="7" count="2">
            <x v="16"/>
            <x v="22"/>
          </reference>
        </references>
      </pivotArea>
    </format>
    <format dxfId="242">
      <pivotArea dataOnly="0" labelOnly="1" fieldPosition="0">
        <references count="3">
          <reference field="4" count="1" selected="0">
            <x v="18"/>
          </reference>
          <reference field="6" count="1" selected="0">
            <x v="3"/>
          </reference>
          <reference field="7" count="1">
            <x v="2"/>
          </reference>
        </references>
      </pivotArea>
    </format>
    <format dxfId="241">
      <pivotArea dataOnly="0" labelOnly="1" fieldPosition="0">
        <references count="3">
          <reference field="4" count="1" selected="0">
            <x v="19"/>
          </reference>
          <reference field="6" count="1" selected="0">
            <x v="3"/>
          </reference>
          <reference field="7" count="1">
            <x v="6"/>
          </reference>
        </references>
      </pivotArea>
    </format>
    <format dxfId="240">
      <pivotArea dataOnly="0" labelOnly="1" fieldPosition="0">
        <references count="3">
          <reference field="4" count="1" selected="0">
            <x v="20"/>
          </reference>
          <reference field="6" count="1" selected="0">
            <x v="1"/>
          </reference>
          <reference field="7" count="1">
            <x v="24"/>
          </reference>
        </references>
      </pivotArea>
    </format>
    <format dxfId="239">
      <pivotArea dataOnly="0" labelOnly="1" fieldPosition="0">
        <references count="4">
          <reference field="4" count="1" selected="0">
            <x v="0"/>
          </reference>
          <reference field="6" count="1" selected="0">
            <x v="0"/>
          </reference>
          <reference field="7" count="1" selected="0">
            <x v="17"/>
          </reference>
          <reference field="8" count="5">
            <x v="65"/>
            <x v="66"/>
            <x v="67"/>
            <x v="68"/>
            <x v="69"/>
          </reference>
        </references>
      </pivotArea>
    </format>
    <format dxfId="238">
      <pivotArea dataOnly="0" labelOnly="1" fieldPosition="0">
        <references count="4">
          <reference field="4" count="1" selected="0">
            <x v="0"/>
          </reference>
          <reference field="6" count="1" selected="0">
            <x v="0"/>
          </reference>
          <reference field="7" count="1" selected="0">
            <x v="19"/>
          </reference>
          <reference field="8" count="3">
            <x v="78"/>
            <x v="79"/>
            <x v="80"/>
          </reference>
        </references>
      </pivotArea>
    </format>
    <format dxfId="237">
      <pivotArea dataOnly="0" labelOnly="1" fieldPosition="0">
        <references count="4">
          <reference field="4" count="1" selected="0">
            <x v="0"/>
          </reference>
          <reference field="6" count="1" selected="0">
            <x v="1"/>
          </reference>
          <reference field="7" count="1" selected="0">
            <x v="23"/>
          </reference>
          <reference field="8" count="10">
            <x v="95"/>
            <x v="96"/>
            <x v="97"/>
            <x v="98"/>
            <x v="99"/>
            <x v="100"/>
            <x v="101"/>
            <x v="102"/>
            <x v="103"/>
            <x v="104"/>
          </reference>
        </references>
      </pivotArea>
    </format>
    <format dxfId="236">
      <pivotArea dataOnly="0" labelOnly="1" fieldPosition="0">
        <references count="4">
          <reference field="4" count="1" selected="0">
            <x v="0"/>
          </reference>
          <reference field="6" count="1" selected="0">
            <x v="1"/>
          </reference>
          <reference field="7" count="1" selected="0">
            <x v="26"/>
          </reference>
          <reference field="8" count="1">
            <x v="131"/>
          </reference>
        </references>
      </pivotArea>
    </format>
    <format dxfId="235">
      <pivotArea dataOnly="0" labelOnly="1" fieldPosition="0">
        <references count="4">
          <reference field="4" count="1" selected="0">
            <x v="1"/>
          </reference>
          <reference field="6" count="1" selected="0">
            <x v="0"/>
          </reference>
          <reference field="7" count="1" selected="0">
            <x v="19"/>
          </reference>
          <reference field="8" count="1">
            <x v="81"/>
          </reference>
        </references>
      </pivotArea>
    </format>
    <format dxfId="234">
      <pivotArea dataOnly="0" labelOnly="1" fieldPosition="0">
        <references count="4">
          <reference field="4" count="1" selected="0">
            <x v="1"/>
          </reference>
          <reference field="6" count="1" selected="0">
            <x v="3"/>
          </reference>
          <reference field="7" count="1" selected="0">
            <x v="2"/>
          </reference>
          <reference field="8" count="7">
            <x v="7"/>
            <x v="10"/>
            <x v="11"/>
            <x v="12"/>
            <x v="13"/>
            <x v="14"/>
            <x v="15"/>
          </reference>
        </references>
      </pivotArea>
    </format>
    <format dxfId="233">
      <pivotArea dataOnly="0" labelOnly="1" fieldPosition="0">
        <references count="4">
          <reference field="4" count="1" selected="0">
            <x v="1"/>
          </reference>
          <reference field="6" count="1" selected="0">
            <x v="3"/>
          </reference>
          <reference field="7" count="1" selected="0">
            <x v="3"/>
          </reference>
          <reference field="8" count="2">
            <x v="18"/>
            <x v="19"/>
          </reference>
        </references>
      </pivotArea>
    </format>
    <format dxfId="232">
      <pivotArea dataOnly="0" labelOnly="1" fieldPosition="0">
        <references count="4">
          <reference field="4" count="1" selected="0">
            <x v="1"/>
          </reference>
          <reference field="6" count="1" selected="0">
            <x v="3"/>
          </reference>
          <reference field="7" count="1" selected="0">
            <x v="4"/>
          </reference>
          <reference field="8" count="2">
            <x v="20"/>
            <x v="21"/>
          </reference>
        </references>
      </pivotArea>
    </format>
    <format dxfId="231">
      <pivotArea dataOnly="0" labelOnly="1" fieldPosition="0">
        <references count="4">
          <reference field="4" count="1" selected="0">
            <x v="1"/>
          </reference>
          <reference field="6" count="1" selected="0">
            <x v="4"/>
          </reference>
          <reference field="7" count="1" selected="0">
            <x v="8"/>
          </reference>
          <reference field="8" count="3">
            <x v="33"/>
            <x v="34"/>
            <x v="39"/>
          </reference>
        </references>
      </pivotArea>
    </format>
    <format dxfId="230">
      <pivotArea dataOnly="0" labelOnly="1" fieldPosition="0">
        <references count="4">
          <reference field="4" count="1" selected="0">
            <x v="2"/>
          </reference>
          <reference field="6" count="1" selected="0">
            <x v="2"/>
          </reference>
          <reference field="7" count="1" selected="0">
            <x v="29"/>
          </reference>
          <reference field="8" count="6">
            <x v="145"/>
            <x v="146"/>
            <x v="147"/>
            <x v="148"/>
            <x v="149"/>
            <x v="150"/>
          </reference>
        </references>
      </pivotArea>
    </format>
    <format dxfId="229">
      <pivotArea dataOnly="0" labelOnly="1" fieldPosition="0">
        <references count="4">
          <reference field="4" count="1" selected="0">
            <x v="2"/>
          </reference>
          <reference field="6" count="1" selected="0">
            <x v="2"/>
          </reference>
          <reference field="7" count="1" selected="0">
            <x v="30"/>
          </reference>
          <reference field="8" count="2">
            <x v="152"/>
            <x v="153"/>
          </reference>
        </references>
      </pivotArea>
    </format>
    <format dxfId="228">
      <pivotArea dataOnly="0" labelOnly="1" fieldPosition="0">
        <references count="4">
          <reference field="4" count="1" selected="0">
            <x v="2"/>
          </reference>
          <reference field="6" count="1" selected="0">
            <x v="3"/>
          </reference>
          <reference field="7" count="1" selected="0">
            <x v="5"/>
          </reference>
          <reference field="8" count="1">
            <x v="24"/>
          </reference>
        </references>
      </pivotArea>
    </format>
    <format dxfId="227">
      <pivotArea dataOnly="0" labelOnly="1" fieldPosition="0">
        <references count="4">
          <reference field="4" count="1" selected="0">
            <x v="2"/>
          </reference>
          <reference field="6" count="1" selected="0">
            <x v="3"/>
          </reference>
          <reference field="7" count="1" selected="0">
            <x v="7"/>
          </reference>
          <reference field="8" count="2">
            <x v="31"/>
            <x v="32"/>
          </reference>
        </references>
      </pivotArea>
    </format>
    <format dxfId="226">
      <pivotArea dataOnly="0" labelOnly="1" fieldPosition="0">
        <references count="4">
          <reference field="4" count="1" selected="0">
            <x v="2"/>
          </reference>
          <reference field="6" count="1" selected="0">
            <x v="4"/>
          </reference>
          <reference field="7" count="1" selected="0">
            <x v="8"/>
          </reference>
          <reference field="8" count="2">
            <x v="36"/>
            <x v="39"/>
          </reference>
        </references>
      </pivotArea>
    </format>
    <format dxfId="225">
      <pivotArea dataOnly="0" labelOnly="1" fieldPosition="0">
        <references count="4">
          <reference field="4" count="1" selected="0">
            <x v="3"/>
          </reference>
          <reference field="6" count="1" selected="0">
            <x v="3"/>
          </reference>
          <reference field="7" count="1" selected="0">
            <x v="6"/>
          </reference>
          <reference field="8" count="1">
            <x v="29"/>
          </reference>
        </references>
      </pivotArea>
    </format>
    <format dxfId="224">
      <pivotArea dataOnly="0" labelOnly="1" fieldPosition="0">
        <references count="4">
          <reference field="4" count="1" selected="0">
            <x v="4"/>
          </reference>
          <reference field="6" count="1" selected="0">
            <x v="0"/>
          </reference>
          <reference field="7" count="1" selected="0">
            <x v="21"/>
          </reference>
          <reference field="8" count="5">
            <x v="87"/>
            <x v="88"/>
            <x v="89"/>
            <x v="90"/>
            <x v="91"/>
          </reference>
        </references>
      </pivotArea>
    </format>
    <format dxfId="223">
      <pivotArea dataOnly="0" labelOnly="1" fieldPosition="0">
        <references count="4">
          <reference field="4" count="1" selected="0">
            <x v="4"/>
          </reference>
          <reference field="6" count="1" selected="0">
            <x v="1"/>
          </reference>
          <reference field="7" count="1" selected="0">
            <x v="24"/>
          </reference>
          <reference field="8" count="1">
            <x v="114"/>
          </reference>
        </references>
      </pivotArea>
    </format>
    <format dxfId="222">
      <pivotArea dataOnly="0" labelOnly="1" fieldPosition="0">
        <references count="4">
          <reference field="4" count="1" selected="0">
            <x v="4"/>
          </reference>
          <reference field="6" count="1" selected="0">
            <x v="2"/>
          </reference>
          <reference field="7" count="1" selected="0">
            <x v="29"/>
          </reference>
          <reference field="8" count="3">
            <x v="142"/>
            <x v="143"/>
            <x v="151"/>
          </reference>
        </references>
      </pivotArea>
    </format>
    <format dxfId="221">
      <pivotArea dataOnly="0" labelOnly="1" fieldPosition="0">
        <references count="4">
          <reference field="4" count="1" selected="0">
            <x v="4"/>
          </reference>
          <reference field="6" count="1" selected="0">
            <x v="2"/>
          </reference>
          <reference field="7" count="1" selected="0">
            <x v="31"/>
          </reference>
          <reference field="8" count="3">
            <x v="155"/>
            <x v="156"/>
            <x v="157"/>
          </reference>
        </references>
      </pivotArea>
    </format>
    <format dxfId="220">
      <pivotArea dataOnly="0" labelOnly="1" fieldPosition="0">
        <references count="4">
          <reference field="4" count="1" selected="0">
            <x v="4"/>
          </reference>
          <reference field="6" count="1" selected="0">
            <x v="3"/>
          </reference>
          <reference field="7" count="1" selected="0">
            <x v="0"/>
          </reference>
          <reference field="8" count="2">
            <x v="0"/>
            <x v="1"/>
          </reference>
        </references>
      </pivotArea>
    </format>
    <format dxfId="219">
      <pivotArea dataOnly="0" labelOnly="1" fieldPosition="0">
        <references count="4">
          <reference field="4" count="1" selected="0">
            <x v="4"/>
          </reference>
          <reference field="6" count="1" selected="0">
            <x v="3"/>
          </reference>
          <reference field="7" count="1" selected="0">
            <x v="1"/>
          </reference>
          <reference field="8" count="4">
            <x v="2"/>
            <x v="3"/>
            <x v="4"/>
            <x v="5"/>
          </reference>
        </references>
      </pivotArea>
    </format>
    <format dxfId="218">
      <pivotArea dataOnly="0" labelOnly="1" fieldPosition="0">
        <references count="4">
          <reference field="4" count="1" selected="0">
            <x v="5"/>
          </reference>
          <reference field="6" count="1" selected="0">
            <x v="0"/>
          </reference>
          <reference field="7" count="1" selected="0">
            <x v="18"/>
          </reference>
          <reference field="8" count="3">
            <x v="73"/>
            <x v="74"/>
            <x v="77"/>
          </reference>
        </references>
      </pivotArea>
    </format>
    <format dxfId="217">
      <pivotArea dataOnly="0" labelOnly="1" fieldPosition="0">
        <references count="4">
          <reference field="4" count="1" selected="0">
            <x v="5"/>
          </reference>
          <reference field="6" count="1" selected="0">
            <x v="0"/>
          </reference>
          <reference field="7" count="1" selected="0">
            <x v="22"/>
          </reference>
          <reference field="8" count="1">
            <x v="94"/>
          </reference>
        </references>
      </pivotArea>
    </format>
    <format dxfId="216">
      <pivotArea dataOnly="0" labelOnly="1" fieldPosition="0">
        <references count="4">
          <reference field="4" count="1" selected="0">
            <x v="5"/>
          </reference>
          <reference field="6" count="1" selected="0">
            <x v="4"/>
          </reference>
          <reference field="7" count="1" selected="0">
            <x v="8"/>
          </reference>
          <reference field="8" count="1">
            <x v="37"/>
          </reference>
        </references>
      </pivotArea>
    </format>
    <format dxfId="215">
      <pivotArea dataOnly="0" labelOnly="1" fieldPosition="0">
        <references count="4">
          <reference field="4" count="1" selected="0">
            <x v="6"/>
          </reference>
          <reference field="6" count="1" selected="0">
            <x v="1"/>
          </reference>
          <reference field="7" count="1" selected="0">
            <x v="24"/>
          </reference>
          <reference field="8" count="8">
            <x v="105"/>
            <x v="107"/>
            <x v="108"/>
            <x v="109"/>
            <x v="110"/>
            <x v="111"/>
            <x v="112"/>
            <x v="113"/>
          </reference>
        </references>
      </pivotArea>
    </format>
    <format dxfId="214">
      <pivotArea dataOnly="0" labelOnly="1" fieldPosition="0">
        <references count="4">
          <reference field="4" count="1" selected="0">
            <x v="7"/>
          </reference>
          <reference field="6" count="1" selected="0">
            <x v="0"/>
          </reference>
          <reference field="7" count="1" selected="0">
            <x v="16"/>
          </reference>
          <reference field="8" count="1">
            <x v="64"/>
          </reference>
        </references>
      </pivotArea>
    </format>
    <format dxfId="213">
      <pivotArea dataOnly="0" labelOnly="1" fieldPosition="0">
        <references count="4">
          <reference field="4" count="1" selected="0">
            <x v="7"/>
          </reference>
          <reference field="6" count="1" selected="0">
            <x v="2"/>
          </reference>
          <reference field="7" count="1" selected="0">
            <x v="29"/>
          </reference>
          <reference field="8" count="4">
            <x v="140"/>
            <x v="141"/>
            <x v="144"/>
            <x v="145"/>
          </reference>
        </references>
      </pivotArea>
    </format>
    <format dxfId="212">
      <pivotArea dataOnly="0" labelOnly="1" fieldPosition="0">
        <references count="4">
          <reference field="4" count="1" selected="0">
            <x v="7"/>
          </reference>
          <reference field="6" count="1" selected="0">
            <x v="2"/>
          </reference>
          <reference field="7" count="1" selected="0">
            <x v="30"/>
          </reference>
          <reference field="8" count="1">
            <x v="154"/>
          </reference>
        </references>
      </pivotArea>
    </format>
    <format dxfId="211">
      <pivotArea dataOnly="0" labelOnly="1" fieldPosition="0">
        <references count="4">
          <reference field="4" count="1" selected="0">
            <x v="7"/>
          </reference>
          <reference field="6" count="1" selected="0">
            <x v="3"/>
          </reference>
          <reference field="7" count="1" selected="0">
            <x v="6"/>
          </reference>
          <reference field="8" count="1">
            <x v="28"/>
          </reference>
        </references>
      </pivotArea>
    </format>
    <format dxfId="210">
      <pivotArea dataOnly="0" labelOnly="1" fieldPosition="0">
        <references count="4">
          <reference field="4" count="1" selected="0">
            <x v="7"/>
          </reference>
          <reference field="6" count="1" selected="0">
            <x v="4"/>
          </reference>
          <reference field="7" count="1" selected="0">
            <x v="8"/>
          </reference>
          <reference field="8" count="2">
            <x v="35"/>
            <x v="36"/>
          </reference>
        </references>
      </pivotArea>
    </format>
    <format dxfId="209">
      <pivotArea dataOnly="0" labelOnly="1" fieldPosition="0">
        <references count="4">
          <reference field="4" count="1" selected="0">
            <x v="7"/>
          </reference>
          <reference field="6" count="1" selected="0">
            <x v="4"/>
          </reference>
          <reference field="7" count="1" selected="0">
            <x v="9"/>
          </reference>
          <reference field="8" count="4">
            <x v="40"/>
            <x v="41"/>
            <x v="42"/>
            <x v="43"/>
          </reference>
        </references>
      </pivotArea>
    </format>
    <format dxfId="208">
      <pivotArea dataOnly="0" labelOnly="1" fieldPosition="0">
        <references count="4">
          <reference field="4" count="1" selected="0">
            <x v="7"/>
          </reference>
          <reference field="6" count="1" selected="0">
            <x v="4"/>
          </reference>
          <reference field="7" count="1" selected="0">
            <x v="10"/>
          </reference>
          <reference field="8" count="4">
            <x v="44"/>
            <x v="45"/>
            <x v="46"/>
            <x v="47"/>
          </reference>
        </references>
      </pivotArea>
    </format>
    <format dxfId="207">
      <pivotArea dataOnly="0" labelOnly="1" fieldPosition="0">
        <references count="4">
          <reference field="4" count="1" selected="0">
            <x v="7"/>
          </reference>
          <reference field="6" count="1" selected="0">
            <x v="4"/>
          </reference>
          <reference field="7" count="1" selected="0">
            <x v="11"/>
          </reference>
          <reference field="8" count="2">
            <x v="48"/>
            <x v="49"/>
          </reference>
        </references>
      </pivotArea>
    </format>
    <format dxfId="206">
      <pivotArea dataOnly="0" labelOnly="1" fieldPosition="0">
        <references count="4">
          <reference field="4" count="1" selected="0">
            <x v="7"/>
          </reference>
          <reference field="6" count="1" selected="0">
            <x v="4"/>
          </reference>
          <reference field="7" count="1" selected="0">
            <x v="12"/>
          </reference>
          <reference field="8" count="1">
            <x v="50"/>
          </reference>
        </references>
      </pivotArea>
    </format>
    <format dxfId="205">
      <pivotArea dataOnly="0" labelOnly="1" fieldPosition="0">
        <references count="4">
          <reference field="4" count="1" selected="0">
            <x v="7"/>
          </reference>
          <reference field="6" count="1" selected="0">
            <x v="4"/>
          </reference>
          <reference field="7" count="1" selected="0">
            <x v="13"/>
          </reference>
          <reference field="8" count="3">
            <x v="51"/>
            <x v="52"/>
            <x v="53"/>
          </reference>
        </references>
      </pivotArea>
    </format>
    <format dxfId="204">
      <pivotArea dataOnly="0" labelOnly="1" fieldPosition="0">
        <references count="4">
          <reference field="4" count="1" selected="0">
            <x v="7"/>
          </reference>
          <reference field="6" count="1" selected="0">
            <x v="4"/>
          </reference>
          <reference field="7" count="1" selected="0">
            <x v="14"/>
          </reference>
          <reference field="8" count="2">
            <x v="54"/>
            <x v="55"/>
          </reference>
        </references>
      </pivotArea>
    </format>
    <format dxfId="203">
      <pivotArea dataOnly="0" labelOnly="1" fieldPosition="0">
        <references count="4">
          <reference field="4" count="1" selected="0">
            <x v="7"/>
          </reference>
          <reference field="6" count="1" selected="0">
            <x v="4"/>
          </reference>
          <reference field="7" count="1" selected="0">
            <x v="15"/>
          </reference>
          <reference field="8" count="1">
            <x v="56"/>
          </reference>
        </references>
      </pivotArea>
    </format>
    <format dxfId="202">
      <pivotArea dataOnly="0" labelOnly="1" fieldPosition="0">
        <references count="4">
          <reference field="4" count="1" selected="0">
            <x v="8"/>
          </reference>
          <reference field="6" count="1" selected="0">
            <x v="0"/>
          </reference>
          <reference field="7" count="1" selected="0">
            <x v="18"/>
          </reference>
          <reference field="8" count="1">
            <x v="77"/>
          </reference>
        </references>
      </pivotArea>
    </format>
    <format dxfId="201">
      <pivotArea dataOnly="0" labelOnly="1" fieldPosition="0">
        <references count="4">
          <reference field="4" count="1" selected="0">
            <x v="8"/>
          </reference>
          <reference field="6" count="1" selected="0">
            <x v="0"/>
          </reference>
          <reference field="7" count="1" selected="0">
            <x v="22"/>
          </reference>
          <reference field="8" count="3">
            <x v="92"/>
            <x v="93"/>
            <x v="94"/>
          </reference>
        </references>
      </pivotArea>
    </format>
    <format dxfId="200">
      <pivotArea dataOnly="0" labelOnly="1" fieldPosition="0">
        <references count="4">
          <reference field="4" count="1" selected="0">
            <x v="8"/>
          </reference>
          <reference field="6" count="1" selected="0">
            <x v="1"/>
          </reference>
          <reference field="7" count="1" selected="0">
            <x v="28"/>
          </reference>
          <reference field="8" count="2">
            <x v="138"/>
            <x v="139"/>
          </reference>
        </references>
      </pivotArea>
    </format>
    <format dxfId="199">
      <pivotArea dataOnly="0" labelOnly="1" fieldPosition="0">
        <references count="4">
          <reference field="4" count="1" selected="0">
            <x v="8"/>
          </reference>
          <reference field="6" count="1" selected="0">
            <x v="2"/>
          </reference>
          <reference field="7" count="1" selected="0">
            <x v="32"/>
          </reference>
          <reference field="8" count="2">
            <x v="158"/>
            <x v="159"/>
          </reference>
        </references>
      </pivotArea>
    </format>
    <format dxfId="198">
      <pivotArea dataOnly="0" labelOnly="1" fieldPosition="0">
        <references count="4">
          <reference field="4" count="1" selected="0">
            <x v="8"/>
          </reference>
          <reference field="6" count="1" selected="0">
            <x v="3"/>
          </reference>
          <reference field="7" count="1" selected="0">
            <x v="6"/>
          </reference>
          <reference field="8" count="2">
            <x v="29"/>
            <x v="30"/>
          </reference>
        </references>
      </pivotArea>
    </format>
    <format dxfId="197">
      <pivotArea dataOnly="0" labelOnly="1" fieldPosition="0">
        <references count="4">
          <reference field="4" count="1" selected="0">
            <x v="9"/>
          </reference>
          <reference field="6" count="1" selected="0">
            <x v="1"/>
          </reference>
          <reference field="7" count="1" selected="0">
            <x v="25"/>
          </reference>
          <reference field="8" count="10">
            <x v="115"/>
            <x v="116"/>
            <x v="117"/>
            <x v="118"/>
            <x v="119"/>
            <x v="120"/>
            <x v="121"/>
            <x v="122"/>
            <x v="123"/>
            <x v="124"/>
          </reference>
        </references>
      </pivotArea>
    </format>
    <format dxfId="196">
      <pivotArea dataOnly="0" labelOnly="1" fieldPosition="0">
        <references count="4">
          <reference field="4" count="1" selected="0">
            <x v="10"/>
          </reference>
          <reference field="6" count="1" selected="0">
            <x v="3"/>
          </reference>
          <reference field="7" count="1" selected="0">
            <x v="6"/>
          </reference>
          <reference field="8" count="1">
            <x v="29"/>
          </reference>
        </references>
      </pivotArea>
    </format>
    <format dxfId="195">
      <pivotArea dataOnly="0" labelOnly="1" fieldPosition="0">
        <references count="4">
          <reference field="4" count="1" selected="0">
            <x v="11"/>
          </reference>
          <reference field="6" count="1" selected="0">
            <x v="0"/>
          </reference>
          <reference field="7" count="1" selected="0">
            <x v="17"/>
          </reference>
          <reference field="8" count="3">
            <x v="70"/>
            <x v="71"/>
            <x v="72"/>
          </reference>
        </references>
      </pivotArea>
    </format>
    <format dxfId="194">
      <pivotArea dataOnly="0" labelOnly="1" fieldPosition="0">
        <references count="4">
          <reference field="4" count="1" selected="0">
            <x v="12"/>
          </reference>
          <reference field="6" count="1" selected="0">
            <x v="0"/>
          </reference>
          <reference field="7" count="1" selected="0">
            <x v="18"/>
          </reference>
          <reference field="8" count="3">
            <x v="74"/>
            <x v="75"/>
            <x v="76"/>
          </reference>
        </references>
      </pivotArea>
    </format>
    <format dxfId="193">
      <pivotArea dataOnly="0" labelOnly="1" fieldPosition="0">
        <references count="4">
          <reference field="4" count="1" selected="0">
            <x v="13"/>
          </reference>
          <reference field="6" count="1" selected="0">
            <x v="3"/>
          </reference>
          <reference field="7" count="1" selected="0">
            <x v="1"/>
          </reference>
          <reference field="8" count="1">
            <x v="6"/>
          </reference>
        </references>
      </pivotArea>
    </format>
    <format dxfId="192">
      <pivotArea dataOnly="0" labelOnly="1" fieldPosition="0">
        <references count="4">
          <reference field="4" count="1" selected="0">
            <x v="13"/>
          </reference>
          <reference field="6" count="1" selected="0">
            <x v="3"/>
          </reference>
          <reference field="7" count="1" selected="0">
            <x v="5"/>
          </reference>
          <reference field="8" count="6">
            <x v="22"/>
            <x v="23"/>
            <x v="24"/>
            <x v="25"/>
            <x v="26"/>
            <x v="27"/>
          </reference>
        </references>
      </pivotArea>
    </format>
    <format dxfId="191">
      <pivotArea dataOnly="0" labelOnly="1" fieldPosition="0">
        <references count="4">
          <reference field="4" count="1" selected="0">
            <x v="14"/>
          </reference>
          <reference field="6" count="1" selected="0">
            <x v="1"/>
          </reference>
          <reference field="7" count="1" selected="0">
            <x v="26"/>
          </reference>
          <reference field="8" count="7">
            <x v="125"/>
            <x v="126"/>
            <x v="127"/>
            <x v="128"/>
            <x v="129"/>
            <x v="130"/>
            <x v="131"/>
          </reference>
        </references>
      </pivotArea>
    </format>
    <format dxfId="190">
      <pivotArea dataOnly="0" labelOnly="1" fieldPosition="0">
        <references count="4">
          <reference field="4" count="1" selected="0">
            <x v="15"/>
          </reference>
          <reference field="6" count="1" selected="0">
            <x v="0"/>
          </reference>
          <reference field="7" count="1" selected="0">
            <x v="20"/>
          </reference>
          <reference field="8" count="5">
            <x v="82"/>
            <x v="83"/>
            <x v="84"/>
            <x v="85"/>
            <x v="86"/>
          </reference>
        </references>
      </pivotArea>
    </format>
    <format dxfId="189">
      <pivotArea dataOnly="0" labelOnly="1" fieldPosition="0">
        <references count="4">
          <reference field="4" count="1" selected="0">
            <x v="16"/>
          </reference>
          <reference field="6" count="1" selected="0">
            <x v="1"/>
          </reference>
          <reference field="7" count="1" selected="0">
            <x v="27"/>
          </reference>
          <reference field="8" count="6">
            <x v="132"/>
            <x v="133"/>
            <x v="134"/>
            <x v="135"/>
            <x v="136"/>
            <x v="137"/>
          </reference>
        </references>
      </pivotArea>
    </format>
    <format dxfId="188">
      <pivotArea dataOnly="0" labelOnly="1" fieldPosition="0">
        <references count="4">
          <reference field="4" count="1" selected="0">
            <x v="16"/>
          </reference>
          <reference field="6" count="1" selected="0">
            <x v="3"/>
          </reference>
          <reference field="7" count="1" selected="0">
            <x v="1"/>
          </reference>
          <reference field="8" count="1">
            <x v="6"/>
          </reference>
        </references>
      </pivotArea>
    </format>
    <format dxfId="187">
      <pivotArea dataOnly="0" labelOnly="1" fieldPosition="0">
        <references count="4">
          <reference field="4" count="1" selected="0">
            <x v="16"/>
          </reference>
          <reference field="6" count="1" selected="0">
            <x v="4"/>
          </reference>
          <reference field="7" count="1" selected="0">
            <x v="8"/>
          </reference>
          <reference field="8" count="1">
            <x v="38"/>
          </reference>
        </references>
      </pivotArea>
    </format>
    <format dxfId="186">
      <pivotArea dataOnly="0" labelOnly="1" fieldPosition="0">
        <references count="4">
          <reference field="4" count="1" selected="0">
            <x v="16"/>
          </reference>
          <reference field="6" count="1" selected="0">
            <x v="4"/>
          </reference>
          <reference field="7" count="1" selected="0">
            <x v="11"/>
          </reference>
          <reference field="8" count="1">
            <x v="48"/>
          </reference>
        </references>
      </pivotArea>
    </format>
    <format dxfId="185">
      <pivotArea dataOnly="0" labelOnly="1" fieldPosition="0">
        <references count="4">
          <reference field="4" count="1" selected="0">
            <x v="17"/>
          </reference>
          <reference field="6" count="1" selected="0">
            <x v="0"/>
          </reference>
          <reference field="7" count="1" selected="0">
            <x v="16"/>
          </reference>
          <reference field="8" count="7">
            <x v="57"/>
            <x v="58"/>
            <x v="59"/>
            <x v="60"/>
            <x v="61"/>
            <x v="62"/>
            <x v="63"/>
          </reference>
        </references>
      </pivotArea>
    </format>
    <format dxfId="184">
      <pivotArea dataOnly="0" labelOnly="1" fieldPosition="0">
        <references count="4">
          <reference field="4" count="1" selected="0">
            <x v="17"/>
          </reference>
          <reference field="6" count="1" selected="0">
            <x v="0"/>
          </reference>
          <reference field="7" count="1" selected="0">
            <x v="22"/>
          </reference>
          <reference field="8" count="1">
            <x v="94"/>
          </reference>
        </references>
      </pivotArea>
    </format>
    <format dxfId="183">
      <pivotArea dataOnly="0" labelOnly="1" fieldPosition="0">
        <references count="4">
          <reference field="4" count="1" selected="0">
            <x v="18"/>
          </reference>
          <reference field="6" count="1" selected="0">
            <x v="3"/>
          </reference>
          <reference field="7" count="1" selected="0">
            <x v="2"/>
          </reference>
          <reference field="8" count="4">
            <x v="8"/>
            <x v="9"/>
            <x v="16"/>
            <x v="17"/>
          </reference>
        </references>
      </pivotArea>
    </format>
    <format dxfId="182">
      <pivotArea dataOnly="0" labelOnly="1" fieldPosition="0">
        <references count="4">
          <reference field="4" count="1" selected="0">
            <x v="19"/>
          </reference>
          <reference field="6" count="1" selected="0">
            <x v="3"/>
          </reference>
          <reference field="7" count="1" selected="0">
            <x v="6"/>
          </reference>
          <reference field="8" count="1">
            <x v="29"/>
          </reference>
        </references>
      </pivotArea>
    </format>
    <format dxfId="181">
      <pivotArea dataOnly="0" labelOnly="1" fieldPosition="0">
        <references count="4">
          <reference field="4" count="1" selected="0">
            <x v="20"/>
          </reference>
          <reference field="6" count="1" selected="0">
            <x v="1"/>
          </reference>
          <reference field="7" count="1" selected="0">
            <x v="24"/>
          </reference>
          <reference field="8" count="1">
            <x v="106"/>
          </reference>
        </references>
      </pivotArea>
    </format>
    <format dxfId="180">
      <pivotArea dataOnly="0" labelOnly="1" fieldPosition="0">
        <references count="5">
          <reference field="4" count="1" selected="0">
            <x v="0"/>
          </reference>
          <reference field="6" count="1" selected="0">
            <x v="0"/>
          </reference>
          <reference field="7" count="1" selected="0">
            <x v="17"/>
          </reference>
          <reference field="8" count="1" selected="0">
            <x v="65"/>
          </reference>
          <reference field="15" count="1">
            <x v="108"/>
          </reference>
        </references>
      </pivotArea>
    </format>
    <format dxfId="179">
      <pivotArea dataOnly="0" labelOnly="1" fieldPosition="0">
        <references count="5">
          <reference field="4" count="1" selected="0">
            <x v="0"/>
          </reference>
          <reference field="6" count="1" selected="0">
            <x v="0"/>
          </reference>
          <reference field="7" count="1" selected="0">
            <x v="17"/>
          </reference>
          <reference field="8" count="1" selected="0">
            <x v="66"/>
          </reference>
          <reference field="15" count="2">
            <x v="365"/>
            <x v="366"/>
          </reference>
        </references>
      </pivotArea>
    </format>
    <format dxfId="178">
      <pivotArea dataOnly="0" labelOnly="1" fieldPosition="0">
        <references count="5">
          <reference field="4" count="1" selected="0">
            <x v="0"/>
          </reference>
          <reference field="6" count="1" selected="0">
            <x v="0"/>
          </reference>
          <reference field="7" count="1" selected="0">
            <x v="17"/>
          </reference>
          <reference field="8" count="1" selected="0">
            <x v="67"/>
          </reference>
          <reference field="15" count="2">
            <x v="364"/>
            <x v="370"/>
          </reference>
        </references>
      </pivotArea>
    </format>
    <format dxfId="177">
      <pivotArea dataOnly="0" labelOnly="1" fieldPosition="0">
        <references count="5">
          <reference field="4" count="1" selected="0">
            <x v="0"/>
          </reference>
          <reference field="6" count="1" selected="0">
            <x v="0"/>
          </reference>
          <reference field="7" count="1" selected="0">
            <x v="17"/>
          </reference>
          <reference field="8" count="1" selected="0">
            <x v="68"/>
          </reference>
          <reference field="15" count="1">
            <x v="79"/>
          </reference>
        </references>
      </pivotArea>
    </format>
    <format dxfId="176">
      <pivotArea dataOnly="0" labelOnly="1" fieldPosition="0">
        <references count="5">
          <reference field="4" count="1" selected="0">
            <x v="0"/>
          </reference>
          <reference field="6" count="1" selected="0">
            <x v="0"/>
          </reference>
          <reference field="7" count="1" selected="0">
            <x v="17"/>
          </reference>
          <reference field="8" count="1" selected="0">
            <x v="69"/>
          </reference>
          <reference field="15" count="1">
            <x v="42"/>
          </reference>
        </references>
      </pivotArea>
    </format>
    <format dxfId="175">
      <pivotArea dataOnly="0" labelOnly="1" fieldPosition="0">
        <references count="5">
          <reference field="4" count="1" selected="0">
            <x v="0"/>
          </reference>
          <reference field="6" count="1" selected="0">
            <x v="0"/>
          </reference>
          <reference field="7" count="1" selected="0">
            <x v="19"/>
          </reference>
          <reference field="8" count="1" selected="0">
            <x v="78"/>
          </reference>
          <reference field="15" count="1">
            <x v="236"/>
          </reference>
        </references>
      </pivotArea>
    </format>
    <format dxfId="174">
      <pivotArea dataOnly="0" labelOnly="1" fieldPosition="0">
        <references count="5">
          <reference field="4" count="1" selected="0">
            <x v="0"/>
          </reference>
          <reference field="6" count="1" selected="0">
            <x v="0"/>
          </reference>
          <reference field="7" count="1" selected="0">
            <x v="19"/>
          </reference>
          <reference field="8" count="1" selected="0">
            <x v="79"/>
          </reference>
          <reference field="15" count="1">
            <x v="12"/>
          </reference>
        </references>
      </pivotArea>
    </format>
    <format dxfId="173">
      <pivotArea dataOnly="0" labelOnly="1" fieldPosition="0">
        <references count="5">
          <reference field="4" count="1" selected="0">
            <x v="0"/>
          </reference>
          <reference field="6" count="1" selected="0">
            <x v="0"/>
          </reference>
          <reference field="7" count="1" selected="0">
            <x v="19"/>
          </reference>
          <reference field="8" count="1" selected="0">
            <x v="80"/>
          </reference>
          <reference field="15" count="2">
            <x v="10"/>
            <x v="11"/>
          </reference>
        </references>
      </pivotArea>
    </format>
    <format dxfId="172">
      <pivotArea dataOnly="0" labelOnly="1" fieldPosition="0">
        <references count="5">
          <reference field="4" count="1" selected="0">
            <x v="0"/>
          </reference>
          <reference field="6" count="1" selected="0">
            <x v="1"/>
          </reference>
          <reference field="7" count="1" selected="0">
            <x v="23"/>
          </reference>
          <reference field="8" count="1" selected="0">
            <x v="95"/>
          </reference>
          <reference field="15" count="1">
            <x v="250"/>
          </reference>
        </references>
      </pivotArea>
    </format>
    <format dxfId="171">
      <pivotArea dataOnly="0" labelOnly="1" fieldPosition="0">
        <references count="5">
          <reference field="4" count="1" selected="0">
            <x v="0"/>
          </reference>
          <reference field="6" count="1" selected="0">
            <x v="1"/>
          </reference>
          <reference field="7" count="1" selected="0">
            <x v="23"/>
          </reference>
          <reference field="8" count="1" selected="0">
            <x v="96"/>
          </reference>
          <reference field="15" count="2">
            <x v="251"/>
            <x v="358"/>
          </reference>
        </references>
      </pivotArea>
    </format>
    <format dxfId="170">
      <pivotArea dataOnly="0" labelOnly="1" fieldPosition="0">
        <references count="5">
          <reference field="4" count="1" selected="0">
            <x v="0"/>
          </reference>
          <reference field="6" count="1" selected="0">
            <x v="1"/>
          </reference>
          <reference field="7" count="1" selected="0">
            <x v="23"/>
          </reference>
          <reference field="8" count="1" selected="0">
            <x v="97"/>
          </reference>
          <reference field="15" count="1">
            <x v="257"/>
          </reference>
        </references>
      </pivotArea>
    </format>
    <format dxfId="169">
      <pivotArea dataOnly="0" labelOnly="1" fieldPosition="0">
        <references count="5">
          <reference field="4" count="1" selected="0">
            <x v="0"/>
          </reference>
          <reference field="6" count="1" selected="0">
            <x v="1"/>
          </reference>
          <reference field="7" count="1" selected="0">
            <x v="23"/>
          </reference>
          <reference field="8" count="1" selected="0">
            <x v="98"/>
          </reference>
          <reference field="15" count="1">
            <x v="43"/>
          </reference>
        </references>
      </pivotArea>
    </format>
    <format dxfId="168">
      <pivotArea dataOnly="0" labelOnly="1" fieldPosition="0">
        <references count="5">
          <reference field="4" count="1" selected="0">
            <x v="0"/>
          </reference>
          <reference field="6" count="1" selected="0">
            <x v="1"/>
          </reference>
          <reference field="7" count="1" selected="0">
            <x v="23"/>
          </reference>
          <reference field="8" count="1" selected="0">
            <x v="99"/>
          </reference>
          <reference field="15" count="1">
            <x v="254"/>
          </reference>
        </references>
      </pivotArea>
    </format>
    <format dxfId="167">
      <pivotArea dataOnly="0" labelOnly="1" fieldPosition="0">
        <references count="5">
          <reference field="4" count="1" selected="0">
            <x v="0"/>
          </reference>
          <reference field="6" count="1" selected="0">
            <x v="1"/>
          </reference>
          <reference field="7" count="1" selected="0">
            <x v="23"/>
          </reference>
          <reference field="8" count="1" selected="0">
            <x v="100"/>
          </reference>
          <reference field="15" count="1">
            <x v="253"/>
          </reference>
        </references>
      </pivotArea>
    </format>
    <format dxfId="166">
      <pivotArea dataOnly="0" labelOnly="1" fieldPosition="0">
        <references count="5">
          <reference field="4" count="1" selected="0">
            <x v="0"/>
          </reference>
          <reference field="6" count="1" selected="0">
            <x v="1"/>
          </reference>
          <reference field="7" count="1" selected="0">
            <x v="23"/>
          </reference>
          <reference field="8" count="1" selected="0">
            <x v="101"/>
          </reference>
          <reference field="15" count="1">
            <x v="255"/>
          </reference>
        </references>
      </pivotArea>
    </format>
    <format dxfId="165">
      <pivotArea dataOnly="0" labelOnly="1" fieldPosition="0">
        <references count="5">
          <reference field="4" count="1" selected="0">
            <x v="0"/>
          </reference>
          <reference field="6" count="1" selected="0">
            <x v="1"/>
          </reference>
          <reference field="7" count="1" selected="0">
            <x v="23"/>
          </reference>
          <reference field="8" count="1" selected="0">
            <x v="102"/>
          </reference>
          <reference field="15" count="1">
            <x v="40"/>
          </reference>
        </references>
      </pivotArea>
    </format>
    <format dxfId="164">
      <pivotArea dataOnly="0" labelOnly="1" fieldPosition="0">
        <references count="5">
          <reference field="4" count="1" selected="0">
            <x v="0"/>
          </reference>
          <reference field="6" count="1" selected="0">
            <x v="1"/>
          </reference>
          <reference field="7" count="1" selected="0">
            <x v="23"/>
          </reference>
          <reference field="8" count="1" selected="0">
            <x v="103"/>
          </reference>
          <reference field="15" count="1">
            <x v="252"/>
          </reference>
        </references>
      </pivotArea>
    </format>
    <format dxfId="163">
      <pivotArea dataOnly="0" labelOnly="1" fieldPosition="0">
        <references count="5">
          <reference field="4" count="1" selected="0">
            <x v="0"/>
          </reference>
          <reference field="6" count="1" selected="0">
            <x v="1"/>
          </reference>
          <reference field="7" count="1" selected="0">
            <x v="23"/>
          </reference>
          <reference field="8" count="1" selected="0">
            <x v="104"/>
          </reference>
          <reference field="15" count="1">
            <x v="256"/>
          </reference>
        </references>
      </pivotArea>
    </format>
    <format dxfId="162">
      <pivotArea dataOnly="0" labelOnly="1" fieldPosition="0">
        <references count="5">
          <reference field="4" count="1" selected="0">
            <x v="0"/>
          </reference>
          <reference field="6" count="1" selected="0">
            <x v="1"/>
          </reference>
          <reference field="7" count="1" selected="0">
            <x v="26"/>
          </reference>
          <reference field="8" count="1" selected="0">
            <x v="131"/>
          </reference>
          <reference field="15" count="1">
            <x v="13"/>
          </reference>
        </references>
      </pivotArea>
    </format>
    <format dxfId="161">
      <pivotArea dataOnly="0" labelOnly="1" fieldPosition="0">
        <references count="5">
          <reference field="4" count="1" selected="0">
            <x v="1"/>
          </reference>
          <reference field="6" count="1" selected="0">
            <x v="0"/>
          </reference>
          <reference field="7" count="1" selected="0">
            <x v="19"/>
          </reference>
          <reference field="8" count="1" selected="0">
            <x v="81"/>
          </reference>
          <reference field="15" count="1">
            <x v="231"/>
          </reference>
        </references>
      </pivotArea>
    </format>
    <format dxfId="160">
      <pivotArea dataOnly="0" labelOnly="1" fieldPosition="0">
        <references count="5">
          <reference field="4" count="1" selected="0">
            <x v="1"/>
          </reference>
          <reference field="6" count="1" selected="0">
            <x v="3"/>
          </reference>
          <reference field="7" count="1" selected="0">
            <x v="2"/>
          </reference>
          <reference field="8" count="1" selected="0">
            <x v="7"/>
          </reference>
          <reference field="15" count="5">
            <x v="117"/>
            <x v="124"/>
            <x v="131"/>
            <x v="380"/>
            <x v="400"/>
          </reference>
        </references>
      </pivotArea>
    </format>
    <format dxfId="159">
      <pivotArea dataOnly="0" labelOnly="1" fieldPosition="0">
        <references count="5">
          <reference field="4" count="1" selected="0">
            <x v="1"/>
          </reference>
          <reference field="6" count="1" selected="0">
            <x v="3"/>
          </reference>
          <reference field="7" count="1" selected="0">
            <x v="2"/>
          </reference>
          <reference field="8" count="1" selected="0">
            <x v="10"/>
          </reference>
          <reference field="15" count="2">
            <x v="17"/>
            <x v="18"/>
          </reference>
        </references>
      </pivotArea>
    </format>
    <format dxfId="158">
      <pivotArea dataOnly="0" labelOnly="1" fieldPosition="0">
        <references count="5">
          <reference field="4" count="1" selected="0">
            <x v="1"/>
          </reference>
          <reference field="6" count="1" selected="0">
            <x v="3"/>
          </reference>
          <reference field="7" count="1" selected="0">
            <x v="2"/>
          </reference>
          <reference field="8" count="1" selected="0">
            <x v="11"/>
          </reference>
          <reference field="15" count="2">
            <x v="7"/>
            <x v="8"/>
          </reference>
        </references>
      </pivotArea>
    </format>
    <format dxfId="157">
      <pivotArea dataOnly="0" labelOnly="1" fieldPosition="0">
        <references count="5">
          <reference field="4" count="1" selected="0">
            <x v="1"/>
          </reference>
          <reference field="6" count="1" selected="0">
            <x v="3"/>
          </reference>
          <reference field="7" count="1" selected="0">
            <x v="2"/>
          </reference>
          <reference field="8" count="1" selected="0">
            <x v="12"/>
          </reference>
          <reference field="15" count="1">
            <x v="107"/>
          </reference>
        </references>
      </pivotArea>
    </format>
    <format dxfId="156">
      <pivotArea dataOnly="0" labelOnly="1" fieldPosition="0">
        <references count="5">
          <reference field="4" count="1" selected="0">
            <x v="1"/>
          </reference>
          <reference field="6" count="1" selected="0">
            <x v="3"/>
          </reference>
          <reference field="7" count="1" selected="0">
            <x v="2"/>
          </reference>
          <reference field="8" count="1" selected="0">
            <x v="13"/>
          </reference>
          <reference field="15" count="1">
            <x v="6"/>
          </reference>
        </references>
      </pivotArea>
    </format>
    <format dxfId="155">
      <pivotArea dataOnly="0" labelOnly="1" fieldPosition="0">
        <references count="5">
          <reference field="4" count="1" selected="0">
            <x v="1"/>
          </reference>
          <reference field="6" count="1" selected="0">
            <x v="3"/>
          </reference>
          <reference field="7" count="1" selected="0">
            <x v="2"/>
          </reference>
          <reference field="8" count="1" selected="0">
            <x v="14"/>
          </reference>
          <reference field="15" count="2">
            <x v="46"/>
            <x v="47"/>
          </reference>
        </references>
      </pivotArea>
    </format>
    <format dxfId="154">
      <pivotArea dataOnly="0" labelOnly="1" fieldPosition="0">
        <references count="5">
          <reference field="4" count="1" selected="0">
            <x v="1"/>
          </reference>
          <reference field="6" count="1" selected="0">
            <x v="3"/>
          </reference>
          <reference field="7" count="1" selected="0">
            <x v="2"/>
          </reference>
          <reference field="8" count="1" selected="0">
            <x v="15"/>
          </reference>
          <reference field="15" count="1">
            <x v="372"/>
          </reference>
        </references>
      </pivotArea>
    </format>
    <format dxfId="153">
      <pivotArea dataOnly="0" labelOnly="1" fieldPosition="0">
        <references count="5">
          <reference field="4" count="1" selected="0">
            <x v="1"/>
          </reference>
          <reference field="6" count="1" selected="0">
            <x v="3"/>
          </reference>
          <reference field="7" count="1" selected="0">
            <x v="3"/>
          </reference>
          <reference field="8" count="1" selected="0">
            <x v="18"/>
          </reference>
          <reference field="15" count="1">
            <x v="232"/>
          </reference>
        </references>
      </pivotArea>
    </format>
    <format dxfId="152">
      <pivotArea dataOnly="0" labelOnly="1" fieldPosition="0">
        <references count="5">
          <reference field="4" count="1" selected="0">
            <x v="1"/>
          </reference>
          <reference field="6" count="1" selected="0">
            <x v="3"/>
          </reference>
          <reference field="7" count="1" selected="0">
            <x v="3"/>
          </reference>
          <reference field="8" count="1" selected="0">
            <x v="19"/>
          </reference>
          <reference field="15" count="1">
            <x v="9"/>
          </reference>
        </references>
      </pivotArea>
    </format>
    <format dxfId="151">
      <pivotArea dataOnly="0" labelOnly="1" fieldPosition="0">
        <references count="5">
          <reference field="4" count="1" selected="0">
            <x v="1"/>
          </reference>
          <reference field="6" count="1" selected="0">
            <x v="3"/>
          </reference>
          <reference field="7" count="1" selected="0">
            <x v="4"/>
          </reference>
          <reference field="8" count="1" selected="0">
            <x v="20"/>
          </reference>
          <reference field="15" count="1">
            <x v="34"/>
          </reference>
        </references>
      </pivotArea>
    </format>
    <format dxfId="150">
      <pivotArea dataOnly="0" labelOnly="1" fieldPosition="0">
        <references count="5">
          <reference field="4" count="1" selected="0">
            <x v="1"/>
          </reference>
          <reference field="6" count="1" selected="0">
            <x v="3"/>
          </reference>
          <reference field="7" count="1" selected="0">
            <x v="4"/>
          </reference>
          <reference field="8" count="1" selected="0">
            <x v="21"/>
          </reference>
          <reference field="15" count="1">
            <x v="98"/>
          </reference>
        </references>
      </pivotArea>
    </format>
    <format dxfId="149">
      <pivotArea dataOnly="0" labelOnly="1" fieldPosition="0">
        <references count="5">
          <reference field="4" count="1" selected="0">
            <x v="1"/>
          </reference>
          <reference field="6" count="1" selected="0">
            <x v="4"/>
          </reference>
          <reference field="7" count="1" selected="0">
            <x v="8"/>
          </reference>
          <reference field="8" count="1" selected="0">
            <x v="33"/>
          </reference>
          <reference field="15" count="1">
            <x v="237"/>
          </reference>
        </references>
      </pivotArea>
    </format>
    <format dxfId="148">
      <pivotArea dataOnly="0" labelOnly="1" fieldPosition="0">
        <references count="5">
          <reference field="4" count="1" selected="0">
            <x v="1"/>
          </reference>
          <reference field="6" count="1" selected="0">
            <x v="4"/>
          </reference>
          <reference field="7" count="1" selected="0">
            <x v="8"/>
          </reference>
          <reference field="8" count="1" selected="0">
            <x v="34"/>
          </reference>
          <reference field="15" count="1">
            <x v="373"/>
          </reference>
        </references>
      </pivotArea>
    </format>
    <format dxfId="147">
      <pivotArea dataOnly="0" labelOnly="1" fieldPosition="0">
        <references count="5">
          <reference field="4" count="1" selected="0">
            <x v="1"/>
          </reference>
          <reference field="6" count="1" selected="0">
            <x v="4"/>
          </reference>
          <reference field="7" count="1" selected="0">
            <x v="8"/>
          </reference>
          <reference field="8" count="1" selected="0">
            <x v="39"/>
          </reference>
          <reference field="15" count="2">
            <x v="233"/>
            <x v="234"/>
          </reference>
        </references>
      </pivotArea>
    </format>
    <format dxfId="146">
      <pivotArea dataOnly="0" labelOnly="1" fieldPosition="0">
        <references count="5">
          <reference field="4" count="1" selected="0">
            <x v="2"/>
          </reference>
          <reference field="6" count="1" selected="0">
            <x v="2"/>
          </reference>
          <reference field="7" count="1" selected="0">
            <x v="29"/>
          </reference>
          <reference field="8" count="1" selected="0">
            <x v="145"/>
          </reference>
          <reference field="15" count="1">
            <x v="377"/>
          </reference>
        </references>
      </pivotArea>
    </format>
    <format dxfId="145">
      <pivotArea dataOnly="0" labelOnly="1" fieldPosition="0">
        <references count="5">
          <reference field="4" count="1" selected="0">
            <x v="2"/>
          </reference>
          <reference field="6" count="1" selected="0">
            <x v="2"/>
          </reference>
          <reference field="7" count="1" selected="0">
            <x v="29"/>
          </reference>
          <reference field="8" count="1" selected="0">
            <x v="146"/>
          </reference>
          <reference field="15" count="1">
            <x v="139"/>
          </reference>
        </references>
      </pivotArea>
    </format>
    <format dxfId="144">
      <pivotArea dataOnly="0" labelOnly="1" fieldPosition="0">
        <references count="5">
          <reference field="4" count="1" selected="0">
            <x v="2"/>
          </reference>
          <reference field="6" count="1" selected="0">
            <x v="2"/>
          </reference>
          <reference field="7" count="1" selected="0">
            <x v="29"/>
          </reference>
          <reference field="8" count="1" selected="0">
            <x v="147"/>
          </reference>
          <reference field="15" count="1">
            <x v="127"/>
          </reference>
        </references>
      </pivotArea>
    </format>
    <format dxfId="143">
      <pivotArea dataOnly="0" labelOnly="1" fieldPosition="0">
        <references count="5">
          <reference field="4" count="1" selected="0">
            <x v="2"/>
          </reference>
          <reference field="6" count="1" selected="0">
            <x v="2"/>
          </reference>
          <reference field="7" count="1" selected="0">
            <x v="29"/>
          </reference>
          <reference field="8" count="1" selected="0">
            <x v="148"/>
          </reference>
          <reference field="15" count="1">
            <x v="142"/>
          </reference>
        </references>
      </pivotArea>
    </format>
    <format dxfId="142">
      <pivotArea dataOnly="0" labelOnly="1" fieldPosition="0">
        <references count="5">
          <reference field="4" count="1" selected="0">
            <x v="2"/>
          </reference>
          <reference field="6" count="1" selected="0">
            <x v="2"/>
          </reference>
          <reference field="7" count="1" selected="0">
            <x v="29"/>
          </reference>
          <reference field="8" count="1" selected="0">
            <x v="149"/>
          </reference>
          <reference field="15" count="1">
            <x v="140"/>
          </reference>
        </references>
      </pivotArea>
    </format>
    <format dxfId="141">
      <pivotArea dataOnly="0" labelOnly="1" fieldPosition="0">
        <references count="5">
          <reference field="4" count="1" selected="0">
            <x v="2"/>
          </reference>
          <reference field="6" count="1" selected="0">
            <x v="2"/>
          </reference>
          <reference field="7" count="1" selected="0">
            <x v="29"/>
          </reference>
          <reference field="8" count="1" selected="0">
            <x v="150"/>
          </reference>
          <reference field="15" count="1">
            <x v="144"/>
          </reference>
        </references>
      </pivotArea>
    </format>
    <format dxfId="140">
      <pivotArea dataOnly="0" labelOnly="1" fieldPosition="0">
        <references count="5">
          <reference field="4" count="1" selected="0">
            <x v="2"/>
          </reference>
          <reference field="6" count="1" selected="0">
            <x v="2"/>
          </reference>
          <reference field="7" count="1" selected="0">
            <x v="30"/>
          </reference>
          <reference field="8" count="1" selected="0">
            <x v="152"/>
          </reference>
          <reference field="15" count="2">
            <x v="128"/>
            <x v="129"/>
          </reference>
        </references>
      </pivotArea>
    </format>
    <format dxfId="139">
      <pivotArea dataOnly="0" labelOnly="1" fieldPosition="0">
        <references count="5">
          <reference field="4" count="1" selected="0">
            <x v="2"/>
          </reference>
          <reference field="6" count="1" selected="0">
            <x v="2"/>
          </reference>
          <reference field="7" count="1" selected="0">
            <x v="30"/>
          </reference>
          <reference field="8" count="1" selected="0">
            <x v="153"/>
          </reference>
          <reference field="15" count="1">
            <x v="141"/>
          </reference>
        </references>
      </pivotArea>
    </format>
    <format dxfId="138">
      <pivotArea dataOnly="0" labelOnly="1" fieldPosition="0">
        <references count="5">
          <reference field="4" count="1" selected="0">
            <x v="2"/>
          </reference>
          <reference field="6" count="1" selected="0">
            <x v="3"/>
          </reference>
          <reference field="7" count="1" selected="0">
            <x v="5"/>
          </reference>
          <reference field="8" count="1" selected="0">
            <x v="24"/>
          </reference>
          <reference field="15" count="1">
            <x v="339"/>
          </reference>
        </references>
      </pivotArea>
    </format>
    <format dxfId="137">
      <pivotArea dataOnly="0" labelOnly="1" fieldPosition="0">
        <references count="5">
          <reference field="4" count="1" selected="0">
            <x v="2"/>
          </reference>
          <reference field="6" count="1" selected="0">
            <x v="3"/>
          </reference>
          <reference field="7" count="1" selected="0">
            <x v="7"/>
          </reference>
          <reference field="8" count="1" selected="0">
            <x v="31"/>
          </reference>
          <reference field="15" count="2">
            <x v="391"/>
            <x v="392"/>
          </reference>
        </references>
      </pivotArea>
    </format>
    <format dxfId="136">
      <pivotArea dataOnly="0" labelOnly="1" fieldPosition="0">
        <references count="5">
          <reference field="4" count="1" selected="0">
            <x v="2"/>
          </reference>
          <reference field="6" count="1" selected="0">
            <x v="3"/>
          </reference>
          <reference field="7" count="1" selected="0">
            <x v="7"/>
          </reference>
          <reference field="8" count="1" selected="0">
            <x v="32"/>
          </reference>
          <reference field="15" count="1">
            <x v="371"/>
          </reference>
        </references>
      </pivotArea>
    </format>
    <format dxfId="135">
      <pivotArea dataOnly="0" labelOnly="1" fieldPosition="0">
        <references count="5">
          <reference field="4" count="1" selected="0">
            <x v="2"/>
          </reference>
          <reference field="6" count="1" selected="0">
            <x v="4"/>
          </reference>
          <reference field="7" count="1" selected="0">
            <x v="8"/>
          </reference>
          <reference field="8" count="1" selected="0">
            <x v="36"/>
          </reference>
          <reference field="15" count="1">
            <x v="379"/>
          </reference>
        </references>
      </pivotArea>
    </format>
    <format dxfId="134">
      <pivotArea dataOnly="0" labelOnly="1" fieldPosition="0">
        <references count="5">
          <reference field="4" count="1" selected="0">
            <x v="2"/>
          </reference>
          <reference field="6" count="1" selected="0">
            <x v="4"/>
          </reference>
          <reference field="7" count="1" selected="0">
            <x v="8"/>
          </reference>
          <reference field="8" count="1" selected="0">
            <x v="39"/>
          </reference>
          <reference field="15" count="1">
            <x v="378"/>
          </reference>
        </references>
      </pivotArea>
    </format>
    <format dxfId="133">
      <pivotArea dataOnly="0" labelOnly="1" fieldPosition="0">
        <references count="5">
          <reference field="4" count="1" selected="0">
            <x v="3"/>
          </reference>
          <reference field="6" count="1" selected="0">
            <x v="3"/>
          </reference>
          <reference field="7" count="1" selected="0">
            <x v="6"/>
          </reference>
          <reference field="8" count="1" selected="0">
            <x v="29"/>
          </reference>
          <reference field="15" count="41">
            <x v="0"/>
            <x v="1"/>
            <x v="167"/>
            <x v="175"/>
            <x v="176"/>
            <x v="177"/>
            <x v="178"/>
            <x v="179"/>
            <x v="180"/>
            <x v="181"/>
            <x v="182"/>
            <x v="201"/>
            <x v="202"/>
            <x v="205"/>
            <x v="206"/>
            <x v="207"/>
            <x v="208"/>
            <x v="209"/>
            <x v="210"/>
            <x v="211"/>
            <x v="212"/>
            <x v="213"/>
            <x v="214"/>
            <x v="215"/>
            <x v="216"/>
            <x v="217"/>
            <x v="218"/>
            <x v="219"/>
            <x v="220"/>
            <x v="221"/>
            <x v="224"/>
            <x v="225"/>
            <x v="226"/>
            <x v="227"/>
            <x v="228"/>
            <x v="393"/>
            <x v="394"/>
            <x v="396"/>
            <x v="397"/>
            <x v="398"/>
            <x v="399"/>
          </reference>
        </references>
      </pivotArea>
    </format>
    <format dxfId="132">
      <pivotArea dataOnly="0" labelOnly="1" fieldPosition="0">
        <references count="5">
          <reference field="4" count="1" selected="0">
            <x v="4"/>
          </reference>
          <reference field="6" count="1" selected="0">
            <x v="0"/>
          </reference>
          <reference field="7" count="1" selected="0">
            <x v="21"/>
          </reference>
          <reference field="8" count="1" selected="0">
            <x v="87"/>
          </reference>
          <reference field="15" count="8">
            <x v="126"/>
            <x v="293"/>
            <x v="305"/>
            <x v="306"/>
            <x v="317"/>
            <x v="388"/>
            <x v="389"/>
            <x v="390"/>
          </reference>
        </references>
      </pivotArea>
    </format>
    <format dxfId="131">
      <pivotArea dataOnly="0" labelOnly="1" fieldPosition="0">
        <references count="5">
          <reference field="4" count="1" selected="0">
            <x v="4"/>
          </reference>
          <reference field="6" count="1" selected="0">
            <x v="0"/>
          </reference>
          <reference field="7" count="1" selected="0">
            <x v="21"/>
          </reference>
          <reference field="8" count="1" selected="0">
            <x v="88"/>
          </reference>
          <reference field="15" count="3">
            <x v="291"/>
            <x v="292"/>
            <x v="301"/>
          </reference>
        </references>
      </pivotArea>
    </format>
    <format dxfId="130">
      <pivotArea dataOnly="0" labelOnly="1" fieldPosition="0">
        <references count="5">
          <reference field="4" count="1" selected="0">
            <x v="4"/>
          </reference>
          <reference field="6" count="1" selected="0">
            <x v="0"/>
          </reference>
          <reference field="7" count="1" selected="0">
            <x v="21"/>
          </reference>
          <reference field="8" count="1" selected="0">
            <x v="89"/>
          </reference>
          <reference field="15" count="1">
            <x v="310"/>
          </reference>
        </references>
      </pivotArea>
    </format>
    <format dxfId="129">
      <pivotArea dataOnly="0" labelOnly="1" fieldPosition="0">
        <references count="5">
          <reference field="4" count="1" selected="0">
            <x v="4"/>
          </reference>
          <reference field="6" count="1" selected="0">
            <x v="0"/>
          </reference>
          <reference field="7" count="1" selected="0">
            <x v="21"/>
          </reference>
          <reference field="8" count="1" selected="0">
            <x v="90"/>
          </reference>
          <reference field="15" count="1">
            <x v="385"/>
          </reference>
        </references>
      </pivotArea>
    </format>
    <format dxfId="128">
      <pivotArea dataOnly="0" labelOnly="1" fieldPosition="0">
        <references count="5">
          <reference field="4" count="1" selected="0">
            <x v="4"/>
          </reference>
          <reference field="6" count="1" selected="0">
            <x v="0"/>
          </reference>
          <reference field="7" count="1" selected="0">
            <x v="21"/>
          </reference>
          <reference field="8" count="1" selected="0">
            <x v="91"/>
          </reference>
          <reference field="15" count="2">
            <x v="264"/>
            <x v="265"/>
          </reference>
        </references>
      </pivotArea>
    </format>
    <format dxfId="127">
      <pivotArea dataOnly="0" labelOnly="1" fieldPosition="0">
        <references count="5">
          <reference field="4" count="1" selected="0">
            <x v="4"/>
          </reference>
          <reference field="6" count="1" selected="0">
            <x v="1"/>
          </reference>
          <reference field="7" count="1" selected="0">
            <x v="24"/>
          </reference>
          <reference field="8" count="1" selected="0">
            <x v="114"/>
          </reference>
          <reference field="15" count="1">
            <x v="263"/>
          </reference>
        </references>
      </pivotArea>
    </format>
    <format dxfId="126">
      <pivotArea dataOnly="0" labelOnly="1" fieldPosition="0">
        <references count="5">
          <reference field="4" count="1" selected="0">
            <x v="4"/>
          </reference>
          <reference field="6" count="1" selected="0">
            <x v="2"/>
          </reference>
          <reference field="7" count="1" selected="0">
            <x v="29"/>
          </reference>
          <reference field="8" count="1" selected="0">
            <x v="142"/>
          </reference>
          <reference field="15" count="1">
            <x v="283"/>
          </reference>
        </references>
      </pivotArea>
    </format>
    <format dxfId="125">
      <pivotArea dataOnly="0" labelOnly="1" fieldPosition="0">
        <references count="5">
          <reference field="4" count="1" selected="0">
            <x v="4"/>
          </reference>
          <reference field="6" count="1" selected="0">
            <x v="2"/>
          </reference>
          <reference field="7" count="1" selected="0">
            <x v="29"/>
          </reference>
          <reference field="8" count="1" selected="0">
            <x v="143"/>
          </reference>
          <reference field="15" count="2">
            <x v="289"/>
            <x v="314"/>
          </reference>
        </references>
      </pivotArea>
    </format>
    <format dxfId="124">
      <pivotArea dataOnly="0" labelOnly="1" fieldPosition="0">
        <references count="5">
          <reference field="4" count="1" selected="0">
            <x v="4"/>
          </reference>
          <reference field="6" count="1" selected="0">
            <x v="2"/>
          </reference>
          <reference field="7" count="1" selected="0">
            <x v="29"/>
          </reference>
          <reference field="8" count="1" selected="0">
            <x v="151"/>
          </reference>
          <reference field="15" count="1">
            <x v="387"/>
          </reference>
        </references>
      </pivotArea>
    </format>
    <format dxfId="123">
      <pivotArea dataOnly="0" labelOnly="1" fieldPosition="0">
        <references count="5">
          <reference field="4" count="1" selected="0">
            <x v="4"/>
          </reference>
          <reference field="6" count="1" selected="0">
            <x v="2"/>
          </reference>
          <reference field="7" count="1" selected="0">
            <x v="31"/>
          </reference>
          <reference field="8" count="1" selected="0">
            <x v="155"/>
          </reference>
          <reference field="15" count="4">
            <x v="235"/>
            <x v="303"/>
            <x v="374"/>
            <x v="386"/>
          </reference>
        </references>
      </pivotArea>
    </format>
    <format dxfId="122">
      <pivotArea dataOnly="0" labelOnly="1" fieldPosition="0">
        <references count="5">
          <reference field="4" count="1" selected="0">
            <x v="4"/>
          </reference>
          <reference field="6" count="1" selected="0">
            <x v="2"/>
          </reference>
          <reference field="7" count="1" selected="0">
            <x v="31"/>
          </reference>
          <reference field="8" count="1" selected="0">
            <x v="156"/>
          </reference>
          <reference field="15" count="1">
            <x v="304"/>
          </reference>
        </references>
      </pivotArea>
    </format>
    <format dxfId="121">
      <pivotArea dataOnly="0" labelOnly="1" fieldPosition="0">
        <references count="5">
          <reference field="4" count="1" selected="0">
            <x v="4"/>
          </reference>
          <reference field="6" count="1" selected="0">
            <x v="2"/>
          </reference>
          <reference field="7" count="1" selected="0">
            <x v="31"/>
          </reference>
          <reference field="8" count="1" selected="0">
            <x v="157"/>
          </reference>
          <reference field="15" count="1">
            <x v="302"/>
          </reference>
        </references>
      </pivotArea>
    </format>
    <format dxfId="120">
      <pivotArea dataOnly="0" labelOnly="1" fieldPosition="0">
        <references count="5">
          <reference field="4" count="1" selected="0">
            <x v="4"/>
          </reference>
          <reference field="6" count="1" selected="0">
            <x v="3"/>
          </reference>
          <reference field="7" count="1" selected="0">
            <x v="0"/>
          </reference>
          <reference field="8" count="1" selected="0">
            <x v="0"/>
          </reference>
          <reference field="15" count="2">
            <x v="125"/>
            <x v="269"/>
          </reference>
        </references>
      </pivotArea>
    </format>
    <format dxfId="119">
      <pivotArea dataOnly="0" labelOnly="1" fieldPosition="0">
        <references count="5">
          <reference field="4" count="1" selected="0">
            <x v="4"/>
          </reference>
          <reference field="6" count="1" selected="0">
            <x v="3"/>
          </reference>
          <reference field="7" count="1" selected="0">
            <x v="0"/>
          </reference>
          <reference field="8" count="1" selected="0">
            <x v="1"/>
          </reference>
          <reference field="15" count="1">
            <x v="382"/>
          </reference>
        </references>
      </pivotArea>
    </format>
    <format dxfId="118">
      <pivotArea dataOnly="0" labelOnly="1" fieldPosition="0">
        <references count="5">
          <reference field="4" count="1" selected="0">
            <x v="4"/>
          </reference>
          <reference field="6" count="1" selected="0">
            <x v="3"/>
          </reference>
          <reference field="7" count="1" selected="0">
            <x v="1"/>
          </reference>
          <reference field="8" count="1" selected="0">
            <x v="2"/>
          </reference>
          <reference field="15" count="1">
            <x v="282"/>
          </reference>
        </references>
      </pivotArea>
    </format>
    <format dxfId="117">
      <pivotArea dataOnly="0" labelOnly="1" fieldPosition="0">
        <references count="5">
          <reference field="4" count="1" selected="0">
            <x v="4"/>
          </reference>
          <reference field="6" count="1" selected="0">
            <x v="3"/>
          </reference>
          <reference field="7" count="1" selected="0">
            <x v="1"/>
          </reference>
          <reference field="8" count="1" selected="0">
            <x v="3"/>
          </reference>
          <reference field="15" count="1">
            <x v="384"/>
          </reference>
        </references>
      </pivotArea>
    </format>
    <format dxfId="116">
      <pivotArea dataOnly="0" labelOnly="1" fieldPosition="0">
        <references count="5">
          <reference field="4" count="1" selected="0">
            <x v="4"/>
          </reference>
          <reference field="6" count="1" selected="0">
            <x v="3"/>
          </reference>
          <reference field="7" count="1" selected="0">
            <x v="1"/>
          </reference>
          <reference field="8" count="1" selected="0">
            <x v="4"/>
          </reference>
          <reference field="15" count="1">
            <x v="298"/>
          </reference>
        </references>
      </pivotArea>
    </format>
    <format dxfId="115">
      <pivotArea dataOnly="0" labelOnly="1" fieldPosition="0">
        <references count="5">
          <reference field="4" count="1" selected="0">
            <x v="4"/>
          </reference>
          <reference field="6" count="1" selected="0">
            <x v="3"/>
          </reference>
          <reference field="7" count="1" selected="0">
            <x v="1"/>
          </reference>
          <reference field="8" count="1" selected="0">
            <x v="5"/>
          </reference>
          <reference field="15" count="2">
            <x v="381"/>
            <x v="383"/>
          </reference>
        </references>
      </pivotArea>
    </format>
    <format dxfId="114">
      <pivotArea dataOnly="0" labelOnly="1" fieldPosition="0">
        <references count="5">
          <reference field="4" count="1" selected="0">
            <x v="5"/>
          </reference>
          <reference field="6" count="1" selected="0">
            <x v="0"/>
          </reference>
          <reference field="7" count="1" selected="0">
            <x v="18"/>
          </reference>
          <reference field="8" count="1" selected="0">
            <x v="73"/>
          </reference>
          <reference field="15" count="3">
            <x v="245"/>
            <x v="246"/>
            <x v="313"/>
          </reference>
        </references>
      </pivotArea>
    </format>
    <format dxfId="113">
      <pivotArea dataOnly="0" labelOnly="1" fieldPosition="0">
        <references count="5">
          <reference field="4" count="1" selected="0">
            <x v="5"/>
          </reference>
          <reference field="6" count="1" selected="0">
            <x v="0"/>
          </reference>
          <reference field="7" count="1" selected="0">
            <x v="18"/>
          </reference>
          <reference field="8" count="1" selected="0">
            <x v="74"/>
          </reference>
          <reference field="15" count="1">
            <x v="230"/>
          </reference>
        </references>
      </pivotArea>
    </format>
    <format dxfId="112">
      <pivotArea dataOnly="0" labelOnly="1" fieldPosition="0">
        <references count="5">
          <reference field="4" count="1" selected="0">
            <x v="5"/>
          </reference>
          <reference field="6" count="1" selected="0">
            <x v="0"/>
          </reference>
          <reference field="7" count="1" selected="0">
            <x v="18"/>
          </reference>
          <reference field="8" count="1" selected="0">
            <x v="77"/>
          </reference>
          <reference field="15" count="2">
            <x v="276"/>
            <x v="277"/>
          </reference>
        </references>
      </pivotArea>
    </format>
    <format dxfId="111">
      <pivotArea dataOnly="0" labelOnly="1" fieldPosition="0">
        <references count="5">
          <reference field="4" count="1" selected="0">
            <x v="5"/>
          </reference>
          <reference field="6" count="1" selected="0">
            <x v="0"/>
          </reference>
          <reference field="7" count="1" selected="0">
            <x v="22"/>
          </reference>
          <reference field="8" count="1" selected="0">
            <x v="94"/>
          </reference>
          <reference field="15" count="1">
            <x v="164"/>
          </reference>
        </references>
      </pivotArea>
    </format>
    <format dxfId="110">
      <pivotArea dataOnly="0" labelOnly="1" fieldPosition="0">
        <references count="5">
          <reference field="4" count="1" selected="0">
            <x v="5"/>
          </reference>
          <reference field="6" count="1" selected="0">
            <x v="4"/>
          </reference>
          <reference field="7" count="1" selected="0">
            <x v="8"/>
          </reference>
          <reference field="8" count="1" selected="0">
            <x v="37"/>
          </reference>
          <reference field="15" count="1">
            <x v="222"/>
          </reference>
        </references>
      </pivotArea>
    </format>
    <format dxfId="109">
      <pivotArea dataOnly="0" labelOnly="1" fieldPosition="0">
        <references count="5">
          <reference field="4" count="1" selected="0">
            <x v="6"/>
          </reference>
          <reference field="6" count="1" selected="0">
            <x v="1"/>
          </reference>
          <reference field="7" count="1" selected="0">
            <x v="24"/>
          </reference>
          <reference field="8" count="1" selected="0">
            <x v="105"/>
          </reference>
          <reference field="15" count="13">
            <x v="24"/>
            <x v="25"/>
            <x v="31"/>
            <x v="37"/>
            <x v="44"/>
            <x v="45"/>
            <x v="48"/>
            <x v="49"/>
            <x v="50"/>
            <x v="56"/>
            <x v="66"/>
            <x v="100"/>
            <x v="101"/>
          </reference>
        </references>
      </pivotArea>
    </format>
    <format dxfId="108">
      <pivotArea dataOnly="0" labelOnly="1" fieldPosition="0">
        <references count="5">
          <reference field="4" count="1" selected="0">
            <x v="6"/>
          </reference>
          <reference field="6" count="1" selected="0">
            <x v="1"/>
          </reference>
          <reference field="7" count="1" selected="0">
            <x v="24"/>
          </reference>
          <reference field="8" count="1" selected="0">
            <x v="107"/>
          </reference>
          <reference field="15" count="3">
            <x v="118"/>
            <x v="123"/>
            <x v="165"/>
          </reference>
        </references>
      </pivotArea>
    </format>
    <format dxfId="107">
      <pivotArea dataOnly="0" labelOnly="1" fieldPosition="0">
        <references count="5">
          <reference field="4" count="1" selected="0">
            <x v="6"/>
          </reference>
          <reference field="6" count="1" selected="0">
            <x v="1"/>
          </reference>
          <reference field="7" count="1" selected="0">
            <x v="24"/>
          </reference>
          <reference field="8" count="1" selected="0">
            <x v="108"/>
          </reference>
          <reference field="15" count="2">
            <x v="97"/>
            <x v="119"/>
          </reference>
        </references>
      </pivotArea>
    </format>
    <format dxfId="106">
      <pivotArea dataOnly="0" labelOnly="1" fieldPosition="0">
        <references count="5">
          <reference field="4" count="1" selected="0">
            <x v="6"/>
          </reference>
          <reference field="6" count="1" selected="0">
            <x v="1"/>
          </reference>
          <reference field="7" count="1" selected="0">
            <x v="24"/>
          </reference>
          <reference field="8" count="1" selected="0">
            <x v="109"/>
          </reference>
          <reference field="15" count="2">
            <x v="96"/>
            <x v="327"/>
          </reference>
        </references>
      </pivotArea>
    </format>
    <format dxfId="105">
      <pivotArea dataOnly="0" labelOnly="1" fieldPosition="0">
        <references count="5">
          <reference field="4" count="1" selected="0">
            <x v="6"/>
          </reference>
          <reference field="6" count="1" selected="0">
            <x v="1"/>
          </reference>
          <reference field="7" count="1" selected="0">
            <x v="24"/>
          </reference>
          <reference field="8" count="1" selected="0">
            <x v="110"/>
          </reference>
          <reference field="15" count="2">
            <x v="115"/>
            <x v="324"/>
          </reference>
        </references>
      </pivotArea>
    </format>
    <format dxfId="104">
      <pivotArea dataOnly="0" labelOnly="1" fieldPosition="0">
        <references count="5">
          <reference field="4" count="1" selected="0">
            <x v="6"/>
          </reference>
          <reference field="6" count="1" selected="0">
            <x v="1"/>
          </reference>
          <reference field="7" count="1" selected="0">
            <x v="24"/>
          </reference>
          <reference field="8" count="1" selected="0">
            <x v="111"/>
          </reference>
          <reference field="15" count="1">
            <x v="326"/>
          </reference>
        </references>
      </pivotArea>
    </format>
    <format dxfId="103">
      <pivotArea dataOnly="0" labelOnly="1" fieldPosition="0">
        <references count="5">
          <reference field="4" count="1" selected="0">
            <x v="6"/>
          </reference>
          <reference field="6" count="1" selected="0">
            <x v="1"/>
          </reference>
          <reference field="7" count="1" selected="0">
            <x v="24"/>
          </reference>
          <reference field="8" count="1" selected="0">
            <x v="112"/>
          </reference>
          <reference field="15" count="5">
            <x v="80"/>
            <x v="120"/>
            <x v="121"/>
            <x v="122"/>
            <x v="135"/>
          </reference>
        </references>
      </pivotArea>
    </format>
    <format dxfId="102">
      <pivotArea dataOnly="0" labelOnly="1" fieldPosition="0">
        <references count="5">
          <reference field="4" count="1" selected="0">
            <x v="6"/>
          </reference>
          <reference field="6" count="1" selected="0">
            <x v="1"/>
          </reference>
          <reference field="7" count="1" selected="0">
            <x v="24"/>
          </reference>
          <reference field="8" count="1" selected="0">
            <x v="113"/>
          </reference>
          <reference field="15" count="3">
            <x v="67"/>
            <x v="84"/>
            <x v="166"/>
          </reference>
        </references>
      </pivotArea>
    </format>
    <format dxfId="101">
      <pivotArea dataOnly="0" labelOnly="1" fieldPosition="0">
        <references count="5">
          <reference field="4" count="1" selected="0">
            <x v="7"/>
          </reference>
          <reference field="6" count="1" selected="0">
            <x v="0"/>
          </reference>
          <reference field="7" count="1" selected="0">
            <x v="16"/>
          </reference>
          <reference field="8" count="1" selected="0">
            <x v="64"/>
          </reference>
          <reference field="15" count="3">
            <x v="274"/>
            <x v="278"/>
            <x v="325"/>
          </reference>
        </references>
      </pivotArea>
    </format>
    <format dxfId="100">
      <pivotArea dataOnly="0" labelOnly="1" fieldPosition="0">
        <references count="5">
          <reference field="4" count="1" selected="0">
            <x v="7"/>
          </reference>
          <reference field="6" count="1" selected="0">
            <x v="2"/>
          </reference>
          <reference field="7" count="1" selected="0">
            <x v="29"/>
          </reference>
          <reference field="8" count="1" selected="0">
            <x v="140"/>
          </reference>
          <reference field="15" count="1">
            <x v="53"/>
          </reference>
        </references>
      </pivotArea>
    </format>
    <format dxfId="99">
      <pivotArea dataOnly="0" labelOnly="1" fieldPosition="0">
        <references count="5">
          <reference field="4" count="1" selected="0">
            <x v="7"/>
          </reference>
          <reference field="6" count="1" selected="0">
            <x v="2"/>
          </reference>
          <reference field="7" count="1" selected="0">
            <x v="29"/>
          </reference>
          <reference field="8" count="1" selected="0">
            <x v="141"/>
          </reference>
          <reference field="15" count="1">
            <x v="279"/>
          </reference>
        </references>
      </pivotArea>
    </format>
    <format dxfId="98">
      <pivotArea dataOnly="0" labelOnly="1" fieldPosition="0">
        <references count="5">
          <reference field="4" count="1" selected="0">
            <x v="7"/>
          </reference>
          <reference field="6" count="1" selected="0">
            <x v="2"/>
          </reference>
          <reference field="7" count="1" selected="0">
            <x v="29"/>
          </reference>
          <reference field="8" count="1" selected="0">
            <x v="144"/>
          </reference>
          <reference field="15" count="1">
            <x v="52"/>
          </reference>
        </references>
      </pivotArea>
    </format>
    <format dxfId="97">
      <pivotArea dataOnly="0" labelOnly="1" fieldPosition="0">
        <references count="5">
          <reference field="4" count="1" selected="0">
            <x v="7"/>
          </reference>
          <reference field="6" count="1" selected="0">
            <x v="2"/>
          </reference>
          <reference field="7" count="1" selected="0">
            <x v="29"/>
          </reference>
          <reference field="8" count="1" selected="0">
            <x v="145"/>
          </reference>
          <reference field="15" count="1">
            <x v="51"/>
          </reference>
        </references>
      </pivotArea>
    </format>
    <format dxfId="96">
      <pivotArea dataOnly="0" labelOnly="1" fieldPosition="0">
        <references count="5">
          <reference field="4" count="1" selected="0">
            <x v="7"/>
          </reference>
          <reference field="6" count="1" selected="0">
            <x v="2"/>
          </reference>
          <reference field="7" count="1" selected="0">
            <x v="30"/>
          </reference>
          <reference field="8" count="1" selected="0">
            <x v="154"/>
          </reference>
          <reference field="15" count="1">
            <x v="275"/>
          </reference>
        </references>
      </pivotArea>
    </format>
    <format dxfId="95">
      <pivotArea dataOnly="0" labelOnly="1" fieldPosition="0">
        <references count="5">
          <reference field="4" count="1" selected="0">
            <x v="7"/>
          </reference>
          <reference field="6" count="1" selected="0">
            <x v="3"/>
          </reference>
          <reference field="7" count="1" selected="0">
            <x v="6"/>
          </reference>
          <reference field="8" count="1" selected="0">
            <x v="28"/>
          </reference>
          <reference field="15" count="3">
            <x v="318"/>
            <x v="319"/>
            <x v="320"/>
          </reference>
        </references>
      </pivotArea>
    </format>
    <format dxfId="94">
      <pivotArea dataOnly="0" labelOnly="1" fieldPosition="0">
        <references count="5">
          <reference field="4" count="1" selected="0">
            <x v="7"/>
          </reference>
          <reference field="6" count="1" selected="0">
            <x v="4"/>
          </reference>
          <reference field="7" count="1" selected="0">
            <x v="8"/>
          </reference>
          <reference field="8" count="1" selected="0">
            <x v="35"/>
          </reference>
          <reference field="15" count="1">
            <x v="337"/>
          </reference>
        </references>
      </pivotArea>
    </format>
    <format dxfId="93">
      <pivotArea dataOnly="0" labelOnly="1" fieldPosition="0">
        <references count="5">
          <reference field="4" count="1" selected="0">
            <x v="7"/>
          </reference>
          <reference field="6" count="1" selected="0">
            <x v="4"/>
          </reference>
          <reference field="7" count="1" selected="0">
            <x v="8"/>
          </reference>
          <reference field="8" count="1" selected="0">
            <x v="36"/>
          </reference>
          <reference field="15" count="1">
            <x v="280"/>
          </reference>
        </references>
      </pivotArea>
    </format>
    <format dxfId="92">
      <pivotArea dataOnly="0" labelOnly="1" fieldPosition="0">
        <references count="5">
          <reference field="4" count="1" selected="0">
            <x v="7"/>
          </reference>
          <reference field="6" count="1" selected="0">
            <x v="4"/>
          </reference>
          <reference field="7" count="1" selected="0">
            <x v="9"/>
          </reference>
          <reference field="8" count="1" selected="0">
            <x v="40"/>
          </reference>
          <reference field="15" count="3">
            <x v="311"/>
            <x v="312"/>
            <x v="334"/>
          </reference>
        </references>
      </pivotArea>
    </format>
    <format dxfId="91">
      <pivotArea dataOnly="0" labelOnly="1" fieldPosition="0">
        <references count="5">
          <reference field="4" count="1" selected="0">
            <x v="7"/>
          </reference>
          <reference field="6" count="1" selected="0">
            <x v="4"/>
          </reference>
          <reference field="7" count="1" selected="0">
            <x v="9"/>
          </reference>
          <reference field="8" count="1" selected="0">
            <x v="41"/>
          </reference>
          <reference field="15" count="1">
            <x v="328"/>
          </reference>
        </references>
      </pivotArea>
    </format>
    <format dxfId="90">
      <pivotArea dataOnly="0" labelOnly="1" fieldPosition="0">
        <references count="5">
          <reference field="4" count="1" selected="0">
            <x v="7"/>
          </reference>
          <reference field="6" count="1" selected="0">
            <x v="4"/>
          </reference>
          <reference field="7" count="1" selected="0">
            <x v="9"/>
          </reference>
          <reference field="8" count="1" selected="0">
            <x v="42"/>
          </reference>
          <reference field="15" count="1">
            <x v="329"/>
          </reference>
        </references>
      </pivotArea>
    </format>
    <format dxfId="89">
      <pivotArea dataOnly="0" labelOnly="1" fieldPosition="0">
        <references count="5">
          <reference field="4" count="1" selected="0">
            <x v="7"/>
          </reference>
          <reference field="6" count="1" selected="0">
            <x v="4"/>
          </reference>
          <reference field="7" count="1" selected="0">
            <x v="9"/>
          </reference>
          <reference field="8" count="1" selected="0">
            <x v="43"/>
          </reference>
          <reference field="15" count="1">
            <x v="321"/>
          </reference>
        </references>
      </pivotArea>
    </format>
    <format dxfId="88">
      <pivotArea dataOnly="0" labelOnly="1" fieldPosition="0">
        <references count="5">
          <reference field="4" count="1" selected="0">
            <x v="7"/>
          </reference>
          <reference field="6" count="1" selected="0">
            <x v="4"/>
          </reference>
          <reference field="7" count="1" selected="0">
            <x v="10"/>
          </reference>
          <reference field="8" count="1" selected="0">
            <x v="44"/>
          </reference>
          <reference field="15" count="2">
            <x v="57"/>
            <x v="58"/>
          </reference>
        </references>
      </pivotArea>
    </format>
    <format dxfId="87">
      <pivotArea dataOnly="0" labelOnly="1" fieldPosition="0">
        <references count="5">
          <reference field="4" count="1" selected="0">
            <x v="7"/>
          </reference>
          <reference field="6" count="1" selected="0">
            <x v="4"/>
          </reference>
          <reference field="7" count="1" selected="0">
            <x v="10"/>
          </reference>
          <reference field="8" count="1" selected="0">
            <x v="45"/>
          </reference>
          <reference field="15" count="1">
            <x v="55"/>
          </reference>
        </references>
      </pivotArea>
    </format>
    <format dxfId="86">
      <pivotArea dataOnly="0" labelOnly="1" fieldPosition="0">
        <references count="5">
          <reference field="4" count="1" selected="0">
            <x v="7"/>
          </reference>
          <reference field="6" count="1" selected="0">
            <x v="4"/>
          </reference>
          <reference field="7" count="1" selected="0">
            <x v="10"/>
          </reference>
          <reference field="8" count="1" selected="0">
            <x v="46"/>
          </reference>
          <reference field="15" count="1">
            <x v="59"/>
          </reference>
        </references>
      </pivotArea>
    </format>
    <format dxfId="85">
      <pivotArea dataOnly="0" labelOnly="1" fieldPosition="0">
        <references count="5">
          <reference field="4" count="1" selected="0">
            <x v="7"/>
          </reference>
          <reference field="6" count="1" selected="0">
            <x v="4"/>
          </reference>
          <reference field="7" count="1" selected="0">
            <x v="10"/>
          </reference>
          <reference field="8" count="1" selected="0">
            <x v="47"/>
          </reference>
          <reference field="15" count="1">
            <x v="54"/>
          </reference>
        </references>
      </pivotArea>
    </format>
    <format dxfId="84">
      <pivotArea dataOnly="0" labelOnly="1" fieldPosition="0">
        <references count="5">
          <reference field="4" count="1" selected="0">
            <x v="7"/>
          </reference>
          <reference field="6" count="1" selected="0">
            <x v="4"/>
          </reference>
          <reference field="7" count="1" selected="0">
            <x v="11"/>
          </reference>
          <reference field="8" count="1" selected="0">
            <x v="48"/>
          </reference>
          <reference field="15" count="1">
            <x v="88"/>
          </reference>
        </references>
      </pivotArea>
    </format>
    <format dxfId="83">
      <pivotArea dataOnly="0" labelOnly="1" fieldPosition="0">
        <references count="5">
          <reference field="4" count="1" selected="0">
            <x v="7"/>
          </reference>
          <reference field="6" count="1" selected="0">
            <x v="4"/>
          </reference>
          <reference field="7" count="1" selected="0">
            <x v="11"/>
          </reference>
          <reference field="8" count="1" selected="0">
            <x v="49"/>
          </reference>
          <reference field="15" count="1">
            <x v="86"/>
          </reference>
        </references>
      </pivotArea>
    </format>
    <format dxfId="82">
      <pivotArea dataOnly="0" labelOnly="1" fieldPosition="0">
        <references count="5">
          <reference field="4" count="1" selected="0">
            <x v="7"/>
          </reference>
          <reference field="6" count="1" selected="0">
            <x v="4"/>
          </reference>
          <reference field="7" count="1" selected="0">
            <x v="12"/>
          </reference>
          <reference field="8" count="1" selected="0">
            <x v="50"/>
          </reference>
          <reference field="15" count="3">
            <x v="64"/>
            <x v="65"/>
            <x v="136"/>
          </reference>
        </references>
      </pivotArea>
    </format>
    <format dxfId="81">
      <pivotArea dataOnly="0" labelOnly="1" fieldPosition="0">
        <references count="5">
          <reference field="4" count="1" selected="0">
            <x v="7"/>
          </reference>
          <reference field="6" count="1" selected="0">
            <x v="4"/>
          </reference>
          <reference field="7" count="1" selected="0">
            <x v="13"/>
          </reference>
          <reference field="8" count="1" selected="0">
            <x v="51"/>
          </reference>
          <reference field="15" count="1">
            <x v="307"/>
          </reference>
        </references>
      </pivotArea>
    </format>
    <format dxfId="80">
      <pivotArea dataOnly="0" labelOnly="1" fieldPosition="0">
        <references count="5">
          <reference field="4" count="1" selected="0">
            <x v="7"/>
          </reference>
          <reference field="6" count="1" selected="0">
            <x v="4"/>
          </reference>
          <reference field="7" count="1" selected="0">
            <x v="13"/>
          </reference>
          <reference field="8" count="1" selected="0">
            <x v="52"/>
          </reference>
          <reference field="15" count="1">
            <x v="309"/>
          </reference>
        </references>
      </pivotArea>
    </format>
    <format dxfId="79">
      <pivotArea dataOnly="0" labelOnly="1" fieldPosition="0">
        <references count="5">
          <reference field="4" count="1" selected="0">
            <x v="7"/>
          </reference>
          <reference field="6" count="1" selected="0">
            <x v="4"/>
          </reference>
          <reference field="7" count="1" selected="0">
            <x v="13"/>
          </reference>
          <reference field="8" count="1" selected="0">
            <x v="53"/>
          </reference>
          <reference field="15" count="1">
            <x v="308"/>
          </reference>
        </references>
      </pivotArea>
    </format>
    <format dxfId="78">
      <pivotArea dataOnly="0" labelOnly="1" fieldPosition="0">
        <references count="5">
          <reference field="4" count="1" selected="0">
            <x v="7"/>
          </reference>
          <reference field="6" count="1" selected="0">
            <x v="4"/>
          </reference>
          <reference field="7" count="1" selected="0">
            <x v="14"/>
          </reference>
          <reference field="8" count="1" selected="0">
            <x v="54"/>
          </reference>
          <reference field="15" count="1">
            <x v="281"/>
          </reference>
        </references>
      </pivotArea>
    </format>
    <format dxfId="77">
      <pivotArea dataOnly="0" labelOnly="1" fieldPosition="0">
        <references count="5">
          <reference field="4" count="1" selected="0">
            <x v="7"/>
          </reference>
          <reference field="6" count="1" selected="0">
            <x v="4"/>
          </reference>
          <reference field="7" count="1" selected="0">
            <x v="14"/>
          </reference>
          <reference field="8" count="1" selected="0">
            <x v="55"/>
          </reference>
          <reference field="15" count="1">
            <x v="138"/>
          </reference>
        </references>
      </pivotArea>
    </format>
    <format dxfId="76">
      <pivotArea dataOnly="0" labelOnly="1" fieldPosition="0">
        <references count="5">
          <reference field="4" count="1" selected="0">
            <x v="7"/>
          </reference>
          <reference field="6" count="1" selected="0">
            <x v="4"/>
          </reference>
          <reference field="7" count="1" selected="0">
            <x v="15"/>
          </reference>
          <reference field="8" count="1" selected="0">
            <x v="56"/>
          </reference>
          <reference field="15" count="2">
            <x v="335"/>
            <x v="336"/>
          </reference>
        </references>
      </pivotArea>
    </format>
    <format dxfId="75">
      <pivotArea dataOnly="0" labelOnly="1" fieldPosition="0">
        <references count="5">
          <reference field="4" count="1" selected="0">
            <x v="8"/>
          </reference>
          <reference field="6" count="1" selected="0">
            <x v="0"/>
          </reference>
          <reference field="7" count="1" selected="0">
            <x v="18"/>
          </reference>
          <reference field="8" count="1" selected="0">
            <x v="77"/>
          </reference>
          <reference field="15" count="1">
            <x v="290"/>
          </reference>
        </references>
      </pivotArea>
    </format>
    <format dxfId="74">
      <pivotArea dataOnly="0" labelOnly="1" fieldPosition="0">
        <references count="5">
          <reference field="4" count="1" selected="0">
            <x v="8"/>
          </reference>
          <reference field="6" count="1" selected="0">
            <x v="0"/>
          </reference>
          <reference field="7" count="1" selected="0">
            <x v="22"/>
          </reference>
          <reference field="8" count="1" selected="0">
            <x v="92"/>
          </reference>
          <reference field="15" count="4">
            <x v="130"/>
            <x v="359"/>
            <x v="360"/>
            <x v="361"/>
          </reference>
        </references>
      </pivotArea>
    </format>
    <format dxfId="73">
      <pivotArea dataOnly="0" labelOnly="1" fieldPosition="0">
        <references count="5">
          <reference field="4" count="1" selected="0">
            <x v="8"/>
          </reference>
          <reference field="6" count="1" selected="0">
            <x v="0"/>
          </reference>
          <reference field="7" count="1" selected="0">
            <x v="22"/>
          </reference>
          <reference field="8" count="1" selected="0">
            <x v="93"/>
          </reference>
          <reference field="15" count="1">
            <x v="369"/>
          </reference>
        </references>
      </pivotArea>
    </format>
    <format dxfId="72">
      <pivotArea dataOnly="0" labelOnly="1" fieldPosition="0">
        <references count="5">
          <reference field="4" count="1" selected="0">
            <x v="8"/>
          </reference>
          <reference field="6" count="1" selected="0">
            <x v="0"/>
          </reference>
          <reference field="7" count="1" selected="0">
            <x v="22"/>
          </reference>
          <reference field="8" count="1" selected="0">
            <x v="94"/>
          </reference>
          <reference field="15" count="1">
            <x v="273"/>
          </reference>
        </references>
      </pivotArea>
    </format>
    <format dxfId="71">
      <pivotArea dataOnly="0" labelOnly="1" fieldPosition="0">
        <references count="5">
          <reference field="4" count="1" selected="0">
            <x v="8"/>
          </reference>
          <reference field="6" count="1" selected="0">
            <x v="1"/>
          </reference>
          <reference field="7" count="1" selected="0">
            <x v="28"/>
          </reference>
          <reference field="8" count="1" selected="0">
            <x v="138"/>
          </reference>
          <reference field="15" count="3">
            <x v="270"/>
            <x v="343"/>
            <x v="355"/>
          </reference>
        </references>
      </pivotArea>
    </format>
    <format dxfId="70">
      <pivotArea dataOnly="0" labelOnly="1" fieldPosition="0">
        <references count="5">
          <reference field="4" count="1" selected="0">
            <x v="8"/>
          </reference>
          <reference field="6" count="1" selected="0">
            <x v="1"/>
          </reference>
          <reference field="7" count="1" selected="0">
            <x v="28"/>
          </reference>
          <reference field="8" count="1" selected="0">
            <x v="139"/>
          </reference>
          <reference field="15" count="1">
            <x v="147"/>
          </reference>
        </references>
      </pivotArea>
    </format>
    <format dxfId="69">
      <pivotArea dataOnly="0" labelOnly="1" fieldPosition="0">
        <references count="5">
          <reference field="4" count="1" selected="0">
            <x v="8"/>
          </reference>
          <reference field="6" count="1" selected="0">
            <x v="2"/>
          </reference>
          <reference field="7" count="1" selected="0">
            <x v="32"/>
          </reference>
          <reference field="8" count="1" selected="0">
            <x v="158"/>
          </reference>
          <reference field="15" count="1">
            <x v="344"/>
          </reference>
        </references>
      </pivotArea>
    </format>
    <format dxfId="68">
      <pivotArea dataOnly="0" labelOnly="1" fieldPosition="0">
        <references count="5">
          <reference field="4" count="1" selected="0">
            <x v="8"/>
          </reference>
          <reference field="6" count="1" selected="0">
            <x v="2"/>
          </reference>
          <reference field="7" count="1" selected="0">
            <x v="32"/>
          </reference>
          <reference field="8" count="1" selected="0">
            <x v="159"/>
          </reference>
          <reference field="15" count="1">
            <x v="137"/>
          </reference>
        </references>
      </pivotArea>
    </format>
    <format dxfId="67">
      <pivotArea dataOnly="0" labelOnly="1" fieldPosition="0">
        <references count="5">
          <reference field="4" count="1" selected="0">
            <x v="8"/>
          </reference>
          <reference field="6" count="1" selected="0">
            <x v="3"/>
          </reference>
          <reference field="7" count="1" selected="0">
            <x v="6"/>
          </reference>
          <reference field="8" count="1" selected="0">
            <x v="29"/>
          </reference>
          <reference field="15" count="4">
            <x v="145"/>
            <x v="146"/>
            <x v="356"/>
            <x v="357"/>
          </reference>
        </references>
      </pivotArea>
    </format>
    <format dxfId="66">
      <pivotArea dataOnly="0" labelOnly="1" fieldPosition="0">
        <references count="5">
          <reference field="4" count="1" selected="0">
            <x v="8"/>
          </reference>
          <reference field="6" count="1" selected="0">
            <x v="3"/>
          </reference>
          <reference field="7" count="1" selected="0">
            <x v="6"/>
          </reference>
          <reference field="8" count="1" selected="0">
            <x v="30"/>
          </reference>
          <reference field="15" count="2">
            <x v="267"/>
            <x v="268"/>
          </reference>
        </references>
      </pivotArea>
    </format>
    <format dxfId="65">
      <pivotArea dataOnly="0" labelOnly="1" fieldPosition="0">
        <references count="5">
          <reference field="4" count="1" selected="0">
            <x v="9"/>
          </reference>
          <reference field="6" count="1" selected="0">
            <x v="1"/>
          </reference>
          <reference field="7" count="1" selected="0">
            <x v="25"/>
          </reference>
          <reference field="8" count="1" selected="0">
            <x v="115"/>
          </reference>
          <reference field="15" count="13">
            <x v="35"/>
            <x v="36"/>
            <x v="63"/>
            <x v="72"/>
            <x v="77"/>
            <x v="238"/>
            <x v="241"/>
            <x v="242"/>
            <x v="243"/>
            <x v="247"/>
            <x v="248"/>
            <x v="260"/>
            <x v="262"/>
          </reference>
        </references>
      </pivotArea>
    </format>
    <format dxfId="64">
      <pivotArea dataOnly="0" labelOnly="1" fieldPosition="0">
        <references count="5">
          <reference field="4" count="1" selected="0">
            <x v="9"/>
          </reference>
          <reference field="6" count="1" selected="0">
            <x v="1"/>
          </reference>
          <reference field="7" count="1" selected="0">
            <x v="25"/>
          </reference>
          <reference field="8" count="1" selected="0">
            <x v="116"/>
          </reference>
          <reference field="15" count="1">
            <x v="61"/>
          </reference>
        </references>
      </pivotArea>
    </format>
    <format dxfId="63">
      <pivotArea dataOnly="0" labelOnly="1" fieldPosition="0">
        <references count="5">
          <reference field="4" count="1" selected="0">
            <x v="9"/>
          </reference>
          <reference field="6" count="1" selected="0">
            <x v="1"/>
          </reference>
          <reference field="7" count="1" selected="0">
            <x v="25"/>
          </reference>
          <reference field="8" count="1" selected="0">
            <x v="117"/>
          </reference>
          <reference field="15" count="2">
            <x v="92"/>
            <x v="249"/>
          </reference>
        </references>
      </pivotArea>
    </format>
    <format dxfId="62">
      <pivotArea dataOnly="0" labelOnly="1" fieldPosition="0">
        <references count="5">
          <reference field="4" count="1" selected="0">
            <x v="9"/>
          </reference>
          <reference field="6" count="1" selected="0">
            <x v="1"/>
          </reference>
          <reference field="7" count="1" selected="0">
            <x v="25"/>
          </reference>
          <reference field="8" count="1" selected="0">
            <x v="118"/>
          </reference>
          <reference field="15" count="3">
            <x v="71"/>
            <x v="87"/>
            <x v="91"/>
          </reference>
        </references>
      </pivotArea>
    </format>
    <format dxfId="61">
      <pivotArea dataOnly="0" labelOnly="1" fieldPosition="0">
        <references count="5">
          <reference field="4" count="1" selected="0">
            <x v="9"/>
          </reference>
          <reference field="6" count="1" selected="0">
            <x v="1"/>
          </reference>
          <reference field="7" count="1" selected="0">
            <x v="25"/>
          </reference>
          <reference field="8" count="1" selected="0">
            <x v="119"/>
          </reference>
          <reference field="15" count="4">
            <x v="62"/>
            <x v="68"/>
            <x v="69"/>
            <x v="70"/>
          </reference>
        </references>
      </pivotArea>
    </format>
    <format dxfId="60">
      <pivotArea dataOnly="0" labelOnly="1" fieldPosition="0">
        <references count="5">
          <reference field="4" count="1" selected="0">
            <x v="9"/>
          </reference>
          <reference field="6" count="1" selected="0">
            <x v="1"/>
          </reference>
          <reference field="7" count="1" selected="0">
            <x v="25"/>
          </reference>
          <reference field="8" count="1" selected="0">
            <x v="120"/>
          </reference>
          <reference field="15" count="1">
            <x v="85"/>
          </reference>
        </references>
      </pivotArea>
    </format>
    <format dxfId="59">
      <pivotArea dataOnly="0" labelOnly="1" fieldPosition="0">
        <references count="5">
          <reference field="4" count="1" selected="0">
            <x v="9"/>
          </reference>
          <reference field="6" count="1" selected="0">
            <x v="1"/>
          </reference>
          <reference field="7" count="1" selected="0">
            <x v="25"/>
          </reference>
          <reference field="8" count="1" selected="0">
            <x v="121"/>
          </reference>
          <reference field="15" count="2">
            <x v="41"/>
            <x v="78"/>
          </reference>
        </references>
      </pivotArea>
    </format>
    <format dxfId="58">
      <pivotArea dataOnly="0" labelOnly="1" fieldPosition="0">
        <references count="5">
          <reference field="4" count="1" selected="0">
            <x v="9"/>
          </reference>
          <reference field="6" count="1" selected="0">
            <x v="1"/>
          </reference>
          <reference field="7" count="1" selected="0">
            <x v="25"/>
          </reference>
          <reference field="8" count="1" selected="0">
            <x v="122"/>
          </reference>
          <reference field="15" count="2">
            <x v="38"/>
            <x v="39"/>
          </reference>
        </references>
      </pivotArea>
    </format>
    <format dxfId="57">
      <pivotArea dataOnly="0" labelOnly="1" fieldPosition="0">
        <references count="5">
          <reference field="4" count="1" selected="0">
            <x v="9"/>
          </reference>
          <reference field="6" count="1" selected="0">
            <x v="1"/>
          </reference>
          <reference field="7" count="1" selected="0">
            <x v="25"/>
          </reference>
          <reference field="8" count="1" selected="0">
            <x v="123"/>
          </reference>
          <reference field="15" count="7">
            <x v="32"/>
            <x v="33"/>
            <x v="60"/>
            <x v="82"/>
            <x v="83"/>
            <x v="89"/>
            <x v="90"/>
          </reference>
        </references>
      </pivotArea>
    </format>
    <format dxfId="56">
      <pivotArea dataOnly="0" labelOnly="1" fieldPosition="0">
        <references count="5">
          <reference field="4" count="1" selected="0">
            <x v="9"/>
          </reference>
          <reference field="6" count="1" selected="0">
            <x v="1"/>
          </reference>
          <reference field="7" count="1" selected="0">
            <x v="25"/>
          </reference>
          <reference field="8" count="1" selected="0">
            <x v="124"/>
          </reference>
          <reference field="15" count="1">
            <x v="261"/>
          </reference>
        </references>
      </pivotArea>
    </format>
    <format dxfId="55">
      <pivotArea dataOnly="0" labelOnly="1" fieldPosition="0">
        <references count="5">
          <reference field="4" count="1" selected="0">
            <x v="10"/>
          </reference>
          <reference field="6" count="1" selected="0">
            <x v="3"/>
          </reference>
          <reference field="7" count="1" selected="0">
            <x v="6"/>
          </reference>
          <reference field="8" count="1" selected="0">
            <x v="29"/>
          </reference>
          <reference field="15" count="21">
            <x v="2"/>
            <x v="3"/>
            <x v="5"/>
            <x v="152"/>
            <x v="153"/>
            <x v="154"/>
            <x v="155"/>
            <x v="156"/>
            <x v="157"/>
            <x v="158"/>
            <x v="159"/>
            <x v="160"/>
            <x v="161"/>
            <x v="162"/>
            <x v="163"/>
            <x v="189"/>
            <x v="190"/>
            <x v="191"/>
            <x v="192"/>
            <x v="193"/>
            <x v="395"/>
          </reference>
        </references>
      </pivotArea>
    </format>
    <format dxfId="54">
      <pivotArea dataOnly="0" labelOnly="1" fieldPosition="0">
        <references count="5">
          <reference field="4" count="1" selected="0">
            <x v="11"/>
          </reference>
          <reference field="6" count="1" selected="0">
            <x v="0"/>
          </reference>
          <reference field="7" count="1" selected="0">
            <x v="17"/>
          </reference>
          <reference field="8" count="1" selected="0">
            <x v="70"/>
          </reference>
          <reference field="15" count="4">
            <x v="345"/>
            <x v="346"/>
            <x v="347"/>
            <x v="351"/>
          </reference>
        </references>
      </pivotArea>
    </format>
    <format dxfId="53">
      <pivotArea dataOnly="0" labelOnly="1" fieldPosition="0">
        <references count="5">
          <reference field="4" count="1" selected="0">
            <x v="11"/>
          </reference>
          <reference field="6" count="1" selected="0">
            <x v="0"/>
          </reference>
          <reference field="7" count="1" selected="0">
            <x v="17"/>
          </reference>
          <reference field="8" count="1" selected="0">
            <x v="71"/>
          </reference>
          <reference field="15" count="3">
            <x v="348"/>
            <x v="352"/>
            <x v="353"/>
          </reference>
        </references>
      </pivotArea>
    </format>
    <format dxfId="52">
      <pivotArea dataOnly="0" labelOnly="1" fieldPosition="0">
        <references count="5">
          <reference field="4" count="1" selected="0">
            <x v="11"/>
          </reference>
          <reference field="6" count="1" selected="0">
            <x v="0"/>
          </reference>
          <reference field="7" count="1" selected="0">
            <x v="17"/>
          </reference>
          <reference field="8" count="1" selected="0">
            <x v="72"/>
          </reference>
          <reference field="15" count="3">
            <x v="143"/>
            <x v="349"/>
            <x v="350"/>
          </reference>
        </references>
      </pivotArea>
    </format>
    <format dxfId="51">
      <pivotArea dataOnly="0" labelOnly="1" fieldPosition="0">
        <references count="5">
          <reference field="4" count="1" selected="0">
            <x v="12"/>
          </reference>
          <reference field="6" count="1" selected="0">
            <x v="0"/>
          </reference>
          <reference field="7" count="1" selected="0">
            <x v="18"/>
          </reference>
          <reference field="8" count="1" selected="0">
            <x v="74"/>
          </reference>
          <reference field="15" count="2">
            <x v="113"/>
            <x v="114"/>
          </reference>
        </references>
      </pivotArea>
    </format>
    <format dxfId="50">
      <pivotArea dataOnly="0" labelOnly="1" fieldPosition="0">
        <references count="5">
          <reference field="4" count="1" selected="0">
            <x v="12"/>
          </reference>
          <reference field="6" count="1" selected="0">
            <x v="0"/>
          </reference>
          <reference field="7" count="1" selected="0">
            <x v="18"/>
          </reference>
          <reference field="8" count="1" selected="0">
            <x v="75"/>
          </reference>
          <reference field="15" count="1">
            <x v="116"/>
          </reference>
        </references>
      </pivotArea>
    </format>
    <format dxfId="49">
      <pivotArea dataOnly="0" labelOnly="1" fieldPosition="0">
        <references count="5">
          <reference field="4" count="1" selected="0">
            <x v="12"/>
          </reference>
          <reference field="6" count="1" selected="0">
            <x v="0"/>
          </reference>
          <reference field="7" count="1" selected="0">
            <x v="18"/>
          </reference>
          <reference field="8" count="1" selected="0">
            <x v="76"/>
          </reference>
          <reference field="15" count="1">
            <x v="244"/>
          </reference>
        </references>
      </pivotArea>
    </format>
    <format dxfId="48">
      <pivotArea dataOnly="0" labelOnly="1" fieldPosition="0">
        <references count="5">
          <reference field="4" count="1" selected="0">
            <x v="13"/>
          </reference>
          <reference field="6" count="1" selected="0">
            <x v="3"/>
          </reference>
          <reference field="7" count="1" selected="0">
            <x v="1"/>
          </reference>
          <reference field="8" count="1" selected="0">
            <x v="6"/>
          </reference>
          <reference field="15" count="1">
            <x v="340"/>
          </reference>
        </references>
      </pivotArea>
    </format>
    <format dxfId="47">
      <pivotArea dataOnly="0" labelOnly="1" fieldPosition="0">
        <references count="5">
          <reference field="4" count="1" selected="0">
            <x v="13"/>
          </reference>
          <reference field="6" count="1" selected="0">
            <x v="3"/>
          </reference>
          <reference field="7" count="1" selected="0">
            <x v="5"/>
          </reference>
          <reference field="8" count="1" selected="0">
            <x v="22"/>
          </reference>
          <reference field="15" count="1">
            <x v="333"/>
          </reference>
        </references>
      </pivotArea>
    </format>
    <format dxfId="46">
      <pivotArea dataOnly="0" labelOnly="1" fieldPosition="0">
        <references count="5">
          <reference field="4" count="1" selected="0">
            <x v="13"/>
          </reference>
          <reference field="6" count="1" selected="0">
            <x v="3"/>
          </reference>
          <reference field="7" count="1" selected="0">
            <x v="5"/>
          </reference>
          <reference field="8" count="1" selected="0">
            <x v="23"/>
          </reference>
          <reference field="15" count="1">
            <x v="332"/>
          </reference>
        </references>
      </pivotArea>
    </format>
    <format dxfId="45">
      <pivotArea dataOnly="0" labelOnly="1" fieldPosition="0">
        <references count="5">
          <reference field="4" count="1" selected="0">
            <x v="13"/>
          </reference>
          <reference field="6" count="1" selected="0">
            <x v="3"/>
          </reference>
          <reference field="7" count="1" selected="0">
            <x v="5"/>
          </reference>
          <reference field="8" count="1" selected="0">
            <x v="24"/>
          </reference>
          <reference field="15" count="1">
            <x v="339"/>
          </reference>
        </references>
      </pivotArea>
    </format>
    <format dxfId="44">
      <pivotArea dataOnly="0" labelOnly="1" fieldPosition="0">
        <references count="5">
          <reference field="4" count="1" selected="0">
            <x v="13"/>
          </reference>
          <reference field="6" count="1" selected="0">
            <x v="3"/>
          </reference>
          <reference field="7" count="1" selected="0">
            <x v="5"/>
          </reference>
          <reference field="8" count="1" selected="0">
            <x v="25"/>
          </reference>
          <reference field="15" count="1">
            <x v="342"/>
          </reference>
        </references>
      </pivotArea>
    </format>
    <format dxfId="43">
      <pivotArea dataOnly="0" labelOnly="1" fieldPosition="0">
        <references count="5">
          <reference field="4" count="1" selected="0">
            <x v="13"/>
          </reference>
          <reference field="6" count="1" selected="0">
            <x v="3"/>
          </reference>
          <reference field="7" count="1" selected="0">
            <x v="5"/>
          </reference>
          <reference field="8" count="1" selected="0">
            <x v="26"/>
          </reference>
          <reference field="15" count="1">
            <x v="338"/>
          </reference>
        </references>
      </pivotArea>
    </format>
    <format dxfId="42">
      <pivotArea dataOnly="0" labelOnly="1" fieldPosition="0">
        <references count="5">
          <reference field="4" count="1" selected="0">
            <x v="13"/>
          </reference>
          <reference field="6" count="1" selected="0">
            <x v="3"/>
          </reference>
          <reference field="7" count="1" selected="0">
            <x v="5"/>
          </reference>
          <reference field="8" count="1" selected="0">
            <x v="27"/>
          </reference>
          <reference field="15" count="1">
            <x v="341"/>
          </reference>
        </references>
      </pivotArea>
    </format>
    <format dxfId="41">
      <pivotArea dataOnly="0" labelOnly="1" fieldPosition="0">
        <references count="5">
          <reference field="4" count="1" selected="0">
            <x v="14"/>
          </reference>
          <reference field="6" count="1" selected="0">
            <x v="1"/>
          </reference>
          <reference field="7" count="1" selected="0">
            <x v="26"/>
          </reference>
          <reference field="8" count="1" selected="0">
            <x v="125"/>
          </reference>
          <reference field="15" count="4">
            <x v="26"/>
            <x v="27"/>
            <x v="28"/>
            <x v="99"/>
          </reference>
        </references>
      </pivotArea>
    </format>
    <format dxfId="40">
      <pivotArea dataOnly="0" labelOnly="1" fieldPosition="0">
        <references count="5">
          <reference field="4" count="1" selected="0">
            <x v="14"/>
          </reference>
          <reference field="6" count="1" selected="0">
            <x v="1"/>
          </reference>
          <reference field="7" count="1" selected="0">
            <x v="26"/>
          </reference>
          <reference field="8" count="1" selected="0">
            <x v="126"/>
          </reference>
          <reference field="15" count="1">
            <x v="19"/>
          </reference>
        </references>
      </pivotArea>
    </format>
    <format dxfId="39">
      <pivotArea dataOnly="0" labelOnly="1" fieldPosition="0">
        <references count="5">
          <reference field="4" count="1" selected="0">
            <x v="14"/>
          </reference>
          <reference field="6" count="1" selected="0">
            <x v="1"/>
          </reference>
          <reference field="7" count="1" selected="0">
            <x v="26"/>
          </reference>
          <reference field="8" count="1" selected="0">
            <x v="127"/>
          </reference>
          <reference field="15" count="2">
            <x v="150"/>
            <x v="151"/>
          </reference>
        </references>
      </pivotArea>
    </format>
    <format dxfId="38">
      <pivotArea dataOnly="0" labelOnly="1" fieldPosition="0">
        <references count="5">
          <reference field="4" count="1" selected="0">
            <x v="14"/>
          </reference>
          <reference field="6" count="1" selected="0">
            <x v="1"/>
          </reference>
          <reference field="7" count="1" selected="0">
            <x v="26"/>
          </reference>
          <reference field="8" count="1" selected="0">
            <x v="128"/>
          </reference>
          <reference field="15" count="2">
            <x v="29"/>
            <x v="30"/>
          </reference>
        </references>
      </pivotArea>
    </format>
    <format dxfId="37">
      <pivotArea dataOnly="0" labelOnly="1" fieldPosition="0">
        <references count="5">
          <reference field="4" count="1" selected="0">
            <x v="14"/>
          </reference>
          <reference field="6" count="1" selected="0">
            <x v="1"/>
          </reference>
          <reference field="7" count="1" selected="0">
            <x v="26"/>
          </reference>
          <reference field="8" count="1" selected="0">
            <x v="129"/>
          </reference>
          <reference field="15" count="2">
            <x v="330"/>
            <x v="331"/>
          </reference>
        </references>
      </pivotArea>
    </format>
    <format dxfId="36">
      <pivotArea dataOnly="0" labelOnly="1" fieldPosition="0">
        <references count="5">
          <reference field="4" count="1" selected="0">
            <x v="14"/>
          </reference>
          <reference field="6" count="1" selected="0">
            <x v="1"/>
          </reference>
          <reference field="7" count="1" selected="0">
            <x v="26"/>
          </reference>
          <reference field="8" count="1" selected="0">
            <x v="130"/>
          </reference>
          <reference field="15" count="2">
            <x v="367"/>
            <x v="368"/>
          </reference>
        </references>
      </pivotArea>
    </format>
    <format dxfId="35">
      <pivotArea dataOnly="0" labelOnly="1" fieldPosition="0">
        <references count="5">
          <reference field="4" count="1" selected="0">
            <x v="14"/>
          </reference>
          <reference field="6" count="1" selected="0">
            <x v="1"/>
          </reference>
          <reference field="7" count="1" selected="0">
            <x v="26"/>
          </reference>
          <reference field="8" count="1" selected="0">
            <x v="131"/>
          </reference>
          <reference field="15" count="3">
            <x v="14"/>
            <x v="15"/>
            <x v="16"/>
          </reference>
        </references>
      </pivotArea>
    </format>
    <format dxfId="34">
      <pivotArea dataOnly="0" labelOnly="1" fieldPosition="0">
        <references count="5">
          <reference field="4" count="1" selected="0">
            <x v="15"/>
          </reference>
          <reference field="6" count="1" selected="0">
            <x v="0"/>
          </reference>
          <reference field="7" count="1" selected="0">
            <x v="20"/>
          </reference>
          <reference field="8" count="1" selected="0">
            <x v="82"/>
          </reference>
          <reference field="15" count="2">
            <x v="73"/>
            <x v="74"/>
          </reference>
        </references>
      </pivotArea>
    </format>
    <format dxfId="33">
      <pivotArea dataOnly="0" labelOnly="1" fieldPosition="0">
        <references count="5">
          <reference field="4" count="1" selected="0">
            <x v="15"/>
          </reference>
          <reference field="6" count="1" selected="0">
            <x v="0"/>
          </reference>
          <reference field="7" count="1" selected="0">
            <x v="20"/>
          </reference>
          <reference field="8" count="1" selected="0">
            <x v="83"/>
          </reference>
          <reference field="15" count="1">
            <x v="75"/>
          </reference>
        </references>
      </pivotArea>
    </format>
    <format dxfId="32">
      <pivotArea dataOnly="0" labelOnly="1" fieldPosition="0">
        <references count="5">
          <reference field="4" count="1" selected="0">
            <x v="15"/>
          </reference>
          <reference field="6" count="1" selected="0">
            <x v="0"/>
          </reference>
          <reference field="7" count="1" selected="0">
            <x v="20"/>
          </reference>
          <reference field="8" count="1" selected="0">
            <x v="84"/>
          </reference>
          <reference field="15" count="1">
            <x v="76"/>
          </reference>
        </references>
      </pivotArea>
    </format>
    <format dxfId="31">
      <pivotArea dataOnly="0" labelOnly="1" fieldPosition="0">
        <references count="5">
          <reference field="4" count="1" selected="0">
            <x v="15"/>
          </reference>
          <reference field="6" count="1" selected="0">
            <x v="0"/>
          </reference>
          <reference field="7" count="1" selected="0">
            <x v="20"/>
          </reference>
          <reference field="8" count="1" selected="0">
            <x v="85"/>
          </reference>
          <reference field="15" count="1">
            <x v="259"/>
          </reference>
        </references>
      </pivotArea>
    </format>
    <format dxfId="30">
      <pivotArea dataOnly="0" labelOnly="1" fieldPosition="0">
        <references count="5">
          <reference field="4" count="1" selected="0">
            <x v="15"/>
          </reference>
          <reference field="6" count="1" selected="0">
            <x v="0"/>
          </reference>
          <reference field="7" count="1" selected="0">
            <x v="20"/>
          </reference>
          <reference field="8" count="1" selected="0">
            <x v="86"/>
          </reference>
          <reference field="15" count="3">
            <x v="132"/>
            <x v="133"/>
            <x v="134"/>
          </reference>
        </references>
      </pivotArea>
    </format>
    <format dxfId="29">
      <pivotArea dataOnly="0" labelOnly="1" fieldPosition="0">
        <references count="5">
          <reference field="4" count="1" selected="0">
            <x v="16"/>
          </reference>
          <reference field="6" count="1" selected="0">
            <x v="1"/>
          </reference>
          <reference field="7" count="1" selected="0">
            <x v="27"/>
          </reference>
          <reference field="8" count="1" selected="0">
            <x v="132"/>
          </reference>
          <reference field="15" count="1">
            <x v="20"/>
          </reference>
        </references>
      </pivotArea>
    </format>
    <format dxfId="28">
      <pivotArea dataOnly="0" labelOnly="1" fieldPosition="0">
        <references count="5">
          <reference field="4" count="1" selected="0">
            <x v="16"/>
          </reference>
          <reference field="6" count="1" selected="0">
            <x v="1"/>
          </reference>
          <reference field="7" count="1" selected="0">
            <x v="27"/>
          </reference>
          <reference field="8" count="1" selected="0">
            <x v="133"/>
          </reference>
          <reference field="15" count="3">
            <x v="21"/>
            <x v="22"/>
            <x v="23"/>
          </reference>
        </references>
      </pivotArea>
    </format>
    <format dxfId="27">
      <pivotArea dataOnly="0" labelOnly="1" fieldPosition="0">
        <references count="5">
          <reference field="4" count="1" selected="0">
            <x v="16"/>
          </reference>
          <reference field="6" count="1" selected="0">
            <x v="1"/>
          </reference>
          <reference field="7" count="1" selected="0">
            <x v="27"/>
          </reference>
          <reference field="8" count="1" selected="0">
            <x v="134"/>
          </reference>
          <reference field="15" count="2">
            <x v="149"/>
            <x v="354"/>
          </reference>
        </references>
      </pivotArea>
    </format>
    <format dxfId="26">
      <pivotArea dataOnly="0" labelOnly="1" fieldPosition="0">
        <references count="5">
          <reference field="4" count="1" selected="0">
            <x v="16"/>
          </reference>
          <reference field="6" count="1" selected="0">
            <x v="1"/>
          </reference>
          <reference field="7" count="1" selected="0">
            <x v="27"/>
          </reference>
          <reference field="8" count="1" selected="0">
            <x v="135"/>
          </reference>
          <reference field="15" count="2">
            <x v="109"/>
            <x v="363"/>
          </reference>
        </references>
      </pivotArea>
    </format>
    <format dxfId="25">
      <pivotArea dataOnly="0" labelOnly="1" fieldPosition="0">
        <references count="5">
          <reference field="4" count="1" selected="0">
            <x v="16"/>
          </reference>
          <reference field="6" count="1" selected="0">
            <x v="1"/>
          </reference>
          <reference field="7" count="1" selected="0">
            <x v="27"/>
          </reference>
          <reference field="8" count="1" selected="0">
            <x v="136"/>
          </reference>
          <reference field="15" count="2">
            <x v="81"/>
            <x v="148"/>
          </reference>
        </references>
      </pivotArea>
    </format>
    <format dxfId="24">
      <pivotArea dataOnly="0" labelOnly="1" fieldPosition="0">
        <references count="5">
          <reference field="4" count="1" selected="0">
            <x v="16"/>
          </reference>
          <reference field="6" count="1" selected="0">
            <x v="1"/>
          </reference>
          <reference field="7" count="1" selected="0">
            <x v="27"/>
          </reference>
          <reference field="8" count="1" selected="0">
            <x v="137"/>
          </reference>
          <reference field="15" count="2">
            <x v="111"/>
            <x v="112"/>
          </reference>
        </references>
      </pivotArea>
    </format>
    <format dxfId="23">
      <pivotArea dataOnly="0" labelOnly="1" fieldPosition="0">
        <references count="5">
          <reference field="4" count="1" selected="0">
            <x v="16"/>
          </reference>
          <reference field="6" count="1" selected="0">
            <x v="3"/>
          </reference>
          <reference field="7" count="1" selected="0">
            <x v="1"/>
          </reference>
          <reference field="8" count="1" selected="0">
            <x v="6"/>
          </reference>
          <reference field="15" count="1">
            <x v="362"/>
          </reference>
        </references>
      </pivotArea>
    </format>
    <format dxfId="22">
      <pivotArea dataOnly="0" labelOnly="1" fieldPosition="0">
        <references count="5">
          <reference field="4" count="1" selected="0">
            <x v="16"/>
          </reference>
          <reference field="6" count="1" selected="0">
            <x v="4"/>
          </reference>
          <reference field="7" count="1" selected="0">
            <x v="8"/>
          </reference>
          <reference field="8" count="1" selected="0">
            <x v="38"/>
          </reference>
          <reference field="15" count="1">
            <x v="229"/>
          </reference>
        </references>
      </pivotArea>
    </format>
    <format dxfId="21">
      <pivotArea dataOnly="0" labelOnly="1" fieldPosition="0">
        <references count="5">
          <reference field="4" count="1" selected="0">
            <x v="16"/>
          </reference>
          <reference field="6" count="1" selected="0">
            <x v="4"/>
          </reference>
          <reference field="7" count="1" selected="0">
            <x v="11"/>
          </reference>
          <reference field="8" count="1" selected="0">
            <x v="48"/>
          </reference>
          <reference field="15" count="1">
            <x v="200"/>
          </reference>
        </references>
      </pivotArea>
    </format>
    <format dxfId="20">
      <pivotArea dataOnly="0" labelOnly="1" fieldPosition="0">
        <references count="5">
          <reference field="4" count="1" selected="0">
            <x v="17"/>
          </reference>
          <reference field="6" count="1" selected="0">
            <x v="0"/>
          </reference>
          <reference field="7" count="1" selected="0">
            <x v="16"/>
          </reference>
          <reference field="8" count="1" selected="0">
            <x v="57"/>
          </reference>
          <reference field="15" count="5">
            <x v="110"/>
            <x v="284"/>
            <x v="285"/>
            <x v="294"/>
            <x v="295"/>
          </reference>
        </references>
      </pivotArea>
    </format>
    <format dxfId="19">
      <pivotArea dataOnly="0" labelOnly="1" fieldPosition="0">
        <references count="5">
          <reference field="4" count="1" selected="0">
            <x v="17"/>
          </reference>
          <reference field="6" count="1" selected="0">
            <x v="0"/>
          </reference>
          <reference field="7" count="1" selected="0">
            <x v="16"/>
          </reference>
          <reference field="8" count="1" selected="0">
            <x v="58"/>
          </reference>
          <reference field="15" count="2">
            <x v="299"/>
            <x v="300"/>
          </reference>
        </references>
      </pivotArea>
    </format>
    <format dxfId="18">
      <pivotArea dataOnly="0" labelOnly="1" fieldPosition="0">
        <references count="5">
          <reference field="4" count="1" selected="0">
            <x v="17"/>
          </reference>
          <reference field="6" count="1" selected="0">
            <x v="0"/>
          </reference>
          <reference field="7" count="1" selected="0">
            <x v="16"/>
          </reference>
          <reference field="8" count="1" selected="0">
            <x v="59"/>
          </reference>
          <reference field="15" count="2">
            <x v="94"/>
            <x v="95"/>
          </reference>
        </references>
      </pivotArea>
    </format>
    <format dxfId="17">
      <pivotArea dataOnly="0" labelOnly="1" fieldPosition="0">
        <references count="5">
          <reference field="4" count="1" selected="0">
            <x v="17"/>
          </reference>
          <reference field="6" count="1" selected="0">
            <x v="0"/>
          </reference>
          <reference field="7" count="1" selected="0">
            <x v="16"/>
          </reference>
          <reference field="8" count="1" selected="0">
            <x v="60"/>
          </reference>
          <reference field="15" count="5">
            <x v="102"/>
            <x v="103"/>
            <x v="104"/>
            <x v="322"/>
            <x v="323"/>
          </reference>
        </references>
      </pivotArea>
    </format>
    <format dxfId="16">
      <pivotArea dataOnly="0" labelOnly="1" fieldPosition="0">
        <references count="5">
          <reference field="4" count="1" selected="0">
            <x v="17"/>
          </reference>
          <reference field="6" count="1" selected="0">
            <x v="0"/>
          </reference>
          <reference field="7" count="1" selected="0">
            <x v="16"/>
          </reference>
          <reference field="8" count="1" selected="0">
            <x v="61"/>
          </reference>
          <reference field="15" count="2">
            <x v="296"/>
            <x v="297"/>
          </reference>
        </references>
      </pivotArea>
    </format>
    <format dxfId="15">
      <pivotArea dataOnly="0" labelOnly="1" fieldPosition="0">
        <references count="5">
          <reference field="4" count="1" selected="0">
            <x v="17"/>
          </reference>
          <reference field="6" count="1" selected="0">
            <x v="0"/>
          </reference>
          <reference field="7" count="1" selected="0">
            <x v="16"/>
          </reference>
          <reference field="8" count="1" selected="0">
            <x v="62"/>
          </reference>
          <reference field="15" count="1">
            <x v="93"/>
          </reference>
        </references>
      </pivotArea>
    </format>
    <format dxfId="14">
      <pivotArea dataOnly="0" labelOnly="1" fieldPosition="0">
        <references count="5">
          <reference field="4" count="1" selected="0">
            <x v="17"/>
          </reference>
          <reference field="6" count="1" selected="0">
            <x v="0"/>
          </reference>
          <reference field="7" count="1" selected="0">
            <x v="16"/>
          </reference>
          <reference field="8" count="1" selected="0">
            <x v="63"/>
          </reference>
          <reference field="15" count="2">
            <x v="315"/>
            <x v="316"/>
          </reference>
        </references>
      </pivotArea>
    </format>
    <format dxfId="13">
      <pivotArea dataOnly="0" labelOnly="1" fieldPosition="0">
        <references count="5">
          <reference field="4" count="1" selected="0">
            <x v="17"/>
          </reference>
          <reference field="6" count="1" selected="0">
            <x v="0"/>
          </reference>
          <reference field="7" count="1" selected="0">
            <x v="22"/>
          </reference>
          <reference field="8" count="1" selected="0">
            <x v="94"/>
          </reference>
          <reference field="15" count="2">
            <x v="105"/>
            <x v="106"/>
          </reference>
        </references>
      </pivotArea>
    </format>
    <format dxfId="12">
      <pivotArea dataOnly="0" labelOnly="1" fieldPosition="0">
        <references count="5">
          <reference field="4" count="1" selected="0">
            <x v="18"/>
          </reference>
          <reference field="6" count="1" selected="0">
            <x v="3"/>
          </reference>
          <reference field="7" count="1" selected="0">
            <x v="2"/>
          </reference>
          <reference field="8" count="1" selected="0">
            <x v="8"/>
          </reference>
          <reference field="15" count="2">
            <x v="375"/>
            <x v="376"/>
          </reference>
        </references>
      </pivotArea>
    </format>
    <format dxfId="11">
      <pivotArea dataOnly="0" labelOnly="1" fieldPosition="0">
        <references count="5">
          <reference field="4" count="1" selected="0">
            <x v="18"/>
          </reference>
          <reference field="6" count="1" selected="0">
            <x v="3"/>
          </reference>
          <reference field="7" count="1" selected="0">
            <x v="2"/>
          </reference>
          <reference field="8" count="1" selected="0">
            <x v="9"/>
          </reference>
          <reference field="15" count="1">
            <x v="266"/>
          </reference>
        </references>
      </pivotArea>
    </format>
    <format dxfId="10">
      <pivotArea dataOnly="0" labelOnly="1" fieldPosition="0">
        <references count="5">
          <reference field="4" count="1" selected="0">
            <x v="18"/>
          </reference>
          <reference field="6" count="1" selected="0">
            <x v="3"/>
          </reference>
          <reference field="7" count="1" selected="0">
            <x v="2"/>
          </reference>
          <reference field="8" count="1" selected="0">
            <x v="16"/>
          </reference>
          <reference field="15" count="2">
            <x v="271"/>
            <x v="272"/>
          </reference>
        </references>
      </pivotArea>
    </format>
    <format dxfId="9">
      <pivotArea dataOnly="0" labelOnly="1" fieldPosition="0">
        <references count="5">
          <reference field="4" count="1" selected="0">
            <x v="18"/>
          </reference>
          <reference field="6" count="1" selected="0">
            <x v="3"/>
          </reference>
          <reference field="7" count="1" selected="0">
            <x v="2"/>
          </reference>
          <reference field="8" count="1" selected="0">
            <x v="17"/>
          </reference>
          <reference field="15" count="3">
            <x v="286"/>
            <x v="287"/>
            <x v="288"/>
          </reference>
        </references>
      </pivotArea>
    </format>
    <format dxfId="8">
      <pivotArea dataOnly="0" labelOnly="1" fieldPosition="0">
        <references count="5">
          <reference field="4" count="1" selected="0">
            <x v="19"/>
          </reference>
          <reference field="6" count="1" selected="0">
            <x v="3"/>
          </reference>
          <reference field="7" count="1" selected="0">
            <x v="6"/>
          </reference>
          <reference field="8" count="1" selected="0">
            <x v="29"/>
          </reference>
          <reference field="15" count="24">
            <x v="4"/>
            <x v="168"/>
            <x v="169"/>
            <x v="170"/>
            <x v="171"/>
            <x v="172"/>
            <x v="173"/>
            <x v="174"/>
            <x v="183"/>
            <x v="184"/>
            <x v="185"/>
            <x v="186"/>
            <x v="187"/>
            <x v="188"/>
            <x v="194"/>
            <x v="195"/>
            <x v="196"/>
            <x v="197"/>
            <x v="198"/>
            <x v="199"/>
            <x v="203"/>
            <x v="204"/>
            <x v="223"/>
            <x v="258"/>
          </reference>
        </references>
      </pivotArea>
    </format>
    <format dxfId="7">
      <pivotArea dataOnly="0" labelOnly="1" fieldPosition="0">
        <references count="5">
          <reference field="4" count="1" selected="0">
            <x v="20"/>
          </reference>
          <reference field="6" count="1" selected="0">
            <x v="1"/>
          </reference>
          <reference field="7" count="1" selected="0">
            <x v="24"/>
          </reference>
          <reference field="8" count="1" selected="0">
            <x v="106"/>
          </reference>
          <reference field="15" count="2">
            <x v="239"/>
            <x v="240"/>
          </reference>
        </references>
      </pivotArea>
    </format>
    <format dxfId="6">
      <pivotArea dataOnly="0" labelOnly="1" outline="0" fieldPosition="0">
        <references count="1">
          <reference field="4294967294" count="2">
            <x v="7"/>
            <x v="8"/>
          </reference>
        </references>
      </pivotArea>
    </format>
    <format dxfId="5">
      <pivotArea outline="0" collapsedLevelsAreSubtotals="1" fieldPosition="0"/>
    </format>
    <format dxfId="4">
      <pivotArea dataOnly="0" labelOnly="1" outline="0" fieldPosition="0">
        <references count="1">
          <reference field="2" count="0"/>
        </references>
      </pivotArea>
    </format>
    <format dxfId="3">
      <pivotArea dataOnly="0" labelOnly="1" outline="0" fieldPosition="0">
        <references count="1">
          <reference field="4294967294" count="9">
            <x v="0"/>
            <x v="1"/>
            <x v="2"/>
            <x v="3"/>
            <x v="4"/>
            <x v="5"/>
            <x v="6"/>
            <x v="7"/>
            <x v="8"/>
          </reference>
        </references>
      </pivotArea>
    </format>
    <format dxfId="2">
      <pivotArea outline="0" collapsedLevelsAreSubtotals="1" fieldPosition="0">
        <references count="1">
          <reference field="4294967294" count="2" selected="0">
            <x v="7"/>
            <x v="8"/>
          </reference>
        </references>
      </pivotArea>
    </format>
    <format dxfId="1">
      <pivotArea dataOnly="0" labelOnly="1" outline="0" fieldPosition="0">
        <references count="1">
          <reference field="4294967294" count="2">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14.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15.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16.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17.xml"/></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18.xml"/></Relationships>
</file>

<file path=xl/worksheets/_rels/sheet20.xml.rels><?xml version="1.0" encoding="UTF-8" standalone="yes"?>
<Relationships xmlns="http://schemas.openxmlformats.org/package/2006/relationships"><Relationship Id="rId1" Type="http://schemas.openxmlformats.org/officeDocument/2006/relationships/pivotTable" Target="../pivotTables/pivotTable19.xml"/></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20.xml"/></Relationships>
</file>

<file path=xl/worksheets/_rels/sheet22.xml.rels><?xml version="1.0" encoding="UTF-8" standalone="yes"?>
<Relationships xmlns="http://schemas.openxmlformats.org/package/2006/relationships"><Relationship Id="rId1" Type="http://schemas.openxmlformats.org/officeDocument/2006/relationships/pivotTable" Target="../pivotTables/pivotTable21.xml"/></Relationships>
</file>

<file path=xl/worksheets/_rels/sheet23.xml.rels><?xml version="1.0" encoding="UTF-8" standalone="yes"?>
<Relationships xmlns="http://schemas.openxmlformats.org/package/2006/relationships"><Relationship Id="rId1" Type="http://schemas.openxmlformats.org/officeDocument/2006/relationships/pivotTable" Target="../pivotTables/pivotTable22.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A740-2A63-4734-8225-4AC86AEF4797}">
  <dimension ref="A3:F26"/>
  <sheetViews>
    <sheetView tabSelected="1" topLeftCell="A5" zoomScale="115" zoomScaleNormal="115" workbookViewId="0">
      <selection activeCell="H14" sqref="H14"/>
    </sheetView>
  </sheetViews>
  <sheetFormatPr baseColWidth="10" defaultRowHeight="14.4" x14ac:dyDescent="0.3"/>
  <cols>
    <col min="1" max="1" width="17.5546875" bestFit="1" customWidth="1"/>
    <col min="2" max="2" width="22.5546875" style="5" bestFit="1" customWidth="1"/>
    <col min="3" max="3" width="25.88671875" style="5" bestFit="1" customWidth="1"/>
    <col min="4" max="4" width="23.44140625" style="5" bestFit="1" customWidth="1"/>
    <col min="5" max="6" width="22" style="5" bestFit="1" customWidth="1"/>
  </cols>
  <sheetData>
    <row r="3" spans="1:6" x14ac:dyDescent="0.3">
      <c r="A3" s="65" t="s">
        <v>1675</v>
      </c>
      <c r="B3" s="5" t="s">
        <v>1678</v>
      </c>
      <c r="C3" s="5" t="s">
        <v>1679</v>
      </c>
      <c r="D3" s="5" t="s">
        <v>1680</v>
      </c>
      <c r="E3" s="5" t="s">
        <v>1681</v>
      </c>
      <c r="F3" s="5" t="s">
        <v>1682</v>
      </c>
    </row>
    <row r="4" spans="1:6" x14ac:dyDescent="0.3">
      <c r="A4" s="66" t="s">
        <v>1665</v>
      </c>
      <c r="B4" s="5">
        <v>111511084441.64</v>
      </c>
      <c r="C4" s="5">
        <v>106114293209.31999</v>
      </c>
      <c r="D4" s="5">
        <v>100631948282.89999</v>
      </c>
      <c r="E4" s="5">
        <v>85376360775.360016</v>
      </c>
      <c r="F4" s="5">
        <v>84285602416.440018</v>
      </c>
    </row>
    <row r="5" spans="1:6" x14ac:dyDescent="0.3">
      <c r="A5" s="66" t="s">
        <v>1664</v>
      </c>
      <c r="B5" s="5">
        <v>33939028301.980003</v>
      </c>
      <c r="C5" s="5">
        <v>23639346113.950001</v>
      </c>
      <c r="D5" s="5">
        <v>19545913964.409996</v>
      </c>
      <c r="E5" s="5">
        <v>14104798931.91</v>
      </c>
      <c r="F5" s="5">
        <v>9418195942.3599987</v>
      </c>
    </row>
    <row r="6" spans="1:6" x14ac:dyDescent="0.3">
      <c r="A6" s="66" t="s">
        <v>1663</v>
      </c>
      <c r="B6" s="5">
        <v>61521935382.839996</v>
      </c>
      <c r="C6" s="5">
        <v>58538678330</v>
      </c>
      <c r="D6" s="5">
        <v>49618101063.800003</v>
      </c>
      <c r="E6" s="5">
        <v>44108752647.970001</v>
      </c>
      <c r="F6" s="5">
        <v>22329093690.09</v>
      </c>
    </row>
    <row r="7" spans="1:6" x14ac:dyDescent="0.3">
      <c r="A7" s="66" t="s">
        <v>1662</v>
      </c>
      <c r="B7" s="5">
        <v>15903154206.6</v>
      </c>
      <c r="C7" s="5">
        <v>4748307086</v>
      </c>
      <c r="D7" s="5">
        <v>4541557790</v>
      </c>
      <c r="E7" s="5">
        <v>2499271323</v>
      </c>
      <c r="F7" s="5">
        <v>1040466571</v>
      </c>
    </row>
    <row r="8" spans="1:6" x14ac:dyDescent="0.3">
      <c r="A8" s="66" t="s">
        <v>1661</v>
      </c>
      <c r="B8" s="5">
        <v>251895221219.92001</v>
      </c>
      <c r="C8" s="5">
        <v>231913268025.96002</v>
      </c>
      <c r="D8" s="5">
        <v>230776651963.20004</v>
      </c>
      <c r="E8" s="5">
        <v>187617744194.54001</v>
      </c>
      <c r="F8" s="5">
        <v>179378169093.00998</v>
      </c>
    </row>
    <row r="9" spans="1:6" x14ac:dyDescent="0.3">
      <c r="A9" s="66" t="s">
        <v>1660</v>
      </c>
      <c r="B9" s="5">
        <v>56997881370.459991</v>
      </c>
      <c r="C9" s="5">
        <v>43338371091.479988</v>
      </c>
      <c r="D9" s="5">
        <v>39752463553</v>
      </c>
      <c r="E9" s="5">
        <v>27291119425.269997</v>
      </c>
      <c r="F9" s="5">
        <v>26658195474.779999</v>
      </c>
    </row>
    <row r="10" spans="1:6" x14ac:dyDescent="0.3">
      <c r="A10" s="66" t="s">
        <v>1659</v>
      </c>
      <c r="B10" s="5">
        <v>646499184912.19983</v>
      </c>
      <c r="C10" s="5">
        <v>644142419947.30005</v>
      </c>
      <c r="D10" s="5">
        <v>639891862677.09961</v>
      </c>
      <c r="E10" s="5">
        <v>605113042558.24976</v>
      </c>
      <c r="F10" s="5">
        <v>583976950493.1698</v>
      </c>
    </row>
    <row r="11" spans="1:6" x14ac:dyDescent="0.3">
      <c r="A11" s="66" t="s">
        <v>1658</v>
      </c>
      <c r="B11" s="5">
        <v>23791995175.900002</v>
      </c>
      <c r="C11" s="5">
        <v>20967414258.75</v>
      </c>
      <c r="D11" s="5">
        <v>17002159060.33</v>
      </c>
      <c r="E11" s="5">
        <v>12819461514.449999</v>
      </c>
      <c r="F11" s="5">
        <v>10414891605.949999</v>
      </c>
    </row>
    <row r="12" spans="1:6" x14ac:dyDescent="0.3">
      <c r="A12" s="66" t="s">
        <v>1657</v>
      </c>
      <c r="B12" s="5">
        <v>26015652959.139996</v>
      </c>
      <c r="C12" s="5">
        <v>20811915237.480003</v>
      </c>
      <c r="D12" s="5">
        <v>20474388109.970001</v>
      </c>
      <c r="E12" s="5">
        <v>15290191063.619999</v>
      </c>
      <c r="F12" s="5">
        <v>14917774709.619999</v>
      </c>
    </row>
    <row r="13" spans="1:6" x14ac:dyDescent="0.3">
      <c r="A13" s="66" t="s">
        <v>1656</v>
      </c>
      <c r="B13" s="5">
        <v>835637088271.69006</v>
      </c>
      <c r="C13" s="5">
        <v>823096842317.73999</v>
      </c>
      <c r="D13" s="5">
        <v>820848366450.66003</v>
      </c>
      <c r="E13" s="5">
        <v>793600882343.73999</v>
      </c>
      <c r="F13" s="5">
        <v>790796150913.73999</v>
      </c>
    </row>
    <row r="14" spans="1:6" x14ac:dyDescent="0.3">
      <c r="A14" s="66" t="s">
        <v>1655</v>
      </c>
      <c r="B14" s="5">
        <v>14245975291.68</v>
      </c>
      <c r="C14" s="5">
        <v>13810212286.500002</v>
      </c>
      <c r="D14" s="5">
        <v>13747126560</v>
      </c>
      <c r="E14" s="5">
        <v>12384791628.030001</v>
      </c>
      <c r="F14" s="5">
        <v>12384791628.030001</v>
      </c>
    </row>
    <row r="15" spans="1:6" x14ac:dyDescent="0.3">
      <c r="A15" s="66" t="s">
        <v>1654</v>
      </c>
      <c r="B15" s="5">
        <v>20483455105.310001</v>
      </c>
      <c r="C15" s="5">
        <v>19310405466.760002</v>
      </c>
      <c r="D15" s="5">
        <v>17116931583.530001</v>
      </c>
      <c r="E15" s="5">
        <v>5542411551.46</v>
      </c>
      <c r="F15" s="5">
        <v>4915607911.1100006</v>
      </c>
    </row>
    <row r="16" spans="1:6" x14ac:dyDescent="0.3">
      <c r="A16" s="66" t="s">
        <v>1653</v>
      </c>
      <c r="B16" s="5">
        <v>3692763675.5900002</v>
      </c>
      <c r="C16" s="5">
        <v>3539853804</v>
      </c>
      <c r="D16" s="5">
        <v>1229316405</v>
      </c>
      <c r="E16" s="5">
        <v>586150335</v>
      </c>
      <c r="F16" s="5">
        <v>570277000</v>
      </c>
    </row>
    <row r="17" spans="1:6" x14ac:dyDescent="0.3">
      <c r="A17" s="66" t="s">
        <v>1652</v>
      </c>
      <c r="B17" s="5">
        <v>2000000000</v>
      </c>
      <c r="C17" s="5">
        <v>1996480061</v>
      </c>
      <c r="D17" s="5">
        <v>1951449055.6400001</v>
      </c>
      <c r="E17" s="5">
        <v>1382540076.1399999</v>
      </c>
      <c r="F17" s="5">
        <v>1302292151.3399999</v>
      </c>
    </row>
    <row r="18" spans="1:6" x14ac:dyDescent="0.3">
      <c r="A18" s="66" t="s">
        <v>1651</v>
      </c>
      <c r="B18" s="5">
        <v>26803259858.029999</v>
      </c>
      <c r="C18" s="5">
        <v>23633181279.619999</v>
      </c>
      <c r="D18" s="5">
        <v>23633181179.619999</v>
      </c>
      <c r="E18" s="5">
        <v>23497408635.619999</v>
      </c>
      <c r="F18" s="5">
        <v>20346811042.049999</v>
      </c>
    </row>
    <row r="19" spans="1:6" x14ac:dyDescent="0.3">
      <c r="A19" s="66" t="s">
        <v>1650</v>
      </c>
      <c r="B19" s="5">
        <v>14985069342.76</v>
      </c>
      <c r="C19" s="5">
        <v>14702574871.450001</v>
      </c>
      <c r="D19" s="5">
        <v>14702574871.450001</v>
      </c>
      <c r="E19" s="5">
        <v>14702574871.450001</v>
      </c>
      <c r="F19" s="5">
        <v>14588824533.530001</v>
      </c>
    </row>
    <row r="20" spans="1:6" x14ac:dyDescent="0.3">
      <c r="A20" s="66" t="s">
        <v>1649</v>
      </c>
      <c r="B20" s="5">
        <v>10307205504.25</v>
      </c>
      <c r="C20" s="5">
        <v>7841017237.8100004</v>
      </c>
      <c r="D20" s="5">
        <v>7841017237.8100004</v>
      </c>
      <c r="E20" s="5">
        <v>7595633110.7800007</v>
      </c>
      <c r="F20" s="5">
        <v>6975421458.7800007</v>
      </c>
    </row>
    <row r="21" spans="1:6" x14ac:dyDescent="0.3">
      <c r="A21" s="66" t="s">
        <v>1648</v>
      </c>
      <c r="B21" s="5">
        <v>11806690674.369999</v>
      </c>
      <c r="C21" s="5">
        <v>3321834818</v>
      </c>
      <c r="D21" s="5">
        <v>3321834818</v>
      </c>
      <c r="E21" s="5">
        <v>3321834818</v>
      </c>
      <c r="F21" s="5">
        <v>3171834818</v>
      </c>
    </row>
    <row r="22" spans="1:6" x14ac:dyDescent="0.3">
      <c r="A22" s="66" t="s">
        <v>1647</v>
      </c>
      <c r="B22" s="5">
        <v>11420158527.879999</v>
      </c>
      <c r="C22" s="5">
        <v>6472052229.1900005</v>
      </c>
      <c r="D22" s="5">
        <v>6469549249.5900002</v>
      </c>
      <c r="E22" s="5">
        <v>6469549249.5900002</v>
      </c>
      <c r="F22" s="5">
        <v>6400755773.5900002</v>
      </c>
    </row>
    <row r="23" spans="1:6" x14ac:dyDescent="0.3">
      <c r="A23" s="66" t="s">
        <v>1646</v>
      </c>
      <c r="B23" s="5">
        <v>15120710445.690001</v>
      </c>
      <c r="C23" s="5">
        <v>8886038441.8600006</v>
      </c>
      <c r="D23" s="5">
        <v>8819339441.7099991</v>
      </c>
      <c r="E23" s="5">
        <v>4921223889.1800003</v>
      </c>
      <c r="F23" s="5">
        <v>4425451796.6800003</v>
      </c>
    </row>
    <row r="24" spans="1:6" x14ac:dyDescent="0.3">
      <c r="A24" s="66" t="s">
        <v>1645</v>
      </c>
      <c r="B24" s="5">
        <v>4100000000</v>
      </c>
      <c r="C24" s="5">
        <v>4000000000</v>
      </c>
      <c r="D24" s="5">
        <v>4000000000</v>
      </c>
      <c r="E24" s="5">
        <v>4000000000</v>
      </c>
      <c r="F24" s="5">
        <v>4000000000</v>
      </c>
    </row>
    <row r="25" spans="1:6" x14ac:dyDescent="0.3">
      <c r="A25" s="66" t="s">
        <v>1676</v>
      </c>
    </row>
    <row r="26" spans="1:6" x14ac:dyDescent="0.3">
      <c r="A26" s="66" t="s">
        <v>1677</v>
      </c>
      <c r="B26" s="5">
        <v>2198677514667.9297</v>
      </c>
      <c r="C26" s="5">
        <v>2084824506114.1702</v>
      </c>
      <c r="D26" s="5">
        <v>2045915733317.7197</v>
      </c>
      <c r="E26" s="5">
        <v>1872225742943.3599</v>
      </c>
      <c r="F26" s="5">
        <v>1802297559023.27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70"/>
  <sheetViews>
    <sheetView topLeftCell="A19" workbookViewId="0">
      <selection activeCell="C44" sqref="C44"/>
    </sheetView>
  </sheetViews>
  <sheetFormatPr baseColWidth="10" defaultRowHeight="14.4" x14ac:dyDescent="0.3"/>
  <cols>
    <col min="6" max="6" width="16.6640625" style="2" bestFit="1" customWidth="1"/>
    <col min="7" max="8" width="16.6640625" style="2" customWidth="1"/>
    <col min="9" max="9" width="24.88671875" style="2" customWidth="1"/>
    <col min="10" max="10" width="26.33203125" customWidth="1"/>
    <col min="16" max="16" width="28.33203125" customWidth="1"/>
    <col min="19" max="19" width="18.88671875" style="1" bestFit="1" customWidth="1"/>
    <col min="20" max="20" width="17.88671875" style="1" bestFit="1" customWidth="1"/>
    <col min="21" max="22" width="18.88671875" style="1" bestFit="1" customWidth="1"/>
    <col min="23" max="23" width="17.88671875" style="1" bestFit="1" customWidth="1"/>
    <col min="24" max="24" width="18.88671875" style="1" bestFit="1" customWidth="1"/>
    <col min="25" max="25" width="11.5546875" style="1" bestFit="1" customWidth="1"/>
    <col min="26" max="26" width="18.88671875" style="1" bestFit="1" customWidth="1"/>
    <col min="27" max="27" width="11.5546875" style="1" bestFit="1" customWidth="1"/>
    <col min="28" max="28" width="17.88671875" style="1" bestFit="1" customWidth="1"/>
    <col min="29" max="29" width="19" style="1" bestFit="1" customWidth="1"/>
  </cols>
  <sheetData>
    <row r="1" spans="1:29" x14ac:dyDescent="0.3">
      <c r="A1" t="s">
        <v>0</v>
      </c>
      <c r="B1" t="s">
        <v>1</v>
      </c>
      <c r="C1" t="s">
        <v>2</v>
      </c>
      <c r="D1" t="s">
        <v>3</v>
      </c>
      <c r="E1" t="s">
        <v>1014</v>
      </c>
      <c r="F1" s="3" t="s">
        <v>1013</v>
      </c>
      <c r="G1" s="3" t="s">
        <v>1217</v>
      </c>
      <c r="H1" s="3" t="s">
        <v>1218</v>
      </c>
      <c r="I1" s="3" t="s">
        <v>1017</v>
      </c>
      <c r="J1" t="s">
        <v>4</v>
      </c>
      <c r="K1" t="s">
        <v>5</v>
      </c>
      <c r="L1" t="s">
        <v>6</v>
      </c>
      <c r="M1" t="s">
        <v>7</v>
      </c>
      <c r="N1" t="s">
        <v>8</v>
      </c>
      <c r="O1" t="s">
        <v>9</v>
      </c>
      <c r="P1" t="s">
        <v>1216</v>
      </c>
      <c r="Q1" t="s">
        <v>10</v>
      </c>
      <c r="R1" t="s">
        <v>11</v>
      </c>
      <c r="S1" s="1" t="s">
        <v>12</v>
      </c>
      <c r="T1" s="1" t="s">
        <v>13</v>
      </c>
      <c r="U1" s="1" t="s">
        <v>14</v>
      </c>
      <c r="V1" s="1" t="s">
        <v>15</v>
      </c>
      <c r="W1" s="1" t="s">
        <v>16</v>
      </c>
      <c r="X1" s="1" t="s">
        <v>17</v>
      </c>
      <c r="Y1" s="1" t="s">
        <v>18</v>
      </c>
      <c r="Z1" s="1" t="s">
        <v>19</v>
      </c>
      <c r="AA1" s="1" t="s">
        <v>20</v>
      </c>
      <c r="AB1" s="1" t="s">
        <v>21</v>
      </c>
      <c r="AC1" s="1" t="s">
        <v>22</v>
      </c>
    </row>
    <row r="2" spans="1:29" x14ac:dyDescent="0.3">
      <c r="A2">
        <v>2022</v>
      </c>
      <c r="B2">
        <v>100</v>
      </c>
      <c r="C2" t="str">
        <f>"04"</f>
        <v>04</v>
      </c>
      <c r="D2" t="s">
        <v>207</v>
      </c>
      <c r="E2" t="str">
        <f>+CONCATENATE(C2," ",D2)</f>
        <v>04 LOCALIDAD TURISTICA Y DE LA VIRGEN</v>
      </c>
      <c r="F2" s="2">
        <v>130010402</v>
      </c>
      <c r="G2" s="2" t="str">
        <f>+VLOOKUP(F2,Hoja2!$F:$I,2,FALSE)</f>
        <v>10. PILAR: CARTAGENA TRANSPARENTE</v>
      </c>
      <c r="H2" s="2" t="str">
        <f>+VLOOKUP(F2,Hoja2!$F:$I,3,FALSE)</f>
        <v>10.7 LÍNEA ESTRATÉGICA: PARTICIPACIÓN Y DESCENTRALIZACIÓN</v>
      </c>
      <c r="I2" s="2" t="str">
        <f>+VLOOKUP(F2,Hoja2!$F:$I,4,FALSE)</f>
        <v xml:space="preserve">10.7.2 PROGRAMA: MODERNIZACIÓN DEL SISTEMA DISTRITAL DE PLANEACIÓN Y DESCENTRALIZACIÓN  </v>
      </c>
      <c r="J2" t="s">
        <v>208</v>
      </c>
      <c r="K2" t="str">
        <f>"877"</f>
        <v>877</v>
      </c>
      <c r="L2" t="s">
        <v>209</v>
      </c>
      <c r="M2" t="s">
        <v>26</v>
      </c>
      <c r="N2" t="s">
        <v>27</v>
      </c>
      <c r="O2" t="s">
        <v>210</v>
      </c>
      <c r="P2" t="str">
        <f>+CONCATENATE(F2," ",O2)</f>
        <v xml:space="preserve">130010402 MODERNIZACION DEL SISTEMA DISTRITAL DE PLANEACION Y DESCENTRALIZACION  </v>
      </c>
      <c r="Q2" t="str">
        <f t="shared" ref="Q2:Q65" si="0">"06"</f>
        <v>06</v>
      </c>
      <c r="R2" t="str">
        <f t="shared" ref="R2:R65" si="1">"00"</f>
        <v>00</v>
      </c>
      <c r="S2" s="1">
        <v>0</v>
      </c>
      <c r="T2" s="1">
        <v>4664.3900000000003</v>
      </c>
      <c r="U2" s="1">
        <v>4664.3900000000003</v>
      </c>
      <c r="V2" s="1">
        <v>0</v>
      </c>
      <c r="W2" s="1">
        <v>4664.3900000000003</v>
      </c>
      <c r="X2" s="1">
        <v>0</v>
      </c>
      <c r="Y2" s="1">
        <v>0</v>
      </c>
      <c r="Z2" s="1">
        <v>0</v>
      </c>
      <c r="AA2" s="1">
        <v>0</v>
      </c>
      <c r="AB2" s="1">
        <v>4664.3900000000003</v>
      </c>
      <c r="AC2" s="1">
        <v>0</v>
      </c>
    </row>
    <row r="3" spans="1:29" x14ac:dyDescent="0.3">
      <c r="A3">
        <v>2022</v>
      </c>
      <c r="B3">
        <v>100</v>
      </c>
      <c r="C3" t="str">
        <f>"04"</f>
        <v>04</v>
      </c>
      <c r="D3" t="s">
        <v>207</v>
      </c>
      <c r="E3" t="str">
        <f t="shared" ref="E3:E66" si="2">+CONCATENATE(C3," ",D3)</f>
        <v>04 LOCALIDAD TURISTICA Y DE LA VIRGEN</v>
      </c>
      <c r="F3" s="2">
        <v>130010402</v>
      </c>
      <c r="G3" s="2" t="str">
        <f>+VLOOKUP(F3,Hoja2!$F:$I,2,FALSE)</f>
        <v>10. PILAR: CARTAGENA TRANSPARENTE</v>
      </c>
      <c r="H3" s="2" t="str">
        <f>+VLOOKUP(F3,Hoja2!$F:$I,3,FALSE)</f>
        <v>10.7 LÍNEA ESTRATÉGICA: PARTICIPACIÓN Y DESCENTRALIZACIÓN</v>
      </c>
      <c r="I3" s="2" t="str">
        <f>+VLOOKUP(F3,Hoja2!$F:$I,4,FALSE)</f>
        <v xml:space="preserve">10.7.2 PROGRAMA: MODERNIZACIÓN DEL SISTEMA DISTRITAL DE PLANEACIÓN Y DESCENTRALIZACIÓN  </v>
      </c>
      <c r="J3" t="s">
        <v>208</v>
      </c>
      <c r="K3" t="str">
        <f>"095"</f>
        <v>095</v>
      </c>
      <c r="L3" t="s">
        <v>213</v>
      </c>
      <c r="M3" t="s">
        <v>26</v>
      </c>
      <c r="N3" t="s">
        <v>27</v>
      </c>
      <c r="O3" t="s">
        <v>214</v>
      </c>
      <c r="P3" t="str">
        <f t="shared" ref="P3:P66" si="3">+CONCATENATE(F3," ",O3)</f>
        <v xml:space="preserve">130010402  MODERNIZACION DEL SISTEMA DISTRITAL DE PLANEACION Y DESCENTRALIZACION  </v>
      </c>
      <c r="Q3" t="str">
        <f t="shared" si="0"/>
        <v>06</v>
      </c>
      <c r="R3" t="str">
        <f t="shared" si="1"/>
        <v>00</v>
      </c>
      <c r="S3" s="1">
        <v>1</v>
      </c>
      <c r="T3" s="1">
        <v>0</v>
      </c>
      <c r="U3" s="1">
        <v>1</v>
      </c>
      <c r="V3" s="1">
        <v>0</v>
      </c>
      <c r="W3" s="1">
        <v>1</v>
      </c>
      <c r="X3" s="1">
        <v>0</v>
      </c>
      <c r="Y3" s="1">
        <v>0</v>
      </c>
      <c r="Z3" s="1">
        <v>0</v>
      </c>
      <c r="AA3" s="1">
        <v>0</v>
      </c>
      <c r="AB3" s="1">
        <v>1</v>
      </c>
      <c r="AC3" s="1">
        <v>0</v>
      </c>
    </row>
    <row r="4" spans="1:29" x14ac:dyDescent="0.3">
      <c r="A4">
        <v>2022</v>
      </c>
      <c r="B4">
        <v>100</v>
      </c>
      <c r="C4" t="str">
        <f>"04"</f>
        <v>04</v>
      </c>
      <c r="D4" t="s">
        <v>207</v>
      </c>
      <c r="E4" t="str">
        <f t="shared" si="2"/>
        <v>04 LOCALIDAD TURISTICA Y DE LA VIRGEN</v>
      </c>
      <c r="F4" s="2">
        <v>130010402</v>
      </c>
      <c r="G4" s="2" t="str">
        <f>+VLOOKUP(F4,Hoja2!$F:$I,2,FALSE)</f>
        <v>10. PILAR: CARTAGENA TRANSPARENTE</v>
      </c>
      <c r="H4" s="2" t="str">
        <f>+VLOOKUP(F4,Hoja2!$F:$I,3,FALSE)</f>
        <v>10.7 LÍNEA ESTRATÉGICA: PARTICIPACIÓN Y DESCENTRALIZACIÓN</v>
      </c>
      <c r="I4" s="2" t="str">
        <f>+VLOOKUP(F4,Hoja2!$F:$I,4,FALSE)</f>
        <v xml:space="preserve">10.7.2 PROGRAMA: MODERNIZACIÓN DEL SISTEMA DISTRITAL DE PLANEACIÓN Y DESCENTRALIZACIÓN  </v>
      </c>
      <c r="J4" t="s">
        <v>208</v>
      </c>
      <c r="K4" t="str">
        <f>"001"</f>
        <v>001</v>
      </c>
      <c r="L4" t="s">
        <v>25</v>
      </c>
      <c r="M4" t="s">
        <v>26</v>
      </c>
      <c r="N4" t="s">
        <v>27</v>
      </c>
      <c r="O4" t="s">
        <v>214</v>
      </c>
      <c r="P4" t="str">
        <f t="shared" si="3"/>
        <v xml:space="preserve">130010402  MODERNIZACION DEL SISTEMA DISTRITAL DE PLANEACION Y DESCENTRALIZACION  </v>
      </c>
      <c r="Q4" t="str">
        <f t="shared" si="0"/>
        <v>06</v>
      </c>
      <c r="R4" t="str">
        <f t="shared" si="1"/>
        <v>00</v>
      </c>
      <c r="S4" s="1">
        <v>1299999999</v>
      </c>
      <c r="T4" s="1">
        <v>3283301428.6300001</v>
      </c>
      <c r="U4" s="1">
        <v>4583301427.6300001</v>
      </c>
      <c r="V4" s="1">
        <v>1245000000</v>
      </c>
      <c r="W4" s="1">
        <v>3338301427.6300001</v>
      </c>
      <c r="X4" s="1">
        <v>1040466571</v>
      </c>
      <c r="Y4" s="1">
        <v>22.7</v>
      </c>
      <c r="Z4" s="1">
        <v>1040466571</v>
      </c>
      <c r="AA4" s="1">
        <v>22.7</v>
      </c>
      <c r="AB4" s="1">
        <v>3542834856.6300001</v>
      </c>
      <c r="AC4" s="1">
        <v>1040466571</v>
      </c>
    </row>
    <row r="5" spans="1:29" x14ac:dyDescent="0.3">
      <c r="A5">
        <v>2022</v>
      </c>
      <c r="B5">
        <v>100</v>
      </c>
      <c r="C5" t="str">
        <f>"04"</f>
        <v>04</v>
      </c>
      <c r="D5" t="s">
        <v>207</v>
      </c>
      <c r="E5" t="str">
        <f t="shared" si="2"/>
        <v>04 LOCALIDAD TURISTICA Y DE LA VIRGEN</v>
      </c>
      <c r="F5" s="2">
        <v>130010402</v>
      </c>
      <c r="G5" s="2" t="str">
        <f>+VLOOKUP(F5,Hoja2!$F:$I,2,FALSE)</f>
        <v>10. PILAR: CARTAGENA TRANSPARENTE</v>
      </c>
      <c r="H5" s="2" t="str">
        <f>+VLOOKUP(F5,Hoja2!$F:$I,3,FALSE)</f>
        <v>10.7 LÍNEA ESTRATÉGICA: PARTICIPACIÓN Y DESCENTRALIZACIÓN</v>
      </c>
      <c r="I5" s="2" t="str">
        <f>+VLOOKUP(F5,Hoja2!$F:$I,4,FALSE)</f>
        <v xml:space="preserve">10.7.2 PROGRAMA: MODERNIZACIÓN DEL SISTEMA DISTRITAL DE PLANEACIÓN Y DESCENTRALIZACIÓN  </v>
      </c>
      <c r="J5" t="s">
        <v>208</v>
      </c>
      <c r="K5" t="str">
        <f>"879"</f>
        <v>879</v>
      </c>
      <c r="L5" t="s">
        <v>291</v>
      </c>
      <c r="M5" t="s">
        <v>26</v>
      </c>
      <c r="N5" t="s">
        <v>27</v>
      </c>
      <c r="O5" t="s">
        <v>210</v>
      </c>
      <c r="P5" t="str">
        <f t="shared" si="3"/>
        <v xml:space="preserve">130010402 MODERNIZACION DEL SISTEMA DISTRITAL DE PLANEACION Y DESCENTRALIZACION  </v>
      </c>
      <c r="Q5" t="str">
        <f t="shared" si="0"/>
        <v>06</v>
      </c>
      <c r="R5" t="str">
        <f t="shared" si="1"/>
        <v>00</v>
      </c>
      <c r="S5" s="1">
        <v>0</v>
      </c>
      <c r="T5" s="1">
        <v>5667878</v>
      </c>
      <c r="U5" s="1">
        <v>5667878</v>
      </c>
      <c r="V5" s="1">
        <v>0</v>
      </c>
      <c r="W5" s="1">
        <v>5667878</v>
      </c>
      <c r="X5" s="1">
        <v>0</v>
      </c>
      <c r="Y5" s="1">
        <v>0</v>
      </c>
      <c r="Z5" s="1">
        <v>0</v>
      </c>
      <c r="AA5" s="1">
        <v>0</v>
      </c>
      <c r="AB5" s="1">
        <v>5667878</v>
      </c>
      <c r="AC5" s="1">
        <v>0</v>
      </c>
    </row>
    <row r="6" spans="1:29" x14ac:dyDescent="0.3">
      <c r="A6">
        <v>2022</v>
      </c>
      <c r="B6">
        <v>100</v>
      </c>
      <c r="C6" t="str">
        <f>"11"</f>
        <v>11</v>
      </c>
      <c r="D6" t="s">
        <v>694</v>
      </c>
      <c r="E6" t="str">
        <f t="shared" si="2"/>
        <v>11 LOCALIDAD HISTORICA Y DEL CARIBE NORTE</v>
      </c>
      <c r="F6" s="2">
        <v>130011101</v>
      </c>
      <c r="G6" s="2" t="str">
        <f>+VLOOKUP(F6,Hoja2!$F:$I,2,FALSE)</f>
        <v>10. PILAR: CARTAGENA TRANSPARENTE</v>
      </c>
      <c r="H6" s="2" t="str">
        <f>+VLOOKUP(F6,Hoja2!$F:$I,3,FALSE)</f>
        <v>10.7 LÍNEA ESTRATÉGICA: PARTICIPACIÓN Y DESCENTRALIZACIÓN</v>
      </c>
      <c r="I6" s="2" t="str">
        <f>+VLOOKUP(F6,Hoja2!$F:$I,4,FALSE)</f>
        <v xml:space="preserve">10.7.2 PROGRAMA: MODERNIZACIÓN DEL SISTEMA DISTRITAL DE PLANEACIÓN Y DESCENTRALIZACIÓN  </v>
      </c>
      <c r="J6" t="s">
        <v>695</v>
      </c>
      <c r="K6" t="str">
        <f>"876"</f>
        <v>876</v>
      </c>
      <c r="L6" t="s">
        <v>696</v>
      </c>
      <c r="M6" t="s">
        <v>26</v>
      </c>
      <c r="N6" t="s">
        <v>27</v>
      </c>
      <c r="O6" t="s">
        <v>210</v>
      </c>
      <c r="P6" t="str">
        <f t="shared" si="3"/>
        <v xml:space="preserve">130011101 MODERNIZACION DEL SISTEMA DISTRITAL DE PLANEACION Y DESCENTRALIZACION  </v>
      </c>
      <c r="Q6" t="str">
        <f t="shared" si="0"/>
        <v>06</v>
      </c>
      <c r="R6" t="str">
        <f t="shared" si="1"/>
        <v>00</v>
      </c>
      <c r="S6" s="1">
        <v>0</v>
      </c>
      <c r="T6" s="1">
        <v>10836.81</v>
      </c>
      <c r="U6" s="1">
        <v>10836.81</v>
      </c>
      <c r="V6" s="1">
        <v>0</v>
      </c>
      <c r="W6" s="1">
        <v>10836.81</v>
      </c>
      <c r="X6" s="1">
        <v>0</v>
      </c>
      <c r="Y6" s="1">
        <v>0</v>
      </c>
      <c r="Z6" s="1">
        <v>0</v>
      </c>
      <c r="AA6" s="1">
        <v>0</v>
      </c>
      <c r="AB6" s="1">
        <v>10836.81</v>
      </c>
      <c r="AC6" s="1">
        <v>0</v>
      </c>
    </row>
    <row r="7" spans="1:29" x14ac:dyDescent="0.3">
      <c r="A7">
        <v>2022</v>
      </c>
      <c r="B7">
        <v>100</v>
      </c>
      <c r="C7" t="str">
        <f>"11"</f>
        <v>11</v>
      </c>
      <c r="D7" t="s">
        <v>694</v>
      </c>
      <c r="E7" t="str">
        <f t="shared" si="2"/>
        <v>11 LOCALIDAD HISTORICA Y DEL CARIBE NORTE</v>
      </c>
      <c r="F7" s="2">
        <v>130011101</v>
      </c>
      <c r="G7" s="2" t="str">
        <f>+VLOOKUP(F7,Hoja2!$F:$I,2,FALSE)</f>
        <v>10. PILAR: CARTAGENA TRANSPARENTE</v>
      </c>
      <c r="H7" s="2" t="str">
        <f>+VLOOKUP(F7,Hoja2!$F:$I,3,FALSE)</f>
        <v>10.7 LÍNEA ESTRATÉGICA: PARTICIPACIÓN Y DESCENTRALIZACIÓN</v>
      </c>
      <c r="I7" s="2" t="str">
        <f>+VLOOKUP(F7,Hoja2!$F:$I,4,FALSE)</f>
        <v xml:space="preserve">10.7.2 PROGRAMA: MODERNIZACIÓN DEL SISTEMA DISTRITAL DE PLANEACIÓN Y DESCENTRALIZACIÓN  </v>
      </c>
      <c r="J7" t="s">
        <v>695</v>
      </c>
      <c r="K7" t="str">
        <f>"095"</f>
        <v>095</v>
      </c>
      <c r="L7" t="s">
        <v>213</v>
      </c>
      <c r="M7" t="s">
        <v>26</v>
      </c>
      <c r="N7" t="s">
        <v>27</v>
      </c>
      <c r="O7" t="s">
        <v>214</v>
      </c>
      <c r="P7" t="str">
        <f t="shared" si="3"/>
        <v xml:space="preserve">130011101  MODERNIZACION DEL SISTEMA DISTRITAL DE PLANEACION Y DESCENTRALIZACION  </v>
      </c>
      <c r="Q7" t="str">
        <f t="shared" si="0"/>
        <v>06</v>
      </c>
      <c r="R7" t="str">
        <f t="shared" si="1"/>
        <v>00</v>
      </c>
      <c r="S7" s="1">
        <v>4999998</v>
      </c>
      <c r="T7" s="1">
        <v>0</v>
      </c>
      <c r="U7" s="1">
        <v>4999998</v>
      </c>
      <c r="V7" s="1">
        <v>0</v>
      </c>
      <c r="W7" s="1">
        <v>4999998</v>
      </c>
      <c r="X7" s="1">
        <v>0</v>
      </c>
      <c r="Y7" s="1">
        <v>0</v>
      </c>
      <c r="Z7" s="1">
        <v>0</v>
      </c>
      <c r="AA7" s="1">
        <v>0</v>
      </c>
      <c r="AB7" s="1">
        <v>4999998</v>
      </c>
      <c r="AC7" s="1">
        <v>0</v>
      </c>
    </row>
    <row r="8" spans="1:29" x14ac:dyDescent="0.3">
      <c r="A8">
        <v>2022</v>
      </c>
      <c r="B8">
        <v>100</v>
      </c>
      <c r="C8" t="str">
        <f>"11"</f>
        <v>11</v>
      </c>
      <c r="D8" t="s">
        <v>694</v>
      </c>
      <c r="E8" t="str">
        <f t="shared" si="2"/>
        <v>11 LOCALIDAD HISTORICA Y DEL CARIBE NORTE</v>
      </c>
      <c r="F8" s="2">
        <v>130011101</v>
      </c>
      <c r="G8" s="2" t="str">
        <f>+VLOOKUP(F8,Hoja2!$F:$I,2,FALSE)</f>
        <v>10. PILAR: CARTAGENA TRANSPARENTE</v>
      </c>
      <c r="H8" s="2" t="str">
        <f>+VLOOKUP(F8,Hoja2!$F:$I,3,FALSE)</f>
        <v>10.7 LÍNEA ESTRATÉGICA: PARTICIPACIÓN Y DESCENTRALIZACIÓN</v>
      </c>
      <c r="I8" s="2" t="str">
        <f>+VLOOKUP(F8,Hoja2!$F:$I,4,FALSE)</f>
        <v xml:space="preserve">10.7.2 PROGRAMA: MODERNIZACIÓN DEL SISTEMA DISTRITAL DE PLANEACIÓN Y DESCENTRALIZACIÓN  </v>
      </c>
      <c r="J8" t="s">
        <v>695</v>
      </c>
      <c r="K8" t="str">
        <f>"001"</f>
        <v>001</v>
      </c>
      <c r="L8" t="s">
        <v>25</v>
      </c>
      <c r="M8" t="s">
        <v>26</v>
      </c>
      <c r="N8" t="s">
        <v>27</v>
      </c>
      <c r="O8" t="s">
        <v>214</v>
      </c>
      <c r="P8" t="str">
        <f t="shared" si="3"/>
        <v xml:space="preserve">130011101  MODERNIZACION DEL SISTEMA DISTRITAL DE PLANEACION Y DESCENTRALIZACION  </v>
      </c>
      <c r="Q8" t="str">
        <f t="shared" si="0"/>
        <v>06</v>
      </c>
      <c r="R8" t="str">
        <f t="shared" si="1"/>
        <v>00</v>
      </c>
      <c r="S8" s="1">
        <v>11294914453.57</v>
      </c>
      <c r="T8" s="1">
        <v>-9769914451.5699997</v>
      </c>
      <c r="U8" s="1">
        <v>1525000002</v>
      </c>
      <c r="V8" s="1">
        <v>1100000000</v>
      </c>
      <c r="W8" s="1">
        <v>425000002</v>
      </c>
      <c r="X8" s="1">
        <v>1041518610</v>
      </c>
      <c r="Y8" s="1">
        <v>68.3</v>
      </c>
      <c r="Z8" s="1">
        <v>1041518610</v>
      </c>
      <c r="AA8" s="1">
        <v>68.3</v>
      </c>
      <c r="AB8" s="1">
        <v>483481392</v>
      </c>
      <c r="AC8" s="1">
        <v>1041518610</v>
      </c>
    </row>
    <row r="9" spans="1:29" x14ac:dyDescent="0.3">
      <c r="A9">
        <v>2022</v>
      </c>
      <c r="B9">
        <v>100</v>
      </c>
      <c r="C9" t="str">
        <f>"11"</f>
        <v>11</v>
      </c>
      <c r="D9" t="s">
        <v>694</v>
      </c>
      <c r="E9" t="str">
        <f t="shared" si="2"/>
        <v>11 LOCALIDAD HISTORICA Y DEL CARIBE NORTE</v>
      </c>
      <c r="F9" s="2">
        <v>130011101</v>
      </c>
      <c r="G9" s="2" t="str">
        <f>+VLOOKUP(F9,Hoja2!$F:$I,2,FALSE)</f>
        <v>10. PILAR: CARTAGENA TRANSPARENTE</v>
      </c>
      <c r="H9" s="2" t="str">
        <f>+VLOOKUP(F9,Hoja2!$F:$I,3,FALSE)</f>
        <v>10.7 LÍNEA ESTRATÉGICA: PARTICIPACIÓN Y DESCENTRALIZACIÓN</v>
      </c>
      <c r="I9" s="2" t="str">
        <f>+VLOOKUP(F9,Hoja2!$F:$I,4,FALSE)</f>
        <v xml:space="preserve">10.7.2 PROGRAMA: MODERNIZACIÓN DEL SISTEMA DISTRITAL DE PLANEACIÓN Y DESCENTRALIZACIÓN  </v>
      </c>
      <c r="J9" t="s">
        <v>695</v>
      </c>
      <c r="K9" t="str">
        <f>"878"</f>
        <v>878</v>
      </c>
      <c r="L9" t="s">
        <v>735</v>
      </c>
      <c r="M9" t="s">
        <v>26</v>
      </c>
      <c r="N9" t="s">
        <v>27</v>
      </c>
      <c r="O9" t="s">
        <v>210</v>
      </c>
      <c r="P9" t="str">
        <f t="shared" si="3"/>
        <v xml:space="preserve">130011101 MODERNIZACION DEL SISTEMA DISTRITAL DE PLANEACION Y DESCENTRALIZACION  </v>
      </c>
      <c r="Q9" t="str">
        <f t="shared" si="0"/>
        <v>06</v>
      </c>
      <c r="R9" t="str">
        <f t="shared" si="1"/>
        <v>00</v>
      </c>
      <c r="S9" s="1">
        <v>0</v>
      </c>
      <c r="T9" s="1">
        <v>5752168.2699999996</v>
      </c>
      <c r="U9" s="1">
        <v>5752168.2699999996</v>
      </c>
      <c r="V9" s="1">
        <v>0</v>
      </c>
      <c r="W9" s="1">
        <v>5752168.2699999996</v>
      </c>
      <c r="X9" s="1">
        <v>0</v>
      </c>
      <c r="Y9" s="1">
        <v>0</v>
      </c>
      <c r="Z9" s="1">
        <v>0</v>
      </c>
      <c r="AA9" s="1">
        <v>0</v>
      </c>
      <c r="AB9" s="1">
        <v>5752168.2699999996</v>
      </c>
      <c r="AC9" s="1">
        <v>0</v>
      </c>
    </row>
    <row r="10" spans="1:29" x14ac:dyDescent="0.3">
      <c r="A10">
        <v>2022</v>
      </c>
      <c r="B10">
        <v>100</v>
      </c>
      <c r="C10" t="str">
        <f>"23"</f>
        <v>23</v>
      </c>
      <c r="D10" t="s">
        <v>959</v>
      </c>
      <c r="E10" t="str">
        <f t="shared" si="2"/>
        <v>23 LOCALIDAD INDUSTRIAL Y DE LA BAHIA</v>
      </c>
      <c r="F10" s="2">
        <v>130012303</v>
      </c>
      <c r="G10" s="2" t="str">
        <f>+VLOOKUP(F10,Hoja2!$F:$I,2,FALSE)</f>
        <v>10. PILAR: CARTAGENA TRANSPARENTE</v>
      </c>
      <c r="H10" s="2" t="str">
        <f>+VLOOKUP(F10,Hoja2!$F:$I,3,FALSE)</f>
        <v>10.7 LÍNEA ESTRATÉGICA: PARTICIPACIÓN Y DESCENTRALIZACIÓN</v>
      </c>
      <c r="I10" s="2" t="str">
        <f>+VLOOKUP(F10,Hoja2!$F:$I,4,FALSE)</f>
        <v xml:space="preserve">10.7.2 PROGRAMA: MODERNIZACIÓN DEL SISTEMA DISTRITAL DE PLANEACIÓN Y DESCENTRALIZACIÓN  </v>
      </c>
      <c r="J10" t="s">
        <v>964</v>
      </c>
      <c r="K10" t="str">
        <f>"001"</f>
        <v>001</v>
      </c>
      <c r="L10" t="s">
        <v>25</v>
      </c>
      <c r="M10" t="s">
        <v>26</v>
      </c>
      <c r="N10" t="s">
        <v>27</v>
      </c>
      <c r="O10" t="s">
        <v>214</v>
      </c>
      <c r="P10" t="str">
        <f t="shared" si="3"/>
        <v xml:space="preserve">130012303  MODERNIZACION DEL SISTEMA DISTRITAL DE PLANEACION Y DESCENTRALIZACION  </v>
      </c>
      <c r="Q10" t="str">
        <f t="shared" si="0"/>
        <v>06</v>
      </c>
      <c r="R10" t="str">
        <f t="shared" si="1"/>
        <v>00</v>
      </c>
      <c r="S10" s="1">
        <v>11998162743.85</v>
      </c>
      <c r="T10" s="1">
        <v>-7631490741.0200005</v>
      </c>
      <c r="U10" s="1">
        <v>4366672002.8299999</v>
      </c>
      <c r="V10" s="1">
        <v>1032000000</v>
      </c>
      <c r="W10" s="1">
        <v>3334672002.8299999</v>
      </c>
      <c r="X10" s="1">
        <v>1031524239.5</v>
      </c>
      <c r="Y10" s="1">
        <v>23.62</v>
      </c>
      <c r="Z10" s="1">
        <v>970505977.5</v>
      </c>
      <c r="AA10" s="1">
        <v>22.23</v>
      </c>
      <c r="AB10" s="1">
        <v>3335147763.3299999</v>
      </c>
      <c r="AC10" s="1">
        <v>970505977.5</v>
      </c>
    </row>
    <row r="11" spans="1:29" x14ac:dyDescent="0.3">
      <c r="A11">
        <v>2022</v>
      </c>
      <c r="B11">
        <v>100</v>
      </c>
      <c r="C11" t="str">
        <f>"23"</f>
        <v>23</v>
      </c>
      <c r="D11" t="s">
        <v>959</v>
      </c>
      <c r="E11" t="str">
        <f t="shared" si="2"/>
        <v>23 LOCALIDAD INDUSTRIAL Y DE LA BAHIA</v>
      </c>
      <c r="F11" s="2">
        <v>130012303</v>
      </c>
      <c r="G11" s="2" t="str">
        <f>+VLOOKUP(F11,Hoja2!$F:$I,2,FALSE)</f>
        <v>10. PILAR: CARTAGENA TRANSPARENTE</v>
      </c>
      <c r="H11" s="2" t="str">
        <f>+VLOOKUP(F11,Hoja2!$F:$I,3,FALSE)</f>
        <v>10.7 LÍNEA ESTRATÉGICA: PARTICIPACIÓN Y DESCENTRALIZACIÓN</v>
      </c>
      <c r="I11" s="2" t="str">
        <f>+VLOOKUP(F11,Hoja2!$F:$I,4,FALSE)</f>
        <v xml:space="preserve">10.7.2 PROGRAMA: MODERNIZACIÓN DEL SISTEMA DISTRITAL DE PLANEACIÓN Y DESCENTRALIZACIÓN  </v>
      </c>
      <c r="J11" t="s">
        <v>964</v>
      </c>
      <c r="K11" t="str">
        <f>"095"</f>
        <v>095</v>
      </c>
      <c r="L11" t="s">
        <v>213</v>
      </c>
      <c r="M11" t="s">
        <v>26</v>
      </c>
      <c r="N11" t="s">
        <v>27</v>
      </c>
      <c r="O11" t="s">
        <v>214</v>
      </c>
      <c r="P11" t="str">
        <f t="shared" si="3"/>
        <v xml:space="preserve">130012303  MODERNIZACION DEL SISTEMA DISTRITAL DE PLANEACION Y DESCENTRALIZACION  </v>
      </c>
      <c r="Q11" t="str">
        <f t="shared" si="0"/>
        <v>06</v>
      </c>
      <c r="R11" t="str">
        <f t="shared" si="1"/>
        <v>00</v>
      </c>
      <c r="S11" s="1">
        <v>1</v>
      </c>
      <c r="T11" s="1">
        <v>0</v>
      </c>
      <c r="U11" s="1">
        <v>1</v>
      </c>
      <c r="V11" s="1">
        <v>0</v>
      </c>
      <c r="W11" s="1">
        <v>1</v>
      </c>
      <c r="X11" s="1">
        <v>0</v>
      </c>
      <c r="Y11" s="1">
        <v>0</v>
      </c>
      <c r="Z11" s="1">
        <v>0</v>
      </c>
      <c r="AA11" s="1">
        <v>0</v>
      </c>
      <c r="AB11" s="1">
        <v>1</v>
      </c>
      <c r="AC11" s="1">
        <v>0</v>
      </c>
    </row>
    <row r="12" spans="1:29" x14ac:dyDescent="0.3">
      <c r="A12">
        <v>2022</v>
      </c>
      <c r="B12">
        <v>100</v>
      </c>
      <c r="C12" t="str">
        <f>"11"</f>
        <v>11</v>
      </c>
      <c r="D12" t="s">
        <v>694</v>
      </c>
      <c r="E12" t="str">
        <f t="shared" si="2"/>
        <v>11 LOCALIDAD HISTORICA Y DEL CARIBE NORTE</v>
      </c>
      <c r="F12" s="2">
        <v>2019130010081</v>
      </c>
      <c r="G12" s="2" t="str">
        <f>+VLOOKUP(F12,Hoja2!$F:$I,2,FALSE)</f>
        <v>10. PILAR: CARTAGENA TRANSPARENTE</v>
      </c>
      <c r="H12" s="2" t="str">
        <f>+VLOOKUP(F12,Hoja2!$F:$I,3,FALSE)</f>
        <v>10.7 LÍNEA ESTRATÉGICA: PARTICIPACIÓN Y DESCENTRALIZACIÓN</v>
      </c>
      <c r="I12" s="2" t="str">
        <f>+VLOOKUP(F12,Hoja2!$F:$I,4,FALSE)</f>
        <v xml:space="preserve">10.7.2 PROGRAMA: MODERNIZACIÓN DEL SISTEMA DISTRITAL DE PLANEACIÓN Y DESCENTRALIZACIÓN  </v>
      </c>
      <c r="J12" t="s">
        <v>717</v>
      </c>
      <c r="K12" t="str">
        <f>"001"</f>
        <v>001</v>
      </c>
      <c r="L12" t="s">
        <v>25</v>
      </c>
      <c r="M12" t="s">
        <v>26</v>
      </c>
      <c r="N12" t="s">
        <v>27</v>
      </c>
      <c r="O12" t="s">
        <v>718</v>
      </c>
      <c r="P12" t="str">
        <f t="shared" si="3"/>
        <v xml:space="preserve">2019130010081 IMPLEMENTACION PROYECTO DE HABITOS Y ESTILO DE VIDA SALUDABLE A TRAVES DE LA PRACTICA DEL DEPORTE EN LA LOCALIDAD HISTORICA Y DEL CARIBE NORTE ??COPA ASOJAC ? </v>
      </c>
      <c r="Q12" t="str">
        <f t="shared" si="0"/>
        <v>06</v>
      </c>
      <c r="R12" t="str">
        <f t="shared" si="1"/>
        <v>00</v>
      </c>
      <c r="S12" s="1">
        <v>0</v>
      </c>
      <c r="T12" s="1">
        <v>700000000</v>
      </c>
      <c r="U12" s="1">
        <v>700000000</v>
      </c>
      <c r="V12" s="1">
        <v>700000000</v>
      </c>
      <c r="W12" s="1">
        <v>0</v>
      </c>
      <c r="X12" s="1">
        <v>700000000</v>
      </c>
      <c r="Y12" s="1">
        <v>100</v>
      </c>
      <c r="Z12" s="1">
        <v>350000000</v>
      </c>
      <c r="AA12" s="1">
        <v>50</v>
      </c>
      <c r="AB12" s="1">
        <v>0</v>
      </c>
      <c r="AC12" s="1">
        <v>350000000</v>
      </c>
    </row>
    <row r="13" spans="1:29" x14ac:dyDescent="0.3">
      <c r="A13">
        <v>2022</v>
      </c>
      <c r="B13">
        <v>100</v>
      </c>
      <c r="C13" t="str">
        <f t="shared" ref="C13:C20" si="4">"02"</f>
        <v>02</v>
      </c>
      <c r="D13" t="s">
        <v>106</v>
      </c>
      <c r="E13" t="str">
        <f t="shared" si="2"/>
        <v>02 SECRETARIA DEL INTERIOR Y CONVIVENCIA CIUDADANAL</v>
      </c>
      <c r="F13" s="2">
        <v>2020130010030</v>
      </c>
      <c r="G13" s="2" t="str">
        <f>+VLOOKUP(F13,Hoja2!$F:$I,2,FALSE)</f>
        <v>10. PILAR: CARTAGENA TRANSPARENTE</v>
      </c>
      <c r="H13" s="2" t="str">
        <f>+VLOOKUP(F13,Hoja2!$F:$I,3,FALSE)</f>
        <v>10.3 LÍNEA ESTRATÉGICA: CONVIVENCIA Y SEGURIDAD PARA LA GOBERNABILIDAD</v>
      </c>
      <c r="I13" s="2" t="str">
        <f>+VLOOKUP(F13,Hoja2!$F:$I,4,FALSE)</f>
        <v>10.3.5 PROGRAMA:  PROMOCIÓN AL ACCESO A LA JUSTICIA</v>
      </c>
      <c r="J13" t="s">
        <v>146</v>
      </c>
      <c r="K13" t="str">
        <f>"001"</f>
        <v>001</v>
      </c>
      <c r="L13" t="s">
        <v>25</v>
      </c>
      <c r="M13" t="s">
        <v>26</v>
      </c>
      <c r="N13" t="s">
        <v>27</v>
      </c>
      <c r="O13" t="s">
        <v>147</v>
      </c>
      <c r="P13" t="str">
        <f t="shared" si="3"/>
        <v>2020130010030 FORTALECIMIENTO Y PROMOCION AL ACCESO A LA JUSTICIA DESDE LAS CASAS DE JUSTICIA Y COMISARIAS DE FAMILIA EN EL DISTRITO DE   CARTAGENA DE INDIAS</v>
      </c>
      <c r="Q13" t="str">
        <f t="shared" si="0"/>
        <v>06</v>
      </c>
      <c r="R13" t="str">
        <f t="shared" si="1"/>
        <v>00</v>
      </c>
      <c r="S13" s="1">
        <v>1914366199</v>
      </c>
      <c r="T13" s="1">
        <v>0</v>
      </c>
      <c r="U13" s="1">
        <v>1914366199</v>
      </c>
      <c r="V13" s="1">
        <v>1904962203</v>
      </c>
      <c r="W13" s="1">
        <v>9403996</v>
      </c>
      <c r="X13" s="1">
        <v>1862342133.78</v>
      </c>
      <c r="Y13" s="1">
        <v>97.28</v>
      </c>
      <c r="Z13" s="1">
        <v>1833003167.78</v>
      </c>
      <c r="AA13" s="1">
        <v>95.75</v>
      </c>
      <c r="AB13" s="1">
        <v>52024065.219999999</v>
      </c>
      <c r="AC13" s="1">
        <v>1806103167.78</v>
      </c>
    </row>
    <row r="14" spans="1:29" x14ac:dyDescent="0.3">
      <c r="A14">
        <v>2022</v>
      </c>
      <c r="B14">
        <v>100</v>
      </c>
      <c r="C14" t="str">
        <f t="shared" si="4"/>
        <v>02</v>
      </c>
      <c r="D14" t="s">
        <v>106</v>
      </c>
      <c r="E14" t="str">
        <f t="shared" si="2"/>
        <v>02 SECRETARIA DEL INTERIOR Y CONVIVENCIA CIUDADANAL</v>
      </c>
      <c r="F14" s="2">
        <v>2020130010031</v>
      </c>
      <c r="G14" s="2" t="str">
        <f>+VLOOKUP(F14,Hoja2!$F:$I,2,FALSE)</f>
        <v>10. PILAR: CARTAGENA TRANSPARENTE</v>
      </c>
      <c r="H14" s="2" t="str">
        <f>+VLOOKUP(F14,Hoja2!$F:$I,3,FALSE)</f>
        <v>10.3 LÍNEA ESTRATÉGICA: CONVIVENCIA Y SEGURIDAD PARA LA GOBERNABILIDAD</v>
      </c>
      <c r="I14" s="2" t="str">
        <f>+VLOOKUP(F14,Hoja2!$F:$I,4,FALSE)</f>
        <v>10.3.3 PROGRAMA:  MEJORAR LA CONVIVENCIA CIUDADANA CON LA IMPLEMENTACIÓN DEL CÓDIGO NACIONAL DE SEGURIDAD Y CONVIVENCIA CIUDADANA</v>
      </c>
      <c r="J14" t="s">
        <v>111</v>
      </c>
      <c r="K14" t="str">
        <f>"874"</f>
        <v>874</v>
      </c>
      <c r="L14" t="s">
        <v>112</v>
      </c>
      <c r="M14" t="s">
        <v>26</v>
      </c>
      <c r="N14" t="s">
        <v>27</v>
      </c>
      <c r="O14" t="s">
        <v>113</v>
      </c>
      <c r="P14" t="str">
        <f t="shared" si="3"/>
        <v>2020130010031 MEJORAMIENTO DE LA CONVIVENCIA CON LA IMPLEMENTACIN DEL CODIGO NACIONAL DE SEGURIDAD Y CONVIVENCIA CIUDADANA  Y  LA MODERNIZACION DE LAS INSPECCIONES DE POLICA EN EL DISTRITO DE  CARTAGENA DE INDIAS</v>
      </c>
      <c r="Q14" t="str">
        <f t="shared" si="0"/>
        <v>06</v>
      </c>
      <c r="R14" t="str">
        <f t="shared" si="1"/>
        <v>00</v>
      </c>
      <c r="S14" s="1">
        <v>0</v>
      </c>
      <c r="T14" s="1">
        <v>127912908.45</v>
      </c>
      <c r="U14" s="1">
        <v>127912908.45</v>
      </c>
      <c r="V14" s="1">
        <v>123530625.03</v>
      </c>
      <c r="W14" s="1">
        <v>4382283.42</v>
      </c>
      <c r="X14" s="1">
        <v>123530625.03</v>
      </c>
      <c r="Y14" s="1">
        <v>96.57</v>
      </c>
      <c r="Z14" s="1">
        <v>123530625.03</v>
      </c>
      <c r="AA14" s="1">
        <v>96.57</v>
      </c>
      <c r="AB14" s="1">
        <v>4382283.42</v>
      </c>
      <c r="AC14" s="1">
        <v>123530625.03</v>
      </c>
    </row>
    <row r="15" spans="1:29" x14ac:dyDescent="0.3">
      <c r="A15">
        <v>2022</v>
      </c>
      <c r="B15">
        <v>100</v>
      </c>
      <c r="C15" t="str">
        <f t="shared" si="4"/>
        <v>02</v>
      </c>
      <c r="D15" t="s">
        <v>106</v>
      </c>
      <c r="E15" t="str">
        <f t="shared" si="2"/>
        <v>02 SECRETARIA DEL INTERIOR Y CONVIVENCIA CIUDADANAL</v>
      </c>
      <c r="F15" s="2">
        <v>2020130010031</v>
      </c>
      <c r="G15" s="2" t="str">
        <f>+VLOOKUP(F15,Hoja2!$F:$I,2,FALSE)</f>
        <v>10. PILAR: CARTAGENA TRANSPARENTE</v>
      </c>
      <c r="H15" s="2" t="str">
        <f>+VLOOKUP(F15,Hoja2!$F:$I,3,FALSE)</f>
        <v>10.3 LÍNEA ESTRATÉGICA: CONVIVENCIA Y SEGURIDAD PARA LA GOBERNABILIDAD</v>
      </c>
      <c r="I15" s="2" t="str">
        <f>+VLOOKUP(F15,Hoja2!$F:$I,4,FALSE)</f>
        <v>10.3.3 PROGRAMA:  MEJORAR LA CONVIVENCIA CIUDADANA CON LA IMPLEMENTACIÓN DEL CÓDIGO NACIONAL DE SEGURIDAD Y CONVIVENCIA CIUDADANA</v>
      </c>
      <c r="J15" t="s">
        <v>111</v>
      </c>
      <c r="K15" t="str">
        <f>"875"</f>
        <v>875</v>
      </c>
      <c r="L15" t="s">
        <v>114</v>
      </c>
      <c r="M15" t="s">
        <v>26</v>
      </c>
      <c r="N15" t="s">
        <v>27</v>
      </c>
      <c r="O15" t="s">
        <v>113</v>
      </c>
      <c r="P15" t="str">
        <f t="shared" si="3"/>
        <v>2020130010031 MEJORAMIENTO DE LA CONVIVENCIA CON LA IMPLEMENTACIN DEL CODIGO NACIONAL DE SEGURIDAD Y CONVIVENCIA CIUDADANA  Y  LA MODERNIZACION DE LAS INSPECCIONES DE POLICA EN EL DISTRITO DE  CARTAGENA DE INDIAS</v>
      </c>
      <c r="Q15" t="str">
        <f t="shared" si="0"/>
        <v>06</v>
      </c>
      <c r="R15" t="str">
        <f t="shared" si="1"/>
        <v>00</v>
      </c>
      <c r="S15" s="1">
        <v>0</v>
      </c>
      <c r="T15" s="1">
        <v>695624593.50999999</v>
      </c>
      <c r="U15" s="1">
        <v>695624593.50999999</v>
      </c>
      <c r="V15" s="1">
        <v>0</v>
      </c>
      <c r="W15" s="1">
        <v>695624593.50999999</v>
      </c>
      <c r="X15" s="1">
        <v>0</v>
      </c>
      <c r="Y15" s="1">
        <v>0</v>
      </c>
      <c r="Z15" s="1">
        <v>0</v>
      </c>
      <c r="AA15" s="1">
        <v>0</v>
      </c>
      <c r="AB15" s="1">
        <v>695624593.50999999</v>
      </c>
      <c r="AC15" s="1">
        <v>0</v>
      </c>
    </row>
    <row r="16" spans="1:29" x14ac:dyDescent="0.3">
      <c r="A16">
        <v>2022</v>
      </c>
      <c r="B16">
        <v>100</v>
      </c>
      <c r="C16" t="str">
        <f t="shared" si="4"/>
        <v>02</v>
      </c>
      <c r="D16" t="s">
        <v>106</v>
      </c>
      <c r="E16" t="str">
        <f t="shared" si="2"/>
        <v>02 SECRETARIA DEL INTERIOR Y CONVIVENCIA CIUDADANAL</v>
      </c>
      <c r="F16" s="2">
        <v>2020130010031</v>
      </c>
      <c r="G16" s="2" t="str">
        <f>+VLOOKUP(F16,Hoja2!$F:$I,2,FALSE)</f>
        <v>10. PILAR: CARTAGENA TRANSPARENTE</v>
      </c>
      <c r="H16" s="2" t="str">
        <f>+VLOOKUP(F16,Hoja2!$F:$I,3,FALSE)</f>
        <v>10.3 LÍNEA ESTRATÉGICA: CONVIVENCIA Y SEGURIDAD PARA LA GOBERNABILIDAD</v>
      </c>
      <c r="I16" s="2" t="str">
        <f>+VLOOKUP(F16,Hoja2!$F:$I,4,FALSE)</f>
        <v>10.3.3 PROGRAMA:  MEJORAR LA CONVIVENCIA CIUDADANA CON LA IMPLEMENTACIÓN DEL CÓDIGO NACIONAL DE SEGURIDAD Y CONVIVENCIA CIUDADANA</v>
      </c>
      <c r="J16" t="s">
        <v>111</v>
      </c>
      <c r="K16" t="str">
        <f>"161"</f>
        <v>161</v>
      </c>
      <c r="L16" t="s">
        <v>136</v>
      </c>
      <c r="M16" t="s">
        <v>26</v>
      </c>
      <c r="N16" t="s">
        <v>27</v>
      </c>
      <c r="O16" t="s">
        <v>137</v>
      </c>
      <c r="P16" t="str">
        <f t="shared" si="3"/>
        <v>2020130010031 MEJORAMIENTO DE LA CONVIVENCIA CON LA IMPLEMENTACIN DEL CODIGO NACIONAL DE SEGURIDAD Y CONVIVENCIA CIUDADANA  Y  LA MODERNIZACIN DE LAS INSPECCIONES DE POLICA EN EL DISTRITO DE  CARTAGENA DE INDIAS</v>
      </c>
      <c r="Q16" t="str">
        <f t="shared" si="0"/>
        <v>06</v>
      </c>
      <c r="R16" t="str">
        <f t="shared" si="1"/>
        <v>00</v>
      </c>
      <c r="S16" s="1">
        <v>1</v>
      </c>
      <c r="T16" s="1">
        <v>0</v>
      </c>
      <c r="U16" s="1">
        <v>1</v>
      </c>
      <c r="V16" s="1">
        <v>0</v>
      </c>
      <c r="W16" s="1">
        <v>1</v>
      </c>
      <c r="X16" s="1">
        <v>0</v>
      </c>
      <c r="Y16" s="1">
        <v>0</v>
      </c>
      <c r="Z16" s="1">
        <v>0</v>
      </c>
      <c r="AA16" s="1">
        <v>0</v>
      </c>
      <c r="AB16" s="1">
        <v>1</v>
      </c>
      <c r="AC16" s="1">
        <v>0</v>
      </c>
    </row>
    <row r="17" spans="1:29" x14ac:dyDescent="0.3">
      <c r="A17">
        <v>2022</v>
      </c>
      <c r="B17">
        <v>100</v>
      </c>
      <c r="C17" t="str">
        <f t="shared" si="4"/>
        <v>02</v>
      </c>
      <c r="D17" t="s">
        <v>106</v>
      </c>
      <c r="E17" t="str">
        <f t="shared" si="2"/>
        <v>02 SECRETARIA DEL INTERIOR Y CONVIVENCIA CIUDADANAL</v>
      </c>
      <c r="F17" s="2">
        <v>2020130010031</v>
      </c>
      <c r="G17" s="2" t="str">
        <f>+VLOOKUP(F17,Hoja2!$F:$I,2,FALSE)</f>
        <v>10. PILAR: CARTAGENA TRANSPARENTE</v>
      </c>
      <c r="H17" s="2" t="str">
        <f>+VLOOKUP(F17,Hoja2!$F:$I,3,FALSE)</f>
        <v>10.3 LÍNEA ESTRATÉGICA: CONVIVENCIA Y SEGURIDAD PARA LA GOBERNABILIDAD</v>
      </c>
      <c r="I17" s="2" t="str">
        <f>+VLOOKUP(F17,Hoja2!$F:$I,4,FALSE)</f>
        <v>10.3.3 PROGRAMA:  MEJORAR LA CONVIVENCIA CIUDADANA CON LA IMPLEMENTACIÓN DEL CÓDIGO NACIONAL DE SEGURIDAD Y CONVIVENCIA CIUDADANA</v>
      </c>
      <c r="J17" t="s">
        <v>111</v>
      </c>
      <c r="K17" t="str">
        <f>"120"</f>
        <v>120</v>
      </c>
      <c r="L17" t="s">
        <v>150</v>
      </c>
      <c r="M17" t="s">
        <v>26</v>
      </c>
      <c r="N17" t="s">
        <v>27</v>
      </c>
      <c r="O17" t="s">
        <v>137</v>
      </c>
      <c r="P17" t="str">
        <f t="shared" si="3"/>
        <v>2020130010031 MEJORAMIENTO DE LA CONVIVENCIA CON LA IMPLEMENTACIN DEL CODIGO NACIONAL DE SEGURIDAD Y CONVIVENCIA CIUDADANA  Y  LA MODERNIZACIN DE LAS INSPECCIONES DE POLICA EN EL DISTRITO DE  CARTAGENA DE INDIAS</v>
      </c>
      <c r="Q17" t="str">
        <f t="shared" si="0"/>
        <v>06</v>
      </c>
      <c r="R17" t="str">
        <f t="shared" si="1"/>
        <v>00</v>
      </c>
      <c r="S17" s="1">
        <v>208835100</v>
      </c>
      <c r="T17" s="1">
        <v>0</v>
      </c>
      <c r="U17" s="1">
        <v>208835100</v>
      </c>
      <c r="V17" s="1">
        <v>26126648.050000001</v>
      </c>
      <c r="W17" s="1">
        <v>182708451.94999999</v>
      </c>
      <c r="X17" s="1">
        <v>26126648.050000001</v>
      </c>
      <c r="Y17" s="1">
        <v>12.51</v>
      </c>
      <c r="Z17" s="1">
        <v>14135340.9</v>
      </c>
      <c r="AA17" s="1">
        <v>6.77</v>
      </c>
      <c r="AB17" s="1">
        <v>182708451.94999999</v>
      </c>
      <c r="AC17" s="1">
        <v>14135340.9</v>
      </c>
    </row>
    <row r="18" spans="1:29" x14ac:dyDescent="0.3">
      <c r="A18">
        <v>2022</v>
      </c>
      <c r="B18">
        <v>100</v>
      </c>
      <c r="C18" t="str">
        <f t="shared" si="4"/>
        <v>02</v>
      </c>
      <c r="D18" t="s">
        <v>106</v>
      </c>
      <c r="E18" t="str">
        <f t="shared" si="2"/>
        <v>02 SECRETARIA DEL INTERIOR Y CONVIVENCIA CIUDADANAL</v>
      </c>
      <c r="F18" s="2">
        <v>2020130010031</v>
      </c>
      <c r="G18" s="2" t="str">
        <f>+VLOOKUP(F18,Hoja2!$F:$I,2,FALSE)</f>
        <v>10. PILAR: CARTAGENA TRANSPARENTE</v>
      </c>
      <c r="H18" s="2" t="str">
        <f>+VLOOKUP(F18,Hoja2!$F:$I,3,FALSE)</f>
        <v>10.3 LÍNEA ESTRATÉGICA: CONVIVENCIA Y SEGURIDAD PARA LA GOBERNABILIDAD</v>
      </c>
      <c r="I18" s="2" t="str">
        <f>+VLOOKUP(F18,Hoja2!$F:$I,4,FALSE)</f>
        <v>10.3.3 PROGRAMA:  MEJORAR LA CONVIVENCIA CIUDADANA CON LA IMPLEMENTACIÓN DEL CÓDIGO NACIONAL DE SEGURIDAD Y CONVIVENCIA CIUDADANA</v>
      </c>
      <c r="J18" t="s">
        <v>111</v>
      </c>
      <c r="K18" t="str">
        <f>"001"</f>
        <v>001</v>
      </c>
      <c r="L18" t="s">
        <v>25</v>
      </c>
      <c r="M18" t="s">
        <v>26</v>
      </c>
      <c r="N18" t="s">
        <v>27</v>
      </c>
      <c r="O18" t="s">
        <v>137</v>
      </c>
      <c r="P18" t="str">
        <f t="shared" si="3"/>
        <v>2020130010031 MEJORAMIENTO DE LA CONVIVENCIA CON LA IMPLEMENTACIN DEL CODIGO NACIONAL DE SEGURIDAD Y CONVIVENCIA CIUDADANA  Y  LA MODERNIZACIN DE LAS INSPECCIONES DE POLICA EN EL DISTRITO DE  CARTAGENA DE INDIAS</v>
      </c>
      <c r="Q18" t="str">
        <f t="shared" si="0"/>
        <v>06</v>
      </c>
      <c r="R18" t="str">
        <f t="shared" si="1"/>
        <v>00</v>
      </c>
      <c r="S18" s="1">
        <v>1340056338</v>
      </c>
      <c r="T18" s="1">
        <v>223135200</v>
      </c>
      <c r="U18" s="1">
        <v>1563191538</v>
      </c>
      <c r="V18" s="1">
        <v>1334022912.6500001</v>
      </c>
      <c r="W18" s="1">
        <v>229168625.34999999</v>
      </c>
      <c r="X18" s="1">
        <v>1322399848.3900001</v>
      </c>
      <c r="Y18" s="1">
        <v>84.6</v>
      </c>
      <c r="Z18" s="1">
        <v>1288100883.3900001</v>
      </c>
      <c r="AA18" s="1">
        <v>82.4</v>
      </c>
      <c r="AB18" s="1">
        <v>240791689.61000001</v>
      </c>
      <c r="AC18" s="1">
        <v>1205300883.3900001</v>
      </c>
    </row>
    <row r="19" spans="1:29" x14ac:dyDescent="0.3">
      <c r="A19">
        <v>2022</v>
      </c>
      <c r="B19">
        <v>100</v>
      </c>
      <c r="C19" t="str">
        <f t="shared" si="4"/>
        <v>02</v>
      </c>
      <c r="D19" t="s">
        <v>106</v>
      </c>
      <c r="E19" t="str">
        <f t="shared" si="2"/>
        <v>02 SECRETARIA DEL INTERIOR Y CONVIVENCIA CIUDADANAL</v>
      </c>
      <c r="F19" s="2">
        <v>2020130010032</v>
      </c>
      <c r="G19" s="2" t="str">
        <f>+VLOOKUP(F19,Hoja2!$F:$I,2,FALSE)</f>
        <v>10. PILAR: CARTAGENA TRANSPARENTE</v>
      </c>
      <c r="H19" s="2" t="str">
        <f>+VLOOKUP(F19,Hoja2!$F:$I,3,FALSE)</f>
        <v>10.4 LÍNEA ESTRATÉGICA DERECHOS HUMANOS PARA LA PAZ</v>
      </c>
      <c r="I19" s="2" t="str">
        <f>+VLOOKUP(F19,Hoja2!$F:$I,4,FALSE)</f>
        <v xml:space="preserve">10.4.2 PROGRAMA: SISTEMA PENITENCIARIO Y CARCELARIO EN EL MARCO DE LOS DERECHOS HUMANOS </v>
      </c>
      <c r="J19" t="s">
        <v>118</v>
      </c>
      <c r="K19" t="str">
        <f>"816"</f>
        <v>816</v>
      </c>
      <c r="L19" t="s">
        <v>116</v>
      </c>
      <c r="M19" t="s">
        <v>26</v>
      </c>
      <c r="N19" t="s">
        <v>27</v>
      </c>
      <c r="O19" t="s">
        <v>119</v>
      </c>
      <c r="P19" t="str">
        <f t="shared" si="3"/>
        <v xml:space="preserve">2020130010032 FORTALECIMIENTO Y ATENCION INTEGRAL A INTERNOS DE LOS ESTABLECIMIENTOS CARCELARIOS DEL DISTRITO DE  CARTAGENA DE INDIAS </v>
      </c>
      <c r="Q19" t="str">
        <f t="shared" si="0"/>
        <v>06</v>
      </c>
      <c r="R19" t="str">
        <f t="shared" si="1"/>
        <v>00</v>
      </c>
      <c r="S19" s="1">
        <v>0</v>
      </c>
      <c r="T19" s="1">
        <v>126709407.5</v>
      </c>
      <c r="U19" s="1">
        <v>126709407.5</v>
      </c>
      <c r="V19" s="1">
        <v>99999647</v>
      </c>
      <c r="W19" s="1">
        <v>26709760.5</v>
      </c>
      <c r="X19" s="1">
        <v>56019003</v>
      </c>
      <c r="Y19" s="1">
        <v>44.21</v>
      </c>
      <c r="Z19" s="1">
        <v>0</v>
      </c>
      <c r="AA19" s="1">
        <v>0</v>
      </c>
      <c r="AB19" s="1">
        <v>70690404.5</v>
      </c>
      <c r="AC19" s="1">
        <v>0</v>
      </c>
    </row>
    <row r="20" spans="1:29" x14ac:dyDescent="0.3">
      <c r="A20">
        <v>2022</v>
      </c>
      <c r="B20">
        <v>100</v>
      </c>
      <c r="C20" t="str">
        <f t="shared" si="4"/>
        <v>02</v>
      </c>
      <c r="D20" t="s">
        <v>106</v>
      </c>
      <c r="E20" t="str">
        <f t="shared" si="2"/>
        <v>02 SECRETARIA DEL INTERIOR Y CONVIVENCIA CIUDADANAL</v>
      </c>
      <c r="F20" s="2">
        <v>2020130010032</v>
      </c>
      <c r="G20" s="2" t="str">
        <f>+VLOOKUP(F20,Hoja2!$F:$I,2,FALSE)</f>
        <v>10. PILAR: CARTAGENA TRANSPARENTE</v>
      </c>
      <c r="H20" s="2" t="str">
        <f>+VLOOKUP(F20,Hoja2!$F:$I,3,FALSE)</f>
        <v>10.4 LÍNEA ESTRATÉGICA DERECHOS HUMANOS PARA LA PAZ</v>
      </c>
      <c r="I20" s="2" t="str">
        <f>+VLOOKUP(F20,Hoja2!$F:$I,4,FALSE)</f>
        <v xml:space="preserve">10.4.2 PROGRAMA: SISTEMA PENITENCIARIO Y CARCELARIO EN EL MARCO DE LOS DERECHOS HUMANOS </v>
      </c>
      <c r="J20" t="s">
        <v>118</v>
      </c>
      <c r="K20" t="str">
        <f>"001"</f>
        <v>001</v>
      </c>
      <c r="L20" t="s">
        <v>25</v>
      </c>
      <c r="M20" t="s">
        <v>26</v>
      </c>
      <c r="N20" t="s">
        <v>27</v>
      </c>
      <c r="O20" t="s">
        <v>119</v>
      </c>
      <c r="P20" t="str">
        <f t="shared" si="3"/>
        <v xml:space="preserve">2020130010032 FORTALECIMIENTO Y ATENCION INTEGRAL A INTERNOS DE LOS ESTABLECIMIENTOS CARCELARIOS DEL DISTRITO DE  CARTAGENA DE INDIAS </v>
      </c>
      <c r="Q20" t="str">
        <f t="shared" si="0"/>
        <v>06</v>
      </c>
      <c r="R20" t="str">
        <f t="shared" si="1"/>
        <v>00</v>
      </c>
      <c r="S20" s="1">
        <v>2392957745</v>
      </c>
      <c r="T20" s="1">
        <v>-323000000</v>
      </c>
      <c r="U20" s="1">
        <v>2069957745</v>
      </c>
      <c r="V20" s="1">
        <v>2016189561.3699999</v>
      </c>
      <c r="W20" s="1">
        <v>53768183.630000003</v>
      </c>
      <c r="X20" s="1">
        <v>1691632618.0599999</v>
      </c>
      <c r="Y20" s="1">
        <v>81.72</v>
      </c>
      <c r="Z20" s="1">
        <v>1532220329.73</v>
      </c>
      <c r="AA20" s="1">
        <v>74.02</v>
      </c>
      <c r="AB20" s="1">
        <v>378325126.94</v>
      </c>
      <c r="AC20" s="1">
        <v>1020489009.73</v>
      </c>
    </row>
    <row r="21" spans="1:29" x14ac:dyDescent="0.3">
      <c r="A21">
        <v>2022</v>
      </c>
      <c r="B21">
        <v>100</v>
      </c>
      <c r="C21" t="str">
        <f t="shared" ref="C21:C45" si="5">"01"</f>
        <v>01</v>
      </c>
      <c r="D21" t="s">
        <v>23</v>
      </c>
      <c r="E21" t="str">
        <f t="shared" si="2"/>
        <v>01 DESPACHO DEL ALCALDE</v>
      </c>
      <c r="F21" s="2">
        <v>2020130010033</v>
      </c>
      <c r="G21" s="2" t="str">
        <f>+VLOOKUP(F21,Hoja2!$F:$I,2,FALSE)</f>
        <v>07. PILAR CARTAGENA RESILIENTE</v>
      </c>
      <c r="H21" s="2" t="str">
        <f>+VLOOKUP(F21,Hoja2!$F:$I,3,FALSE)</f>
        <v>7.4 LÍNEA ESTRATÉGICA GESTIÓN DEL RIESGO</v>
      </c>
      <c r="I21" s="2" t="str">
        <f>+VLOOKUP(F21,Hoja2!$F:$I,4,FALSE)</f>
        <v>7.4.3 MANEJO DE DESASTRE</v>
      </c>
      <c r="J21" t="s">
        <v>50</v>
      </c>
      <c r="K21" t="str">
        <f>"867"</f>
        <v>867</v>
      </c>
      <c r="L21" t="s">
        <v>51</v>
      </c>
      <c r="M21" t="s">
        <v>26</v>
      </c>
      <c r="N21" t="s">
        <v>27</v>
      </c>
      <c r="O21" t="s">
        <v>52</v>
      </c>
      <c r="P21" t="str">
        <f t="shared" si="3"/>
        <v>2020130010033 CONTROL DE LOS RIESGOS EN NUESTRO TERRITORIO CARTAGENA DE INDIAS</v>
      </c>
      <c r="Q21" t="str">
        <f t="shared" si="0"/>
        <v>06</v>
      </c>
      <c r="R21" t="str">
        <f t="shared" si="1"/>
        <v>00</v>
      </c>
      <c r="S21" s="1">
        <v>0</v>
      </c>
      <c r="T21" s="1">
        <v>5736714.1500000004</v>
      </c>
      <c r="U21" s="1">
        <v>5736714.1500000004</v>
      </c>
      <c r="V21" s="1">
        <v>5736714.1500000004</v>
      </c>
      <c r="W21" s="1">
        <v>0</v>
      </c>
      <c r="X21" s="1">
        <v>5736714.1500000004</v>
      </c>
      <c r="Y21" s="1">
        <v>100</v>
      </c>
      <c r="Z21" s="1">
        <v>0</v>
      </c>
      <c r="AA21" s="1">
        <v>0</v>
      </c>
      <c r="AB21" s="1">
        <v>0</v>
      </c>
      <c r="AC21" s="1">
        <v>0</v>
      </c>
    </row>
    <row r="22" spans="1:29" x14ac:dyDescent="0.3">
      <c r="A22">
        <v>2022</v>
      </c>
      <c r="B22">
        <v>100</v>
      </c>
      <c r="C22" t="str">
        <f t="shared" si="5"/>
        <v>01</v>
      </c>
      <c r="D22" t="s">
        <v>23</v>
      </c>
      <c r="E22" t="str">
        <f t="shared" si="2"/>
        <v>01 DESPACHO DEL ALCALDE</v>
      </c>
      <c r="F22" s="2">
        <v>2020130010033</v>
      </c>
      <c r="G22" s="2" t="str">
        <f>+VLOOKUP(F22,Hoja2!$F:$I,2,FALSE)</f>
        <v>07. PILAR CARTAGENA RESILIENTE</v>
      </c>
      <c r="H22" s="2" t="str">
        <f>+VLOOKUP(F22,Hoja2!$F:$I,3,FALSE)</f>
        <v>7.4 LÍNEA ESTRATÉGICA GESTIÓN DEL RIESGO</v>
      </c>
      <c r="I22" s="2" t="str">
        <f>+VLOOKUP(F22,Hoja2!$F:$I,4,FALSE)</f>
        <v>7.4.3 MANEJO DE DESASTRE</v>
      </c>
      <c r="J22" t="s">
        <v>50</v>
      </c>
      <c r="K22" t="str">
        <f>"868"</f>
        <v>868</v>
      </c>
      <c r="L22" t="s">
        <v>53</v>
      </c>
      <c r="M22" t="s">
        <v>26</v>
      </c>
      <c r="N22" t="s">
        <v>27</v>
      </c>
      <c r="O22" t="s">
        <v>54</v>
      </c>
      <c r="P22" t="str">
        <f t="shared" si="3"/>
        <v>2020130010033 CONTROL DE LOS RIESGOS EN NUESTRO TERRITORIO  CARTAGENA DE INDIAS</v>
      </c>
      <c r="Q22" t="str">
        <f t="shared" si="0"/>
        <v>06</v>
      </c>
      <c r="R22" t="str">
        <f t="shared" si="1"/>
        <v>00</v>
      </c>
      <c r="S22" s="1">
        <v>0</v>
      </c>
      <c r="T22" s="1">
        <v>51464419</v>
      </c>
      <c r="U22" s="1">
        <v>51464419</v>
      </c>
      <c r="V22" s="1">
        <v>51464419</v>
      </c>
      <c r="W22" s="1">
        <v>0</v>
      </c>
      <c r="X22" s="1">
        <v>51464419</v>
      </c>
      <c r="Y22" s="1">
        <v>100</v>
      </c>
      <c r="Z22" s="1">
        <v>0</v>
      </c>
      <c r="AA22" s="1">
        <v>0</v>
      </c>
      <c r="AB22" s="1">
        <v>0</v>
      </c>
      <c r="AC22" s="1">
        <v>0</v>
      </c>
    </row>
    <row r="23" spans="1:29" x14ac:dyDescent="0.3">
      <c r="A23">
        <v>2022</v>
      </c>
      <c r="B23">
        <v>100</v>
      </c>
      <c r="C23" t="str">
        <f t="shared" si="5"/>
        <v>01</v>
      </c>
      <c r="D23" t="s">
        <v>23</v>
      </c>
      <c r="E23" t="str">
        <f t="shared" si="2"/>
        <v>01 DESPACHO DEL ALCALDE</v>
      </c>
      <c r="F23" s="2">
        <v>2020130010033</v>
      </c>
      <c r="G23" s="2" t="str">
        <f>+VLOOKUP(F23,Hoja2!$F:$I,2,FALSE)</f>
        <v>07. PILAR CARTAGENA RESILIENTE</v>
      </c>
      <c r="H23" s="2" t="str">
        <f>+VLOOKUP(F23,Hoja2!$F:$I,3,FALSE)</f>
        <v>7.4 LÍNEA ESTRATÉGICA GESTIÓN DEL RIESGO</v>
      </c>
      <c r="I23" s="2" t="str">
        <f>+VLOOKUP(F23,Hoja2!$F:$I,4,FALSE)</f>
        <v>7.4.3 MANEJO DE DESASTRE</v>
      </c>
      <c r="J23" t="s">
        <v>50</v>
      </c>
      <c r="K23" t="str">
        <f>"870"</f>
        <v>870</v>
      </c>
      <c r="L23" t="s">
        <v>56</v>
      </c>
      <c r="M23" t="s">
        <v>26</v>
      </c>
      <c r="N23" t="s">
        <v>27</v>
      </c>
      <c r="O23" t="s">
        <v>52</v>
      </c>
      <c r="P23" t="str">
        <f t="shared" si="3"/>
        <v>2020130010033 CONTROL DE LOS RIESGOS EN NUESTRO TERRITORIO CARTAGENA DE INDIAS</v>
      </c>
      <c r="Q23" t="str">
        <f t="shared" si="0"/>
        <v>06</v>
      </c>
      <c r="R23" t="str">
        <f t="shared" si="1"/>
        <v>00</v>
      </c>
      <c r="S23" s="1">
        <v>0</v>
      </c>
      <c r="T23" s="1">
        <v>2002381853.6500001</v>
      </c>
      <c r="U23" s="1">
        <v>2002381853.6500001</v>
      </c>
      <c r="V23" s="1">
        <v>2002381853.5999999</v>
      </c>
      <c r="W23" s="1">
        <v>0.05</v>
      </c>
      <c r="X23" s="1">
        <v>2002381853.5999999</v>
      </c>
      <c r="Y23" s="1">
        <v>100</v>
      </c>
      <c r="Z23" s="1">
        <v>1894280490</v>
      </c>
      <c r="AA23" s="1">
        <v>94.6</v>
      </c>
      <c r="AB23" s="1">
        <v>0.05</v>
      </c>
      <c r="AC23" s="1">
        <v>1894280490</v>
      </c>
    </row>
    <row r="24" spans="1:29" x14ac:dyDescent="0.3">
      <c r="A24">
        <v>2022</v>
      </c>
      <c r="B24">
        <v>100</v>
      </c>
      <c r="C24" t="str">
        <f t="shared" si="5"/>
        <v>01</v>
      </c>
      <c r="D24" t="s">
        <v>23</v>
      </c>
      <c r="E24" t="str">
        <f t="shared" si="2"/>
        <v>01 DESPACHO DEL ALCALDE</v>
      </c>
      <c r="F24" s="2">
        <v>2020130010033</v>
      </c>
      <c r="G24" s="2" t="str">
        <f>+VLOOKUP(F24,Hoja2!$F:$I,2,FALSE)</f>
        <v>07. PILAR CARTAGENA RESILIENTE</v>
      </c>
      <c r="H24" s="2" t="str">
        <f>+VLOOKUP(F24,Hoja2!$F:$I,3,FALSE)</f>
        <v>7.4 LÍNEA ESTRATÉGICA GESTIÓN DEL RIESGO</v>
      </c>
      <c r="I24" s="2" t="str">
        <f>+VLOOKUP(F24,Hoja2!$F:$I,4,FALSE)</f>
        <v>7.4.3 MANEJO DE DESASTRE</v>
      </c>
      <c r="J24" t="s">
        <v>50</v>
      </c>
      <c r="K24" t="str">
        <f>"871"</f>
        <v>871</v>
      </c>
      <c r="L24" t="s">
        <v>57</v>
      </c>
      <c r="M24" t="s">
        <v>26</v>
      </c>
      <c r="N24" t="s">
        <v>27</v>
      </c>
      <c r="O24" t="s">
        <v>54</v>
      </c>
      <c r="P24" t="str">
        <f t="shared" si="3"/>
        <v>2020130010033 CONTROL DE LOS RIESGOS EN NUESTRO TERRITORIO  CARTAGENA DE INDIAS</v>
      </c>
      <c r="Q24" t="str">
        <f t="shared" si="0"/>
        <v>06</v>
      </c>
      <c r="R24" t="str">
        <f t="shared" si="1"/>
        <v>00</v>
      </c>
      <c r="S24" s="1">
        <v>0</v>
      </c>
      <c r="T24" s="1">
        <v>26503817.190000001</v>
      </c>
      <c r="U24" s="1">
        <v>26503817.190000001</v>
      </c>
      <c r="V24" s="1">
        <v>26503817.190000001</v>
      </c>
      <c r="W24" s="1">
        <v>0</v>
      </c>
      <c r="X24" s="1">
        <v>26503817.190000001</v>
      </c>
      <c r="Y24" s="1">
        <v>100</v>
      </c>
      <c r="Z24" s="1">
        <v>0</v>
      </c>
      <c r="AA24" s="1">
        <v>0</v>
      </c>
      <c r="AB24" s="1">
        <v>0</v>
      </c>
      <c r="AC24" s="1">
        <v>0</v>
      </c>
    </row>
    <row r="25" spans="1:29" x14ac:dyDescent="0.3">
      <c r="A25">
        <v>2022</v>
      </c>
      <c r="B25">
        <v>100</v>
      </c>
      <c r="C25" t="str">
        <f t="shared" si="5"/>
        <v>01</v>
      </c>
      <c r="D25" t="s">
        <v>23</v>
      </c>
      <c r="E25" t="str">
        <f t="shared" si="2"/>
        <v>01 DESPACHO DEL ALCALDE</v>
      </c>
      <c r="F25" s="2">
        <v>2020130010033</v>
      </c>
      <c r="G25" s="2" t="str">
        <f>+VLOOKUP(F25,Hoja2!$F:$I,2,FALSE)</f>
        <v>07. PILAR CARTAGENA RESILIENTE</v>
      </c>
      <c r="H25" s="2" t="str">
        <f>+VLOOKUP(F25,Hoja2!$F:$I,3,FALSE)</f>
        <v>7.4 LÍNEA ESTRATÉGICA GESTIÓN DEL RIESGO</v>
      </c>
      <c r="I25" s="2" t="str">
        <f>+VLOOKUP(F25,Hoja2!$F:$I,4,FALSE)</f>
        <v>7.4.3 MANEJO DE DESASTRE</v>
      </c>
      <c r="J25" t="s">
        <v>50</v>
      </c>
      <c r="K25" t="str">
        <f>"886"</f>
        <v>886</v>
      </c>
      <c r="L25" t="s">
        <v>59</v>
      </c>
      <c r="M25" t="s">
        <v>26</v>
      </c>
      <c r="N25" t="s">
        <v>27</v>
      </c>
      <c r="O25" t="s">
        <v>54</v>
      </c>
      <c r="P25" t="str">
        <f t="shared" si="3"/>
        <v>2020130010033 CONTROL DE LOS RIESGOS EN NUESTRO TERRITORIO  CARTAGENA DE INDIAS</v>
      </c>
      <c r="Q25" t="str">
        <f t="shared" si="0"/>
        <v>06</v>
      </c>
      <c r="R25" t="str">
        <f t="shared" si="1"/>
        <v>00</v>
      </c>
      <c r="S25" s="1">
        <v>0</v>
      </c>
      <c r="T25" s="1">
        <v>31121031</v>
      </c>
      <c r="U25" s="1">
        <v>31121031</v>
      </c>
      <c r="V25" s="1">
        <v>31121031</v>
      </c>
      <c r="W25" s="1">
        <v>0</v>
      </c>
      <c r="X25" s="1">
        <v>31121031</v>
      </c>
      <c r="Y25" s="1">
        <v>100</v>
      </c>
      <c r="Z25" s="1">
        <v>0</v>
      </c>
      <c r="AA25" s="1">
        <v>0</v>
      </c>
      <c r="AB25" s="1">
        <v>0</v>
      </c>
      <c r="AC25" s="1">
        <v>0</v>
      </c>
    </row>
    <row r="26" spans="1:29" x14ac:dyDescent="0.3">
      <c r="A26">
        <v>2022</v>
      </c>
      <c r="B26">
        <v>100</v>
      </c>
      <c r="C26" t="str">
        <f t="shared" si="5"/>
        <v>01</v>
      </c>
      <c r="D26" t="s">
        <v>23</v>
      </c>
      <c r="E26" t="str">
        <f t="shared" si="2"/>
        <v>01 DESPACHO DEL ALCALDE</v>
      </c>
      <c r="F26" s="2">
        <v>2020130010033</v>
      </c>
      <c r="G26" s="2" t="str">
        <f>+VLOOKUP(F26,Hoja2!$F:$I,2,FALSE)</f>
        <v>07. PILAR CARTAGENA RESILIENTE</v>
      </c>
      <c r="H26" s="2" t="str">
        <f>+VLOOKUP(F26,Hoja2!$F:$I,3,FALSE)</f>
        <v>7.4 LÍNEA ESTRATÉGICA GESTIÓN DEL RIESGO</v>
      </c>
      <c r="I26" s="2" t="str">
        <f>+VLOOKUP(F26,Hoja2!$F:$I,4,FALSE)</f>
        <v>7.4.3 MANEJO DE DESASTRE</v>
      </c>
      <c r="J26" t="s">
        <v>50</v>
      </c>
      <c r="K26" t="str">
        <f>"814"</f>
        <v>814</v>
      </c>
      <c r="L26" t="s">
        <v>60</v>
      </c>
      <c r="M26" t="s">
        <v>26</v>
      </c>
      <c r="N26" t="s">
        <v>27</v>
      </c>
      <c r="O26" t="s">
        <v>54</v>
      </c>
      <c r="P26" t="str">
        <f t="shared" si="3"/>
        <v>2020130010033 CONTROL DE LOS RIESGOS EN NUESTRO TERRITORIO  CARTAGENA DE INDIAS</v>
      </c>
      <c r="Q26" t="str">
        <f t="shared" si="0"/>
        <v>06</v>
      </c>
      <c r="R26" t="str">
        <f t="shared" si="1"/>
        <v>00</v>
      </c>
      <c r="S26" s="1">
        <v>0</v>
      </c>
      <c r="T26" s="1">
        <v>577061331</v>
      </c>
      <c r="U26" s="1">
        <v>577061331</v>
      </c>
      <c r="V26" s="1">
        <v>577061331</v>
      </c>
      <c r="W26" s="1">
        <v>0</v>
      </c>
      <c r="X26" s="1">
        <v>577061331</v>
      </c>
      <c r="Y26" s="1">
        <v>100</v>
      </c>
      <c r="Z26" s="1">
        <v>105097725</v>
      </c>
      <c r="AA26" s="1">
        <v>18.21</v>
      </c>
      <c r="AB26" s="1">
        <v>0</v>
      </c>
      <c r="AC26" s="1">
        <v>105097725</v>
      </c>
    </row>
    <row r="27" spans="1:29" x14ac:dyDescent="0.3">
      <c r="A27">
        <v>2022</v>
      </c>
      <c r="B27">
        <v>100</v>
      </c>
      <c r="C27" t="str">
        <f t="shared" si="5"/>
        <v>01</v>
      </c>
      <c r="D27" t="s">
        <v>23</v>
      </c>
      <c r="E27" t="str">
        <f t="shared" si="2"/>
        <v>01 DESPACHO DEL ALCALDE</v>
      </c>
      <c r="F27" s="2">
        <v>2020130010033</v>
      </c>
      <c r="G27" s="2" t="str">
        <f>+VLOOKUP(F27,Hoja2!$F:$I,2,FALSE)</f>
        <v>07. PILAR CARTAGENA RESILIENTE</v>
      </c>
      <c r="H27" s="2" t="str">
        <f>+VLOOKUP(F27,Hoja2!$F:$I,3,FALSE)</f>
        <v>7.4 LÍNEA ESTRATÉGICA GESTIÓN DEL RIESGO</v>
      </c>
      <c r="I27" s="2" t="str">
        <f>+VLOOKUP(F27,Hoja2!$F:$I,4,FALSE)</f>
        <v>7.4.3 MANEJO DE DESASTRE</v>
      </c>
      <c r="J27" t="s">
        <v>50</v>
      </c>
      <c r="K27" t="str">
        <f>"821"</f>
        <v>821</v>
      </c>
      <c r="L27" t="s">
        <v>64</v>
      </c>
      <c r="M27" t="s">
        <v>26</v>
      </c>
      <c r="N27" t="s">
        <v>27</v>
      </c>
      <c r="O27" t="s">
        <v>54</v>
      </c>
      <c r="P27" t="str">
        <f t="shared" si="3"/>
        <v>2020130010033 CONTROL DE LOS RIESGOS EN NUESTRO TERRITORIO  CARTAGENA DE INDIAS</v>
      </c>
      <c r="Q27" t="str">
        <f t="shared" si="0"/>
        <v>06</v>
      </c>
      <c r="R27" t="str">
        <f t="shared" si="1"/>
        <v>00</v>
      </c>
      <c r="S27" s="1">
        <v>0</v>
      </c>
      <c r="T27" s="1">
        <v>30172287.199999999</v>
      </c>
      <c r="U27" s="1">
        <v>30172287.199999999</v>
      </c>
      <c r="V27" s="1">
        <v>0</v>
      </c>
      <c r="W27" s="1">
        <v>30172287.199999999</v>
      </c>
      <c r="X27" s="1">
        <v>0</v>
      </c>
      <c r="Y27" s="1">
        <v>0</v>
      </c>
      <c r="Z27" s="1">
        <v>0</v>
      </c>
      <c r="AA27" s="1">
        <v>0</v>
      </c>
      <c r="AB27" s="1">
        <v>30172287.199999999</v>
      </c>
      <c r="AC27" s="1">
        <v>0</v>
      </c>
    </row>
    <row r="28" spans="1:29" x14ac:dyDescent="0.3">
      <c r="A28">
        <v>2022</v>
      </c>
      <c r="B28">
        <v>100</v>
      </c>
      <c r="C28" t="str">
        <f t="shared" si="5"/>
        <v>01</v>
      </c>
      <c r="D28" t="s">
        <v>23</v>
      </c>
      <c r="E28" t="str">
        <f t="shared" si="2"/>
        <v>01 DESPACHO DEL ALCALDE</v>
      </c>
      <c r="F28" s="2">
        <v>2020130010033</v>
      </c>
      <c r="G28" s="2" t="str">
        <f>+VLOOKUP(F28,Hoja2!$F:$I,2,FALSE)</f>
        <v>07. PILAR CARTAGENA RESILIENTE</v>
      </c>
      <c r="H28" s="2" t="str">
        <f>+VLOOKUP(F28,Hoja2!$F:$I,3,FALSE)</f>
        <v>7.4 LÍNEA ESTRATÉGICA GESTIÓN DEL RIESGO</v>
      </c>
      <c r="I28" s="2" t="str">
        <f>+VLOOKUP(F28,Hoja2!$F:$I,4,FALSE)</f>
        <v>7.4.3 MANEJO DE DESASTRE</v>
      </c>
      <c r="J28" t="s">
        <v>50</v>
      </c>
      <c r="K28" t="str">
        <f>"822"</f>
        <v>822</v>
      </c>
      <c r="L28" t="s">
        <v>65</v>
      </c>
      <c r="M28" t="s">
        <v>26</v>
      </c>
      <c r="N28" t="s">
        <v>27</v>
      </c>
      <c r="O28" t="s">
        <v>54</v>
      </c>
      <c r="P28" t="str">
        <f t="shared" si="3"/>
        <v>2020130010033 CONTROL DE LOS RIESGOS EN NUESTRO TERRITORIO  CARTAGENA DE INDIAS</v>
      </c>
      <c r="Q28" t="str">
        <f t="shared" si="0"/>
        <v>06</v>
      </c>
      <c r="R28" t="str">
        <f t="shared" si="1"/>
        <v>00</v>
      </c>
      <c r="S28" s="1">
        <v>0</v>
      </c>
      <c r="T28" s="1">
        <v>305257136.47000003</v>
      </c>
      <c r="U28" s="1">
        <v>305257136.47000003</v>
      </c>
      <c r="V28" s="1">
        <v>0</v>
      </c>
      <c r="W28" s="1">
        <v>305257136.47000003</v>
      </c>
      <c r="X28" s="1">
        <v>0</v>
      </c>
      <c r="Y28" s="1">
        <v>0</v>
      </c>
      <c r="Z28" s="1">
        <v>0</v>
      </c>
      <c r="AA28" s="1">
        <v>0</v>
      </c>
      <c r="AB28" s="1">
        <v>305257136.47000003</v>
      </c>
      <c r="AC28" s="1">
        <v>0</v>
      </c>
    </row>
    <row r="29" spans="1:29" x14ac:dyDescent="0.3">
      <c r="A29">
        <v>2022</v>
      </c>
      <c r="B29">
        <v>100</v>
      </c>
      <c r="C29" t="str">
        <f t="shared" si="5"/>
        <v>01</v>
      </c>
      <c r="D29" t="s">
        <v>23</v>
      </c>
      <c r="E29" t="str">
        <f t="shared" si="2"/>
        <v>01 DESPACHO DEL ALCALDE</v>
      </c>
      <c r="F29" s="2">
        <v>2020130010033</v>
      </c>
      <c r="G29" s="2" t="str">
        <f>+VLOOKUP(F29,Hoja2!$F:$I,2,FALSE)</f>
        <v>07. PILAR CARTAGENA RESILIENTE</v>
      </c>
      <c r="H29" s="2" t="str">
        <f>+VLOOKUP(F29,Hoja2!$F:$I,3,FALSE)</f>
        <v>7.4 LÍNEA ESTRATÉGICA GESTIÓN DEL RIESGO</v>
      </c>
      <c r="I29" s="2" t="str">
        <f>+VLOOKUP(F29,Hoja2!$F:$I,4,FALSE)</f>
        <v>7.4.3 MANEJO DE DESASTRE</v>
      </c>
      <c r="J29" t="s">
        <v>50</v>
      </c>
      <c r="K29" t="str">
        <f>"823"</f>
        <v>823</v>
      </c>
      <c r="L29" t="s">
        <v>66</v>
      </c>
      <c r="M29" t="s">
        <v>26</v>
      </c>
      <c r="N29" t="s">
        <v>27</v>
      </c>
      <c r="O29" t="s">
        <v>54</v>
      </c>
      <c r="P29" t="str">
        <f t="shared" si="3"/>
        <v>2020130010033 CONTROL DE LOS RIESGOS EN NUESTRO TERRITORIO  CARTAGENA DE INDIAS</v>
      </c>
      <c r="Q29" t="str">
        <f t="shared" si="0"/>
        <v>06</v>
      </c>
      <c r="R29" t="str">
        <f t="shared" si="1"/>
        <v>00</v>
      </c>
      <c r="S29" s="1">
        <v>0</v>
      </c>
      <c r="T29" s="1">
        <v>22120795.870000001</v>
      </c>
      <c r="U29" s="1">
        <v>22120795.870000001</v>
      </c>
      <c r="V29" s="1">
        <v>0</v>
      </c>
      <c r="W29" s="1">
        <v>22120795.870000001</v>
      </c>
      <c r="X29" s="1">
        <v>0</v>
      </c>
      <c r="Y29" s="1">
        <v>0</v>
      </c>
      <c r="Z29" s="1">
        <v>0</v>
      </c>
      <c r="AA29" s="1">
        <v>0</v>
      </c>
      <c r="AB29" s="1">
        <v>22120795.870000001</v>
      </c>
      <c r="AC29" s="1">
        <v>0</v>
      </c>
    </row>
    <row r="30" spans="1:29" x14ac:dyDescent="0.3">
      <c r="A30">
        <v>2022</v>
      </c>
      <c r="B30">
        <v>100</v>
      </c>
      <c r="C30" t="str">
        <f t="shared" si="5"/>
        <v>01</v>
      </c>
      <c r="D30" t="s">
        <v>23</v>
      </c>
      <c r="E30" t="str">
        <f t="shared" si="2"/>
        <v>01 DESPACHO DEL ALCALDE</v>
      </c>
      <c r="F30" s="2">
        <v>2020130010033</v>
      </c>
      <c r="G30" s="2" t="str">
        <f>+VLOOKUP(F30,Hoja2!$F:$I,2,FALSE)</f>
        <v>07. PILAR CARTAGENA RESILIENTE</v>
      </c>
      <c r="H30" s="2" t="str">
        <f>+VLOOKUP(F30,Hoja2!$F:$I,3,FALSE)</f>
        <v>7.4 LÍNEA ESTRATÉGICA GESTIÓN DEL RIESGO</v>
      </c>
      <c r="I30" s="2" t="str">
        <f>+VLOOKUP(F30,Hoja2!$F:$I,4,FALSE)</f>
        <v>7.4.3 MANEJO DE DESASTRE</v>
      </c>
      <c r="J30" t="s">
        <v>50</v>
      </c>
      <c r="K30" t="str">
        <f>"840"</f>
        <v>840</v>
      </c>
      <c r="L30" t="s">
        <v>74</v>
      </c>
      <c r="M30" t="s">
        <v>26</v>
      </c>
      <c r="N30" t="s">
        <v>27</v>
      </c>
      <c r="O30" t="s">
        <v>54</v>
      </c>
      <c r="P30" t="str">
        <f t="shared" si="3"/>
        <v>2020130010033 CONTROL DE LOS RIESGOS EN NUESTRO TERRITORIO  CARTAGENA DE INDIAS</v>
      </c>
      <c r="Q30" t="str">
        <f t="shared" si="0"/>
        <v>06</v>
      </c>
      <c r="R30" t="str">
        <f t="shared" si="1"/>
        <v>00</v>
      </c>
      <c r="S30" s="1">
        <v>0</v>
      </c>
      <c r="T30" s="1">
        <v>131372954.40000001</v>
      </c>
      <c r="U30" s="1">
        <v>131372954.40000001</v>
      </c>
      <c r="V30" s="1">
        <v>131372954.40000001</v>
      </c>
      <c r="W30" s="1">
        <v>0</v>
      </c>
      <c r="X30" s="1">
        <v>131372954.40000001</v>
      </c>
      <c r="Y30" s="1">
        <v>100</v>
      </c>
      <c r="Z30" s="1">
        <v>0</v>
      </c>
      <c r="AA30" s="1">
        <v>0</v>
      </c>
      <c r="AB30" s="1">
        <v>0</v>
      </c>
      <c r="AC30" s="1">
        <v>0</v>
      </c>
    </row>
    <row r="31" spans="1:29" x14ac:dyDescent="0.3">
      <c r="A31">
        <v>2022</v>
      </c>
      <c r="B31">
        <v>100</v>
      </c>
      <c r="C31" t="str">
        <f t="shared" si="5"/>
        <v>01</v>
      </c>
      <c r="D31" t="s">
        <v>23</v>
      </c>
      <c r="E31" t="str">
        <f t="shared" si="2"/>
        <v>01 DESPACHO DEL ALCALDE</v>
      </c>
      <c r="F31" s="2">
        <v>2020130010033</v>
      </c>
      <c r="G31" s="2" t="str">
        <f>+VLOOKUP(F31,Hoja2!$F:$I,2,FALSE)</f>
        <v>07. PILAR CARTAGENA RESILIENTE</v>
      </c>
      <c r="H31" s="2" t="str">
        <f>+VLOOKUP(F31,Hoja2!$F:$I,3,FALSE)</f>
        <v>7.4 LÍNEA ESTRATÉGICA GESTIÓN DEL RIESGO</v>
      </c>
      <c r="I31" s="2" t="str">
        <f>+VLOOKUP(F31,Hoja2!$F:$I,4,FALSE)</f>
        <v>7.4.3 MANEJO DE DESASTRE</v>
      </c>
      <c r="J31" t="s">
        <v>50</v>
      </c>
      <c r="K31" t="str">
        <f>"852"</f>
        <v>852</v>
      </c>
      <c r="L31" t="s">
        <v>76</v>
      </c>
      <c r="M31" t="s">
        <v>26</v>
      </c>
      <c r="N31" t="s">
        <v>27</v>
      </c>
      <c r="O31" t="s">
        <v>54</v>
      </c>
      <c r="P31" t="str">
        <f t="shared" si="3"/>
        <v>2020130010033 CONTROL DE LOS RIESGOS EN NUESTRO TERRITORIO  CARTAGENA DE INDIAS</v>
      </c>
      <c r="Q31" t="str">
        <f t="shared" si="0"/>
        <v>06</v>
      </c>
      <c r="R31" t="str">
        <f t="shared" si="1"/>
        <v>00</v>
      </c>
      <c r="S31" s="1">
        <v>0</v>
      </c>
      <c r="T31" s="1">
        <v>400000000</v>
      </c>
      <c r="U31" s="1">
        <v>400000000</v>
      </c>
      <c r="V31" s="1">
        <v>400000000</v>
      </c>
      <c r="W31" s="1">
        <v>0</v>
      </c>
      <c r="X31" s="1">
        <v>400000000</v>
      </c>
      <c r="Y31" s="1">
        <v>100</v>
      </c>
      <c r="Z31" s="1">
        <v>0</v>
      </c>
      <c r="AA31" s="1">
        <v>0</v>
      </c>
      <c r="AB31" s="1">
        <v>0</v>
      </c>
      <c r="AC31" s="1">
        <v>0</v>
      </c>
    </row>
    <row r="32" spans="1:29" x14ac:dyDescent="0.3">
      <c r="A32">
        <v>2022</v>
      </c>
      <c r="B32">
        <v>100</v>
      </c>
      <c r="C32" t="str">
        <f t="shared" si="5"/>
        <v>01</v>
      </c>
      <c r="D32" t="s">
        <v>23</v>
      </c>
      <c r="E32" t="str">
        <f t="shared" si="2"/>
        <v>01 DESPACHO DEL ALCALDE</v>
      </c>
      <c r="F32" s="2">
        <v>2020130010033</v>
      </c>
      <c r="G32" s="2" t="str">
        <f>+VLOOKUP(F32,Hoja2!$F:$I,2,FALSE)</f>
        <v>07. PILAR CARTAGENA RESILIENTE</v>
      </c>
      <c r="H32" s="2" t="str">
        <f>+VLOOKUP(F32,Hoja2!$F:$I,3,FALSE)</f>
        <v>7.4 LÍNEA ESTRATÉGICA GESTIÓN DEL RIESGO</v>
      </c>
      <c r="I32" s="2" t="str">
        <f>+VLOOKUP(F32,Hoja2!$F:$I,4,FALSE)</f>
        <v>7.4.3 MANEJO DE DESASTRE</v>
      </c>
      <c r="J32" t="s">
        <v>50</v>
      </c>
      <c r="K32" t="str">
        <f>"922"</f>
        <v>922</v>
      </c>
      <c r="L32" t="s">
        <v>78</v>
      </c>
      <c r="M32" t="s">
        <v>26</v>
      </c>
      <c r="N32" t="s">
        <v>27</v>
      </c>
      <c r="O32" t="s">
        <v>54</v>
      </c>
      <c r="P32" t="str">
        <f t="shared" si="3"/>
        <v>2020130010033 CONTROL DE LOS RIESGOS EN NUESTRO TERRITORIO  CARTAGENA DE INDIAS</v>
      </c>
      <c r="Q32" t="str">
        <f t="shared" si="0"/>
        <v>06</v>
      </c>
      <c r="R32" t="str">
        <f t="shared" si="1"/>
        <v>00</v>
      </c>
      <c r="S32" s="1">
        <v>0</v>
      </c>
      <c r="T32" s="1">
        <v>408450013.44</v>
      </c>
      <c r="U32" s="1">
        <v>408450013.44</v>
      </c>
      <c r="V32" s="1">
        <v>408450013.44</v>
      </c>
      <c r="W32" s="1">
        <v>0</v>
      </c>
      <c r="X32" s="1">
        <v>408450013.44</v>
      </c>
      <c r="Y32" s="1">
        <v>100</v>
      </c>
      <c r="Z32" s="1">
        <v>0</v>
      </c>
      <c r="AA32" s="1">
        <v>0</v>
      </c>
      <c r="AB32" s="1">
        <v>0</v>
      </c>
      <c r="AC32" s="1">
        <v>0</v>
      </c>
    </row>
    <row r="33" spans="1:29" x14ac:dyDescent="0.3">
      <c r="A33">
        <v>2022</v>
      </c>
      <c r="B33">
        <v>100</v>
      </c>
      <c r="C33" t="str">
        <f t="shared" si="5"/>
        <v>01</v>
      </c>
      <c r="D33" t="s">
        <v>23</v>
      </c>
      <c r="E33" t="str">
        <f t="shared" si="2"/>
        <v>01 DESPACHO DEL ALCALDE</v>
      </c>
      <c r="F33" s="2">
        <v>2020130010033</v>
      </c>
      <c r="G33" s="2" t="str">
        <f>+VLOOKUP(F33,Hoja2!$F:$I,2,FALSE)</f>
        <v>07. PILAR CARTAGENA RESILIENTE</v>
      </c>
      <c r="H33" s="2" t="str">
        <f>+VLOOKUP(F33,Hoja2!$F:$I,3,FALSE)</f>
        <v>7.4 LÍNEA ESTRATÉGICA GESTIÓN DEL RIESGO</v>
      </c>
      <c r="I33" s="2" t="str">
        <f>+VLOOKUP(F33,Hoja2!$F:$I,4,FALSE)</f>
        <v>7.4.3 MANEJO DE DESASTRE</v>
      </c>
      <c r="J33" t="s">
        <v>50</v>
      </c>
      <c r="K33" t="str">
        <f>"806"</f>
        <v>806</v>
      </c>
      <c r="L33" t="s">
        <v>81</v>
      </c>
      <c r="M33" t="s">
        <v>26</v>
      </c>
      <c r="N33" t="s">
        <v>27</v>
      </c>
      <c r="O33" t="s">
        <v>54</v>
      </c>
      <c r="P33" t="str">
        <f t="shared" si="3"/>
        <v>2020130010033 CONTROL DE LOS RIESGOS EN NUESTRO TERRITORIO  CARTAGENA DE INDIAS</v>
      </c>
      <c r="Q33" t="str">
        <f t="shared" si="0"/>
        <v>06</v>
      </c>
      <c r="R33" t="str">
        <f t="shared" si="1"/>
        <v>00</v>
      </c>
      <c r="S33" s="1">
        <v>0</v>
      </c>
      <c r="T33" s="1">
        <v>17800585.260000002</v>
      </c>
      <c r="U33" s="1">
        <v>17800585.260000002</v>
      </c>
      <c r="V33" s="1">
        <v>17800585.260000002</v>
      </c>
      <c r="W33" s="1">
        <v>0</v>
      </c>
      <c r="X33" s="1">
        <v>17800585.260000002</v>
      </c>
      <c r="Y33" s="1">
        <v>100</v>
      </c>
      <c r="Z33" s="1">
        <v>0</v>
      </c>
      <c r="AA33" s="1">
        <v>0</v>
      </c>
      <c r="AB33" s="1">
        <v>0</v>
      </c>
      <c r="AC33" s="1">
        <v>0</v>
      </c>
    </row>
    <row r="34" spans="1:29" x14ac:dyDescent="0.3">
      <c r="A34">
        <v>2022</v>
      </c>
      <c r="B34">
        <v>100</v>
      </c>
      <c r="C34" t="str">
        <f t="shared" si="5"/>
        <v>01</v>
      </c>
      <c r="D34" t="s">
        <v>23</v>
      </c>
      <c r="E34" t="str">
        <f t="shared" si="2"/>
        <v>01 DESPACHO DEL ALCALDE</v>
      </c>
      <c r="F34" s="2">
        <v>2020130010033</v>
      </c>
      <c r="G34" s="2" t="str">
        <f>+VLOOKUP(F34,Hoja2!$F:$I,2,FALSE)</f>
        <v>07. PILAR CARTAGENA RESILIENTE</v>
      </c>
      <c r="H34" s="2" t="str">
        <f>+VLOOKUP(F34,Hoja2!$F:$I,3,FALSE)</f>
        <v>7.4 LÍNEA ESTRATÉGICA GESTIÓN DEL RIESGO</v>
      </c>
      <c r="I34" s="2" t="str">
        <f>+VLOOKUP(F34,Hoja2!$F:$I,4,FALSE)</f>
        <v>7.4.3 MANEJO DE DESASTRE</v>
      </c>
      <c r="J34" t="s">
        <v>50</v>
      </c>
      <c r="K34" t="str">
        <f>"807"</f>
        <v>807</v>
      </c>
      <c r="L34" t="s">
        <v>82</v>
      </c>
      <c r="M34" t="s">
        <v>26</v>
      </c>
      <c r="N34" t="s">
        <v>27</v>
      </c>
      <c r="O34" t="s">
        <v>54</v>
      </c>
      <c r="P34" t="str">
        <f t="shared" si="3"/>
        <v>2020130010033 CONTROL DE LOS RIESGOS EN NUESTRO TERRITORIO  CARTAGENA DE INDIAS</v>
      </c>
      <c r="Q34" t="str">
        <f t="shared" si="0"/>
        <v>06</v>
      </c>
      <c r="R34" t="str">
        <f t="shared" si="1"/>
        <v>00</v>
      </c>
      <c r="S34" s="1">
        <v>0</v>
      </c>
      <c r="T34" s="1">
        <v>783735912.27999997</v>
      </c>
      <c r="U34" s="1">
        <v>783735912.27999997</v>
      </c>
      <c r="V34" s="1">
        <v>783735912.27999997</v>
      </c>
      <c r="W34" s="1">
        <v>0</v>
      </c>
      <c r="X34" s="1">
        <v>735833492.27999997</v>
      </c>
      <c r="Y34" s="1">
        <v>93.89</v>
      </c>
      <c r="Z34" s="1">
        <v>454154330</v>
      </c>
      <c r="AA34" s="1">
        <v>57.95</v>
      </c>
      <c r="AB34" s="1">
        <v>47902420</v>
      </c>
      <c r="AC34" s="1">
        <v>454154330</v>
      </c>
    </row>
    <row r="35" spans="1:29" x14ac:dyDescent="0.3">
      <c r="A35">
        <v>2022</v>
      </c>
      <c r="B35">
        <v>100</v>
      </c>
      <c r="C35" t="str">
        <f t="shared" si="5"/>
        <v>01</v>
      </c>
      <c r="D35" t="s">
        <v>23</v>
      </c>
      <c r="E35" t="str">
        <f t="shared" si="2"/>
        <v>01 DESPACHO DEL ALCALDE</v>
      </c>
      <c r="F35" s="2">
        <v>2020130010033</v>
      </c>
      <c r="G35" s="2" t="str">
        <f>+VLOOKUP(F35,Hoja2!$F:$I,2,FALSE)</f>
        <v>07. PILAR CARTAGENA RESILIENTE</v>
      </c>
      <c r="H35" s="2" t="str">
        <f>+VLOOKUP(F35,Hoja2!$F:$I,3,FALSE)</f>
        <v>7.4 LÍNEA ESTRATÉGICA GESTIÓN DEL RIESGO</v>
      </c>
      <c r="I35" s="2" t="str">
        <f>+VLOOKUP(F35,Hoja2!$F:$I,4,FALSE)</f>
        <v>7.4.3 MANEJO DE DESASTRE</v>
      </c>
      <c r="J35" t="s">
        <v>50</v>
      </c>
      <c r="K35" t="str">
        <f>"810"</f>
        <v>810</v>
      </c>
      <c r="L35" t="s">
        <v>83</v>
      </c>
      <c r="M35" t="s">
        <v>26</v>
      </c>
      <c r="N35" t="s">
        <v>27</v>
      </c>
      <c r="O35" t="s">
        <v>54</v>
      </c>
      <c r="P35" t="str">
        <f t="shared" si="3"/>
        <v>2020130010033 CONTROL DE LOS RIESGOS EN NUESTRO TERRITORIO  CARTAGENA DE INDIAS</v>
      </c>
      <c r="Q35" t="str">
        <f t="shared" si="0"/>
        <v>06</v>
      </c>
      <c r="R35" t="str">
        <f t="shared" si="1"/>
        <v>00</v>
      </c>
      <c r="S35" s="1">
        <v>0</v>
      </c>
      <c r="T35" s="1">
        <v>2868205.18</v>
      </c>
      <c r="U35" s="1">
        <v>2868205.18</v>
      </c>
      <c r="V35" s="1">
        <v>2868205.18</v>
      </c>
      <c r="W35" s="1">
        <v>0</v>
      </c>
      <c r="X35" s="1">
        <v>2868205.18</v>
      </c>
      <c r="Y35" s="1">
        <v>100</v>
      </c>
      <c r="Z35" s="1">
        <v>0</v>
      </c>
      <c r="AA35" s="1">
        <v>0</v>
      </c>
      <c r="AB35" s="1">
        <v>0</v>
      </c>
      <c r="AC35" s="1">
        <v>0</v>
      </c>
    </row>
    <row r="36" spans="1:29" x14ac:dyDescent="0.3">
      <c r="A36">
        <v>2022</v>
      </c>
      <c r="B36">
        <v>100</v>
      </c>
      <c r="C36" t="str">
        <f t="shared" si="5"/>
        <v>01</v>
      </c>
      <c r="D36" t="s">
        <v>23</v>
      </c>
      <c r="E36" t="str">
        <f t="shared" si="2"/>
        <v>01 DESPACHO DEL ALCALDE</v>
      </c>
      <c r="F36" s="2">
        <v>2020130010033</v>
      </c>
      <c r="G36" s="2" t="str">
        <f>+VLOOKUP(F36,Hoja2!$F:$I,2,FALSE)</f>
        <v>07. PILAR CARTAGENA RESILIENTE</v>
      </c>
      <c r="H36" s="2" t="str">
        <f>+VLOOKUP(F36,Hoja2!$F:$I,3,FALSE)</f>
        <v>7.4 LÍNEA ESTRATÉGICA GESTIÓN DEL RIESGO</v>
      </c>
      <c r="I36" s="2" t="str">
        <f>+VLOOKUP(F36,Hoja2!$F:$I,4,FALSE)</f>
        <v>7.4.3 MANEJO DE DESASTRE</v>
      </c>
      <c r="J36" t="s">
        <v>50</v>
      </c>
      <c r="K36" t="str">
        <f>"811"</f>
        <v>811</v>
      </c>
      <c r="L36" t="s">
        <v>84</v>
      </c>
      <c r="M36" t="s">
        <v>26</v>
      </c>
      <c r="N36" t="s">
        <v>27</v>
      </c>
      <c r="O36" t="s">
        <v>54</v>
      </c>
      <c r="P36" t="str">
        <f t="shared" si="3"/>
        <v>2020130010033 CONTROL DE LOS RIESGOS EN NUESTRO TERRITORIO  CARTAGENA DE INDIAS</v>
      </c>
      <c r="Q36" t="str">
        <f t="shared" si="0"/>
        <v>06</v>
      </c>
      <c r="R36" t="str">
        <f t="shared" si="1"/>
        <v>00</v>
      </c>
      <c r="S36" s="1">
        <v>0</v>
      </c>
      <c r="T36" s="1">
        <v>65564180.5</v>
      </c>
      <c r="U36" s="1">
        <v>65564180.5</v>
      </c>
      <c r="V36" s="1">
        <v>65564180.5</v>
      </c>
      <c r="W36" s="1">
        <v>0</v>
      </c>
      <c r="X36" s="1">
        <v>65564180.5</v>
      </c>
      <c r="Y36" s="1">
        <v>100</v>
      </c>
      <c r="Z36" s="1">
        <v>0</v>
      </c>
      <c r="AA36" s="1">
        <v>0</v>
      </c>
      <c r="AB36" s="1">
        <v>0</v>
      </c>
      <c r="AC36" s="1">
        <v>0</v>
      </c>
    </row>
    <row r="37" spans="1:29" x14ac:dyDescent="0.3">
      <c r="A37">
        <v>2022</v>
      </c>
      <c r="B37">
        <v>100</v>
      </c>
      <c r="C37" t="str">
        <f t="shared" si="5"/>
        <v>01</v>
      </c>
      <c r="D37" t="s">
        <v>23</v>
      </c>
      <c r="E37" t="str">
        <f t="shared" si="2"/>
        <v>01 DESPACHO DEL ALCALDE</v>
      </c>
      <c r="F37" s="2">
        <v>2020130010033</v>
      </c>
      <c r="G37" s="2" t="str">
        <f>+VLOOKUP(F37,Hoja2!$F:$I,2,FALSE)</f>
        <v>07. PILAR CARTAGENA RESILIENTE</v>
      </c>
      <c r="H37" s="2" t="str">
        <f>+VLOOKUP(F37,Hoja2!$F:$I,3,FALSE)</f>
        <v>7.4 LÍNEA ESTRATÉGICA GESTIÓN DEL RIESGO</v>
      </c>
      <c r="I37" s="2" t="str">
        <f>+VLOOKUP(F37,Hoja2!$F:$I,4,FALSE)</f>
        <v>7.4.3 MANEJO DE DESASTRE</v>
      </c>
      <c r="J37" t="s">
        <v>50</v>
      </c>
      <c r="K37" t="str">
        <f>"070"</f>
        <v>070</v>
      </c>
      <c r="L37" t="s">
        <v>93</v>
      </c>
      <c r="M37" t="s">
        <v>26</v>
      </c>
      <c r="N37" t="s">
        <v>27</v>
      </c>
      <c r="O37" t="s">
        <v>54</v>
      </c>
      <c r="P37" t="str">
        <f t="shared" si="3"/>
        <v>2020130010033 CONTROL DE LOS RIESGOS EN NUESTRO TERRITORIO  CARTAGENA DE INDIAS</v>
      </c>
      <c r="Q37" t="str">
        <f t="shared" si="0"/>
        <v>06</v>
      </c>
      <c r="R37" t="str">
        <f t="shared" si="1"/>
        <v>00</v>
      </c>
      <c r="S37" s="1">
        <v>410000000</v>
      </c>
      <c r="T37" s="1">
        <v>21752487</v>
      </c>
      <c r="U37" s="1">
        <v>431752487</v>
      </c>
      <c r="V37" s="1">
        <v>431752486.75999999</v>
      </c>
      <c r="W37" s="1">
        <v>0.24</v>
      </c>
      <c r="X37" s="1">
        <v>427709735.72000003</v>
      </c>
      <c r="Y37" s="1">
        <v>99.06</v>
      </c>
      <c r="Z37" s="1">
        <v>320385095.98000002</v>
      </c>
      <c r="AA37" s="1">
        <v>74.209999999999994</v>
      </c>
      <c r="AB37" s="1">
        <v>4042751.28</v>
      </c>
      <c r="AC37" s="1">
        <v>236201890.97999999</v>
      </c>
    </row>
    <row r="38" spans="1:29" x14ac:dyDescent="0.3">
      <c r="A38">
        <v>2022</v>
      </c>
      <c r="B38">
        <v>100</v>
      </c>
      <c r="C38" t="str">
        <f t="shared" si="5"/>
        <v>01</v>
      </c>
      <c r="D38" t="s">
        <v>23</v>
      </c>
      <c r="E38" t="str">
        <f t="shared" si="2"/>
        <v>01 DESPACHO DEL ALCALDE</v>
      </c>
      <c r="F38" s="2">
        <v>2020130010033</v>
      </c>
      <c r="G38" s="2" t="str">
        <f>+VLOOKUP(F38,Hoja2!$F:$I,2,FALSE)</f>
        <v>07. PILAR CARTAGENA RESILIENTE</v>
      </c>
      <c r="H38" s="2" t="str">
        <f>+VLOOKUP(F38,Hoja2!$F:$I,3,FALSE)</f>
        <v>7.4 LÍNEA ESTRATÉGICA GESTIÓN DEL RIESGO</v>
      </c>
      <c r="I38" s="2" t="str">
        <f>+VLOOKUP(F38,Hoja2!$F:$I,4,FALSE)</f>
        <v>7.4.3 MANEJO DE DESASTRE</v>
      </c>
      <c r="J38" t="s">
        <v>50</v>
      </c>
      <c r="K38" t="str">
        <f>"086"</f>
        <v>086</v>
      </c>
      <c r="L38" t="s">
        <v>97</v>
      </c>
      <c r="M38" t="s">
        <v>26</v>
      </c>
      <c r="N38" t="s">
        <v>27</v>
      </c>
      <c r="O38" t="s">
        <v>54</v>
      </c>
      <c r="P38" t="str">
        <f t="shared" si="3"/>
        <v>2020130010033 CONTROL DE LOS RIESGOS EN NUESTRO TERRITORIO  CARTAGENA DE INDIAS</v>
      </c>
      <c r="Q38" t="str">
        <f t="shared" si="0"/>
        <v>06</v>
      </c>
      <c r="R38" t="str">
        <f t="shared" si="1"/>
        <v>00</v>
      </c>
      <c r="S38" s="1">
        <v>1</v>
      </c>
      <c r="T38" s="1">
        <v>0</v>
      </c>
      <c r="U38" s="1">
        <v>1</v>
      </c>
      <c r="V38" s="1">
        <v>0</v>
      </c>
      <c r="W38" s="1">
        <v>1</v>
      </c>
      <c r="X38" s="1">
        <v>0</v>
      </c>
      <c r="Y38" s="1">
        <v>0</v>
      </c>
      <c r="Z38" s="1">
        <v>0</v>
      </c>
      <c r="AA38" s="1">
        <v>0</v>
      </c>
      <c r="AB38" s="1">
        <v>1</v>
      </c>
      <c r="AC38" s="1">
        <v>0</v>
      </c>
    </row>
    <row r="39" spans="1:29" x14ac:dyDescent="0.3">
      <c r="A39">
        <v>2022</v>
      </c>
      <c r="B39">
        <v>100</v>
      </c>
      <c r="C39" t="str">
        <f t="shared" si="5"/>
        <v>01</v>
      </c>
      <c r="D39" t="s">
        <v>23</v>
      </c>
      <c r="E39" t="str">
        <f t="shared" si="2"/>
        <v>01 DESPACHO DEL ALCALDE</v>
      </c>
      <c r="F39" s="2">
        <v>2020130010033</v>
      </c>
      <c r="G39" s="2" t="str">
        <f>+VLOOKUP(F39,Hoja2!$F:$I,2,FALSE)</f>
        <v>07. PILAR CARTAGENA RESILIENTE</v>
      </c>
      <c r="H39" s="2" t="str">
        <f>+VLOOKUP(F39,Hoja2!$F:$I,3,FALSE)</f>
        <v>7.4 LÍNEA ESTRATÉGICA GESTIÓN DEL RIESGO</v>
      </c>
      <c r="I39" s="2" t="str">
        <f>+VLOOKUP(F39,Hoja2!$F:$I,4,FALSE)</f>
        <v>7.4.3 MANEJO DE DESASTRE</v>
      </c>
      <c r="J39" t="s">
        <v>50</v>
      </c>
      <c r="K39" t="str">
        <f>"119"</f>
        <v>119</v>
      </c>
      <c r="L39" t="s">
        <v>99</v>
      </c>
      <c r="M39" t="s">
        <v>26</v>
      </c>
      <c r="N39" t="s">
        <v>27</v>
      </c>
      <c r="O39" t="s">
        <v>54</v>
      </c>
      <c r="P39" t="str">
        <f t="shared" si="3"/>
        <v>2020130010033 CONTROL DE LOS RIESGOS EN NUESTRO TERRITORIO  CARTAGENA DE INDIAS</v>
      </c>
      <c r="Q39" t="str">
        <f t="shared" si="0"/>
        <v>06</v>
      </c>
      <c r="R39" t="str">
        <f t="shared" si="1"/>
        <v>00</v>
      </c>
      <c r="S39" s="1">
        <v>4179924000</v>
      </c>
      <c r="T39" s="1">
        <v>0</v>
      </c>
      <c r="U39" s="1">
        <v>4179924000</v>
      </c>
      <c r="V39" s="1">
        <v>4158287365</v>
      </c>
      <c r="W39" s="1">
        <v>21636635</v>
      </c>
      <c r="X39" s="1">
        <v>3862666719</v>
      </c>
      <c r="Y39" s="1">
        <v>92.41</v>
      </c>
      <c r="Z39" s="1">
        <v>3471333184.9400001</v>
      </c>
      <c r="AA39" s="1">
        <v>83.05</v>
      </c>
      <c r="AB39" s="1">
        <v>317257281</v>
      </c>
      <c r="AC39" s="1">
        <v>3149026995.9400001</v>
      </c>
    </row>
    <row r="40" spans="1:29" x14ac:dyDescent="0.3">
      <c r="A40">
        <v>2022</v>
      </c>
      <c r="B40">
        <v>100</v>
      </c>
      <c r="C40" t="str">
        <f t="shared" si="5"/>
        <v>01</v>
      </c>
      <c r="D40" t="s">
        <v>23</v>
      </c>
      <c r="E40" t="str">
        <f t="shared" si="2"/>
        <v>01 DESPACHO DEL ALCALDE</v>
      </c>
      <c r="F40" s="2">
        <v>2020130010033</v>
      </c>
      <c r="G40" s="2" t="str">
        <f>+VLOOKUP(F40,Hoja2!$F:$I,2,FALSE)</f>
        <v>07. PILAR CARTAGENA RESILIENTE</v>
      </c>
      <c r="H40" s="2" t="str">
        <f>+VLOOKUP(F40,Hoja2!$F:$I,3,FALSE)</f>
        <v>7.4 LÍNEA ESTRATÉGICA GESTIÓN DEL RIESGO</v>
      </c>
      <c r="I40" s="2" t="str">
        <f>+VLOOKUP(F40,Hoja2!$F:$I,4,FALSE)</f>
        <v>7.4.3 MANEJO DE DESASTRE</v>
      </c>
      <c r="J40" t="s">
        <v>50</v>
      </c>
      <c r="K40" t="str">
        <f>"001"</f>
        <v>001</v>
      </c>
      <c r="L40" t="s">
        <v>25</v>
      </c>
      <c r="M40" t="s">
        <v>26</v>
      </c>
      <c r="N40" t="s">
        <v>27</v>
      </c>
      <c r="O40" t="s">
        <v>54</v>
      </c>
      <c r="P40" t="str">
        <f t="shared" si="3"/>
        <v>2020130010033 CONTROL DE LOS RIESGOS EN NUESTRO TERRITORIO  CARTAGENA DE INDIAS</v>
      </c>
      <c r="Q40" t="str">
        <f t="shared" si="0"/>
        <v>06</v>
      </c>
      <c r="R40" t="str">
        <f t="shared" si="1"/>
        <v>00</v>
      </c>
      <c r="S40" s="1">
        <v>219999999</v>
      </c>
      <c r="T40" s="1">
        <v>-120289050</v>
      </c>
      <c r="U40" s="1">
        <v>99710949</v>
      </c>
      <c r="V40" s="1">
        <v>32198937</v>
      </c>
      <c r="W40" s="1">
        <v>67512012</v>
      </c>
      <c r="X40" s="1">
        <v>30776496</v>
      </c>
      <c r="Y40" s="1">
        <v>30.87</v>
      </c>
      <c r="Z40" s="1">
        <v>30776496</v>
      </c>
      <c r="AA40" s="1">
        <v>30.87</v>
      </c>
      <c r="AB40" s="1">
        <v>68934453</v>
      </c>
      <c r="AC40" s="1">
        <v>0</v>
      </c>
    </row>
    <row r="41" spans="1:29" x14ac:dyDescent="0.3">
      <c r="A41">
        <v>2022</v>
      </c>
      <c r="B41">
        <v>100</v>
      </c>
      <c r="C41" t="str">
        <f t="shared" si="5"/>
        <v>01</v>
      </c>
      <c r="D41" t="s">
        <v>23</v>
      </c>
      <c r="E41" t="str">
        <f t="shared" si="2"/>
        <v>01 DESPACHO DEL ALCALDE</v>
      </c>
      <c r="F41" s="2">
        <v>2020130010034</v>
      </c>
      <c r="G41" s="2" t="str">
        <f>+VLOOKUP(F41,Hoja2!$F:$I,2,FALSE)</f>
        <v>07. PILAR CARTAGENA RESILIENTE</v>
      </c>
      <c r="H41" s="2" t="str">
        <f>+VLOOKUP(F41,Hoja2!$F:$I,3,FALSE)</f>
        <v>7.4 LÍNEA ESTRATÉGICA GESTIÓN DEL RIESGO</v>
      </c>
      <c r="I41" s="2" t="str">
        <f>+VLOOKUP(F41,Hoja2!$F:$I,4,FALSE)</f>
        <v>7.4.2 REDUCCIÓN DEL RIESGO</v>
      </c>
      <c r="J41" t="s">
        <v>79</v>
      </c>
      <c r="K41" t="str">
        <f>"922"</f>
        <v>922</v>
      </c>
      <c r="L41" t="s">
        <v>78</v>
      </c>
      <c r="M41" t="s">
        <v>26</v>
      </c>
      <c r="N41" t="s">
        <v>27</v>
      </c>
      <c r="O41" t="s">
        <v>80</v>
      </c>
      <c r="P41" t="str">
        <f t="shared" si="3"/>
        <v>2020130010034 APORTES PARA MITIGAR EL RIESGO EN LAS COMUNIDADES DEL DISTRITO   CARTAGENA DE INDIAS</v>
      </c>
      <c r="Q41" t="str">
        <f t="shared" si="0"/>
        <v>06</v>
      </c>
      <c r="R41" t="str">
        <f t="shared" si="1"/>
        <v>00</v>
      </c>
      <c r="S41" s="1">
        <v>0</v>
      </c>
      <c r="T41" s="1">
        <v>220599901.09999999</v>
      </c>
      <c r="U41" s="1">
        <v>220599901.09999999</v>
      </c>
      <c r="V41" s="1">
        <v>52352250</v>
      </c>
      <c r="W41" s="1">
        <v>168247651.09999999</v>
      </c>
      <c r="X41" s="1">
        <v>50039500</v>
      </c>
      <c r="Y41" s="1">
        <v>22.68</v>
      </c>
      <c r="Z41" s="1">
        <v>50039500</v>
      </c>
      <c r="AA41" s="1">
        <v>22.68</v>
      </c>
      <c r="AB41" s="1">
        <v>170560401.09999999</v>
      </c>
      <c r="AC41" s="1">
        <v>50039500</v>
      </c>
    </row>
    <row r="42" spans="1:29" x14ac:dyDescent="0.3">
      <c r="A42">
        <v>2022</v>
      </c>
      <c r="B42">
        <v>100</v>
      </c>
      <c r="C42" t="str">
        <f t="shared" si="5"/>
        <v>01</v>
      </c>
      <c r="D42" t="s">
        <v>23</v>
      </c>
      <c r="E42" t="str">
        <f t="shared" si="2"/>
        <v>01 DESPACHO DEL ALCALDE</v>
      </c>
      <c r="F42" s="2">
        <v>2020130010034</v>
      </c>
      <c r="G42" s="2" t="str">
        <f>+VLOOKUP(F42,Hoja2!$F:$I,2,FALSE)</f>
        <v>07. PILAR CARTAGENA RESILIENTE</v>
      </c>
      <c r="H42" s="2" t="str">
        <f>+VLOOKUP(F42,Hoja2!$F:$I,3,FALSE)</f>
        <v>7.4 LÍNEA ESTRATÉGICA GESTIÓN DEL RIESGO</v>
      </c>
      <c r="I42" s="2" t="str">
        <f>+VLOOKUP(F42,Hoja2!$F:$I,4,FALSE)</f>
        <v>7.4.2 REDUCCIÓN DEL RIESGO</v>
      </c>
      <c r="J42" t="s">
        <v>79</v>
      </c>
      <c r="K42" t="str">
        <f>"070"</f>
        <v>070</v>
      </c>
      <c r="L42" t="s">
        <v>93</v>
      </c>
      <c r="M42" t="s">
        <v>26</v>
      </c>
      <c r="N42" t="s">
        <v>27</v>
      </c>
      <c r="O42" t="s">
        <v>80</v>
      </c>
      <c r="P42" t="str">
        <f t="shared" si="3"/>
        <v>2020130010034 APORTES PARA MITIGAR EL RIESGO EN LAS COMUNIDADES DEL DISTRITO   CARTAGENA DE INDIAS</v>
      </c>
      <c r="Q42" t="str">
        <f t="shared" si="0"/>
        <v>06</v>
      </c>
      <c r="R42" t="str">
        <f t="shared" si="1"/>
        <v>00</v>
      </c>
      <c r="S42" s="1">
        <v>390245667</v>
      </c>
      <c r="T42" s="1">
        <v>0</v>
      </c>
      <c r="U42" s="1">
        <v>390245667</v>
      </c>
      <c r="V42" s="1">
        <v>360176751.19999999</v>
      </c>
      <c r="W42" s="1">
        <v>30068915.800000001</v>
      </c>
      <c r="X42" s="1">
        <v>350321433</v>
      </c>
      <c r="Y42" s="1">
        <v>89.77</v>
      </c>
      <c r="Z42" s="1">
        <v>225576850</v>
      </c>
      <c r="AA42" s="1">
        <v>57.8</v>
      </c>
      <c r="AB42" s="1">
        <v>39924234</v>
      </c>
      <c r="AC42" s="1">
        <v>225576850</v>
      </c>
    </row>
    <row r="43" spans="1:29" x14ac:dyDescent="0.3">
      <c r="A43">
        <v>2022</v>
      </c>
      <c r="B43">
        <v>100</v>
      </c>
      <c r="C43" t="str">
        <f t="shared" si="5"/>
        <v>01</v>
      </c>
      <c r="D43" t="s">
        <v>23</v>
      </c>
      <c r="E43" t="str">
        <f t="shared" si="2"/>
        <v>01 DESPACHO DEL ALCALDE</v>
      </c>
      <c r="F43" s="2">
        <v>2020130010034</v>
      </c>
      <c r="G43" s="2" t="str">
        <f>+VLOOKUP(F43,Hoja2!$F:$I,2,FALSE)</f>
        <v>07. PILAR CARTAGENA RESILIENTE</v>
      </c>
      <c r="H43" s="2" t="str">
        <f>+VLOOKUP(F43,Hoja2!$F:$I,3,FALSE)</f>
        <v>7.4 LÍNEA ESTRATÉGICA GESTIÓN DEL RIESGO</v>
      </c>
      <c r="I43" s="2" t="str">
        <f>+VLOOKUP(F43,Hoja2!$F:$I,4,FALSE)</f>
        <v>7.4.2 REDUCCIÓN DEL RIESGO</v>
      </c>
      <c r="J43" t="s">
        <v>79</v>
      </c>
      <c r="K43" t="str">
        <f>"119"</f>
        <v>119</v>
      </c>
      <c r="L43" t="s">
        <v>99</v>
      </c>
      <c r="M43" t="s">
        <v>26</v>
      </c>
      <c r="N43" t="s">
        <v>27</v>
      </c>
      <c r="O43" t="s">
        <v>80</v>
      </c>
      <c r="P43" t="str">
        <f t="shared" si="3"/>
        <v>2020130010034 APORTES PARA MITIGAR EL RIESGO EN LAS COMUNIDADES DEL DISTRITO   CARTAGENA DE INDIAS</v>
      </c>
      <c r="Q43" t="str">
        <f t="shared" si="0"/>
        <v>06</v>
      </c>
      <c r="R43" t="str">
        <f t="shared" si="1"/>
        <v>00</v>
      </c>
      <c r="S43" s="1">
        <v>878000000</v>
      </c>
      <c r="T43" s="1">
        <v>974572155</v>
      </c>
      <c r="U43" s="1">
        <v>1852572155</v>
      </c>
      <c r="V43" s="1">
        <v>1402572155</v>
      </c>
      <c r="W43" s="1">
        <v>450000000</v>
      </c>
      <c r="X43" s="1">
        <v>1382732154</v>
      </c>
      <c r="Y43" s="1">
        <v>74.64</v>
      </c>
      <c r="Z43" s="1">
        <v>1382732154</v>
      </c>
      <c r="AA43" s="1">
        <v>74.64</v>
      </c>
      <c r="AB43" s="1">
        <v>469840001</v>
      </c>
      <c r="AC43" s="1">
        <v>1378332154</v>
      </c>
    </row>
    <row r="44" spans="1:29" x14ac:dyDescent="0.3">
      <c r="A44">
        <v>2022</v>
      </c>
      <c r="B44">
        <v>100</v>
      </c>
      <c r="C44" t="str">
        <f t="shared" si="5"/>
        <v>01</v>
      </c>
      <c r="D44" t="s">
        <v>23</v>
      </c>
      <c r="E44" t="str">
        <f t="shared" si="2"/>
        <v>01 DESPACHO DEL ALCALDE</v>
      </c>
      <c r="F44" s="2">
        <v>2020130010034</v>
      </c>
      <c r="G44" s="2" t="str">
        <f>+VLOOKUP(F44,Hoja2!$F:$I,2,FALSE)</f>
        <v>07. PILAR CARTAGENA RESILIENTE</v>
      </c>
      <c r="H44" s="2" t="str">
        <f>+VLOOKUP(F44,Hoja2!$F:$I,3,FALSE)</f>
        <v>7.4 LÍNEA ESTRATÉGICA GESTIÓN DEL RIESGO</v>
      </c>
      <c r="I44" s="2" t="str">
        <f>+VLOOKUP(F44,Hoja2!$F:$I,4,FALSE)</f>
        <v>7.4.2 REDUCCIÓN DEL RIESGO</v>
      </c>
      <c r="J44" t="s">
        <v>79</v>
      </c>
      <c r="K44" t="str">
        <f>"001"</f>
        <v>001</v>
      </c>
      <c r="L44" t="s">
        <v>25</v>
      </c>
      <c r="M44" t="s">
        <v>26</v>
      </c>
      <c r="N44" t="s">
        <v>27</v>
      </c>
      <c r="O44" t="s">
        <v>80</v>
      </c>
      <c r="P44" t="str">
        <f t="shared" si="3"/>
        <v>2020130010034 APORTES PARA MITIGAR EL RIESGO EN LAS COMUNIDADES DEL DISTRITO   CARTAGENA DE INDIAS</v>
      </c>
      <c r="Q44" t="str">
        <f t="shared" si="0"/>
        <v>06</v>
      </c>
      <c r="R44" t="str">
        <f t="shared" si="1"/>
        <v>00</v>
      </c>
      <c r="S44" s="1">
        <v>520704000</v>
      </c>
      <c r="T44" s="1">
        <v>-260414949</v>
      </c>
      <c r="U44" s="1">
        <v>260289051</v>
      </c>
      <c r="V44" s="1">
        <v>251257263.5</v>
      </c>
      <c r="W44" s="1">
        <v>9031787.5</v>
      </c>
      <c r="X44" s="1">
        <v>227133124.19999999</v>
      </c>
      <c r="Y44" s="1">
        <v>87.26</v>
      </c>
      <c r="Z44" s="1">
        <v>137949955.59</v>
      </c>
      <c r="AA44" s="1">
        <v>53</v>
      </c>
      <c r="AB44" s="1">
        <v>33155926.800000001</v>
      </c>
      <c r="AC44" s="1">
        <v>57078957.200000003</v>
      </c>
    </row>
    <row r="45" spans="1:29" x14ac:dyDescent="0.3">
      <c r="A45">
        <v>2022</v>
      </c>
      <c r="B45">
        <v>100</v>
      </c>
      <c r="C45" t="str">
        <f t="shared" si="5"/>
        <v>01</v>
      </c>
      <c r="D45" t="s">
        <v>23</v>
      </c>
      <c r="E45" t="str">
        <f t="shared" si="2"/>
        <v>01 DESPACHO DEL ALCALDE</v>
      </c>
      <c r="F45" s="2">
        <v>2020130010036</v>
      </c>
      <c r="G45" s="2" t="str">
        <f>+VLOOKUP(F45,Hoja2!$F:$I,2,FALSE)</f>
        <v>08. PILAR CARTAGENA INCLUYENTE</v>
      </c>
      <c r="H45" s="2" t="str">
        <f>+VLOOKUP(F45,Hoja2!$F:$I,3,FALSE)</f>
        <v xml:space="preserve">8.4 LÍNEA ESTRATÉGICA DEPORTE Y RECREACIÓN PARA LA TRANSFORMACION SOCIAL </v>
      </c>
      <c r="I45" s="2" t="str">
        <f>+VLOOKUP(F45,Hoja2!$F:$I,4,FALSE)</f>
        <v>8.4.7 ADMINISTRACION, MANTENIMIENTO, ADECUACION, MEJORAMIENTO Y CONSTRUCCION DE ESCENARIOS DEPORTIVOS</v>
      </c>
      <c r="J45" t="s">
        <v>85</v>
      </c>
      <c r="K45" t="str">
        <f>"001"</f>
        <v>001</v>
      </c>
      <c r="L45" t="s">
        <v>25</v>
      </c>
      <c r="M45" t="s">
        <v>26</v>
      </c>
      <c r="N45" t="s">
        <v>27</v>
      </c>
      <c r="O45" t="s">
        <v>86</v>
      </c>
      <c r="P45" t="str">
        <f t="shared" si="3"/>
        <v>2020130010036 CONSERVACION , MANTENIMIENTO CONSERVACION, MANTENIMIENTO Y MEJORAMIENTO DE LOS ESCENARIOS DEPORTIVOS DE LA CIUDAD COMO ESTRATEGIA DE PRESERVACION DEL PATRIMONIO MATERIAL DEL DISTRITO DE CARTAGENA DE INDIAS</v>
      </c>
      <c r="Q45" t="str">
        <f t="shared" si="0"/>
        <v>06</v>
      </c>
      <c r="R45" t="str">
        <f t="shared" si="1"/>
        <v>00</v>
      </c>
      <c r="S45" s="1">
        <v>0</v>
      </c>
      <c r="T45" s="1">
        <v>3311507151.29</v>
      </c>
      <c r="U45" s="1">
        <v>3311507151.29</v>
      </c>
      <c r="V45" s="1">
        <v>3311507151.29</v>
      </c>
      <c r="W45" s="1">
        <v>0</v>
      </c>
      <c r="X45" s="1">
        <v>3311507151.29</v>
      </c>
      <c r="Y45" s="1">
        <v>100</v>
      </c>
      <c r="Z45" s="1">
        <v>3311507151.29</v>
      </c>
      <c r="AA45" s="1">
        <v>100</v>
      </c>
      <c r="AB45" s="1">
        <v>0</v>
      </c>
      <c r="AC45" s="1">
        <v>3311507151.29</v>
      </c>
    </row>
    <row r="46" spans="1:29" x14ac:dyDescent="0.3">
      <c r="A46">
        <v>2022</v>
      </c>
      <c r="B46">
        <v>100</v>
      </c>
      <c r="C46" t="str">
        <f t="shared" ref="C46:C55" si="6">"15"</f>
        <v>15</v>
      </c>
      <c r="D46" t="s">
        <v>793</v>
      </c>
      <c r="E46" t="str">
        <f t="shared" si="2"/>
        <v>15 INSTITUTO DE DEPORTE Y RECREACION</v>
      </c>
      <c r="F46" s="2">
        <v>2020130010036</v>
      </c>
      <c r="G46" s="2" t="str">
        <f>+VLOOKUP(F46,Hoja2!$F:$I,2,FALSE)</f>
        <v>08. PILAR CARTAGENA INCLUYENTE</v>
      </c>
      <c r="H46" s="2" t="str">
        <f>+VLOOKUP(F46,Hoja2!$F:$I,3,FALSE)</f>
        <v xml:space="preserve">8.4 LÍNEA ESTRATÉGICA DEPORTE Y RECREACIÓN PARA LA TRANSFORMACION SOCIAL </v>
      </c>
      <c r="I46" s="2" t="str">
        <f>+VLOOKUP(F46,Hoja2!$F:$I,4,FALSE)</f>
        <v>8.4.7 ADMINISTRACION, MANTENIMIENTO, ADECUACION, MEJORAMIENTO Y CONSTRUCCION DE ESCENARIOS DEPORTIVOS</v>
      </c>
      <c r="J46" t="s">
        <v>85</v>
      </c>
      <c r="K46" t="str">
        <f>"834"</f>
        <v>834</v>
      </c>
      <c r="L46" t="s">
        <v>794</v>
      </c>
      <c r="M46" t="s">
        <v>26</v>
      </c>
      <c r="N46" t="s">
        <v>27</v>
      </c>
      <c r="O46" t="s">
        <v>795</v>
      </c>
      <c r="P46" t="str">
        <f t="shared" si="3"/>
        <v>2020130010036 CONSERVACION, MANTENIMIENTO Y MEJORAMIENTO DE LOS ESCENARIOS DEPORTIVOS DE LA CIUDAD COMO ESTRATEGIA DE PRESERVACION DEL PATRIMONIO MATERIAL DEL DISTRITO DE   CARTAGENA DE INDIAS</v>
      </c>
      <c r="Q46" t="str">
        <f t="shared" si="0"/>
        <v>06</v>
      </c>
      <c r="R46" t="str">
        <f t="shared" si="1"/>
        <v>00</v>
      </c>
      <c r="S46" s="1">
        <v>0</v>
      </c>
      <c r="T46" s="1">
        <v>893992064.37</v>
      </c>
      <c r="U46" s="1">
        <v>893992064.37</v>
      </c>
      <c r="V46" s="1">
        <v>893992064</v>
      </c>
      <c r="W46" s="1">
        <v>0.37</v>
      </c>
      <c r="X46" s="1">
        <v>893992064</v>
      </c>
      <c r="Y46" s="1">
        <v>100</v>
      </c>
      <c r="Z46" s="1">
        <v>893992064</v>
      </c>
      <c r="AA46" s="1">
        <v>100</v>
      </c>
      <c r="AB46" s="1">
        <v>0.37</v>
      </c>
      <c r="AC46" s="1">
        <v>893992064</v>
      </c>
    </row>
    <row r="47" spans="1:29" x14ac:dyDescent="0.3">
      <c r="A47">
        <v>2022</v>
      </c>
      <c r="B47">
        <v>100</v>
      </c>
      <c r="C47" t="str">
        <f t="shared" si="6"/>
        <v>15</v>
      </c>
      <c r="D47" t="s">
        <v>793</v>
      </c>
      <c r="E47" t="str">
        <f t="shared" si="2"/>
        <v>15 INSTITUTO DE DEPORTE Y RECREACION</v>
      </c>
      <c r="F47" s="2">
        <v>2020130010036</v>
      </c>
      <c r="G47" s="2" t="str">
        <f>+VLOOKUP(F47,Hoja2!$F:$I,2,FALSE)</f>
        <v>08. PILAR CARTAGENA INCLUYENTE</v>
      </c>
      <c r="H47" s="2" t="str">
        <f>+VLOOKUP(F47,Hoja2!$F:$I,3,FALSE)</f>
        <v xml:space="preserve">8.4 LÍNEA ESTRATÉGICA DEPORTE Y RECREACIÓN PARA LA TRANSFORMACION SOCIAL </v>
      </c>
      <c r="I47" s="2" t="str">
        <f>+VLOOKUP(F47,Hoja2!$F:$I,4,FALSE)</f>
        <v>8.4.7 ADMINISTRACION, MANTENIMIENTO, ADECUACION, MEJORAMIENTO Y CONSTRUCCION DE ESCENARIOS DEPORTIVOS</v>
      </c>
      <c r="J47" t="s">
        <v>85</v>
      </c>
      <c r="K47" t="str">
        <f>"841"</f>
        <v>841</v>
      </c>
      <c r="L47" t="s">
        <v>796</v>
      </c>
      <c r="M47" t="s">
        <v>26</v>
      </c>
      <c r="N47" t="s">
        <v>27</v>
      </c>
      <c r="O47" t="s">
        <v>795</v>
      </c>
      <c r="P47" t="str">
        <f t="shared" si="3"/>
        <v>2020130010036 CONSERVACION, MANTENIMIENTO Y MEJORAMIENTO DE LOS ESCENARIOS DEPORTIVOS DE LA CIUDAD COMO ESTRATEGIA DE PRESERVACION DEL PATRIMONIO MATERIAL DEL DISTRITO DE   CARTAGENA DE INDIAS</v>
      </c>
      <c r="Q47" t="str">
        <f t="shared" si="0"/>
        <v>06</v>
      </c>
      <c r="R47" t="str">
        <f t="shared" si="1"/>
        <v>00</v>
      </c>
      <c r="S47" s="1">
        <v>0</v>
      </c>
      <c r="T47" s="1">
        <v>801289815.91999996</v>
      </c>
      <c r="U47" s="1">
        <v>801289815.91999996</v>
      </c>
      <c r="V47" s="1">
        <v>559357977</v>
      </c>
      <c r="W47" s="1">
        <v>241931838.91999999</v>
      </c>
      <c r="X47" s="1">
        <v>559357977</v>
      </c>
      <c r="Y47" s="1">
        <v>69.81</v>
      </c>
      <c r="Z47" s="1">
        <v>559357977</v>
      </c>
      <c r="AA47" s="1">
        <v>69.81</v>
      </c>
      <c r="AB47" s="1">
        <v>241931838.91999999</v>
      </c>
      <c r="AC47" s="1">
        <v>285393714</v>
      </c>
    </row>
    <row r="48" spans="1:29" x14ac:dyDescent="0.3">
      <c r="A48">
        <v>2022</v>
      </c>
      <c r="B48">
        <v>100</v>
      </c>
      <c r="C48" t="str">
        <f t="shared" si="6"/>
        <v>15</v>
      </c>
      <c r="D48" t="s">
        <v>793</v>
      </c>
      <c r="E48" t="str">
        <f t="shared" si="2"/>
        <v>15 INSTITUTO DE DEPORTE Y RECREACION</v>
      </c>
      <c r="F48" s="2">
        <v>2020130010036</v>
      </c>
      <c r="G48" s="2" t="str">
        <f>+VLOOKUP(F48,Hoja2!$F:$I,2,FALSE)</f>
        <v>08. PILAR CARTAGENA INCLUYENTE</v>
      </c>
      <c r="H48" s="2" t="str">
        <f>+VLOOKUP(F48,Hoja2!$F:$I,3,FALSE)</f>
        <v xml:space="preserve">8.4 LÍNEA ESTRATÉGICA DEPORTE Y RECREACIÓN PARA LA TRANSFORMACION SOCIAL </v>
      </c>
      <c r="I48" s="2" t="str">
        <f>+VLOOKUP(F48,Hoja2!$F:$I,4,FALSE)</f>
        <v>8.4.7 ADMINISTRACION, MANTENIMIENTO, ADECUACION, MEJORAMIENTO Y CONSTRUCCION DE ESCENARIOS DEPORTIVOS</v>
      </c>
      <c r="J48" t="s">
        <v>85</v>
      </c>
      <c r="K48" t="str">
        <f>"917"</f>
        <v>917</v>
      </c>
      <c r="L48" t="s">
        <v>806</v>
      </c>
      <c r="M48" t="s">
        <v>26</v>
      </c>
      <c r="N48" t="s">
        <v>27</v>
      </c>
      <c r="O48" t="s">
        <v>795</v>
      </c>
      <c r="P48" t="str">
        <f t="shared" si="3"/>
        <v>2020130010036 CONSERVACION, MANTENIMIENTO Y MEJORAMIENTO DE LOS ESCENARIOS DEPORTIVOS DE LA CIUDAD COMO ESTRATEGIA DE PRESERVACION DEL PATRIMONIO MATERIAL DEL DISTRITO DE   CARTAGENA DE INDIAS</v>
      </c>
      <c r="Q48" t="str">
        <f t="shared" si="0"/>
        <v>06</v>
      </c>
      <c r="R48" t="str">
        <f t="shared" si="1"/>
        <v>00</v>
      </c>
      <c r="S48" s="1">
        <v>0</v>
      </c>
      <c r="T48" s="1">
        <v>9644123.6400000006</v>
      </c>
      <c r="U48" s="1">
        <v>9644123.6400000006</v>
      </c>
      <c r="V48" s="1">
        <v>0</v>
      </c>
      <c r="W48" s="1">
        <v>9644123.6400000006</v>
      </c>
      <c r="X48" s="1">
        <v>0</v>
      </c>
      <c r="Y48" s="1">
        <v>0</v>
      </c>
      <c r="Z48" s="1">
        <v>0</v>
      </c>
      <c r="AA48" s="1">
        <v>0</v>
      </c>
      <c r="AB48" s="1">
        <v>9644123.6400000006</v>
      </c>
      <c r="AC48" s="1">
        <v>0</v>
      </c>
    </row>
    <row r="49" spans="1:29" x14ac:dyDescent="0.3">
      <c r="A49">
        <v>2022</v>
      </c>
      <c r="B49">
        <v>100</v>
      </c>
      <c r="C49" t="str">
        <f t="shared" si="6"/>
        <v>15</v>
      </c>
      <c r="D49" t="s">
        <v>793</v>
      </c>
      <c r="E49" t="str">
        <f t="shared" si="2"/>
        <v>15 INSTITUTO DE DEPORTE Y RECREACION</v>
      </c>
      <c r="F49" s="2">
        <v>2020130010036</v>
      </c>
      <c r="G49" s="2" t="str">
        <f>+VLOOKUP(F49,Hoja2!$F:$I,2,FALSE)</f>
        <v>08. PILAR CARTAGENA INCLUYENTE</v>
      </c>
      <c r="H49" s="2" t="str">
        <f>+VLOOKUP(F49,Hoja2!$F:$I,3,FALSE)</f>
        <v xml:space="preserve">8.4 LÍNEA ESTRATÉGICA DEPORTE Y RECREACIÓN PARA LA TRANSFORMACION SOCIAL </v>
      </c>
      <c r="I49" s="2" t="str">
        <f>+VLOOKUP(F49,Hoja2!$F:$I,4,FALSE)</f>
        <v>8.4.7 ADMINISTRACION, MANTENIMIENTO, ADECUACION, MEJORAMIENTO Y CONSTRUCCION DE ESCENARIOS DEPORTIVOS</v>
      </c>
      <c r="J49" t="s">
        <v>85</v>
      </c>
      <c r="K49" t="str">
        <f>"918"</f>
        <v>918</v>
      </c>
      <c r="L49" t="s">
        <v>807</v>
      </c>
      <c r="M49" t="s">
        <v>26</v>
      </c>
      <c r="N49" t="s">
        <v>27</v>
      </c>
      <c r="O49" t="s">
        <v>795</v>
      </c>
      <c r="P49" t="str">
        <f t="shared" si="3"/>
        <v>2020130010036 CONSERVACION, MANTENIMIENTO Y MEJORAMIENTO DE LOS ESCENARIOS DEPORTIVOS DE LA CIUDAD COMO ESTRATEGIA DE PRESERVACION DEL PATRIMONIO MATERIAL DEL DISTRITO DE   CARTAGENA DE INDIAS</v>
      </c>
      <c r="Q49" t="str">
        <f t="shared" si="0"/>
        <v>06</v>
      </c>
      <c r="R49" t="str">
        <f t="shared" si="1"/>
        <v>00</v>
      </c>
      <c r="S49" s="1">
        <v>0</v>
      </c>
      <c r="T49" s="1">
        <v>1161353537.6600001</v>
      </c>
      <c r="U49" s="1">
        <v>1161353537.6600001</v>
      </c>
      <c r="V49" s="1">
        <v>1161353537</v>
      </c>
      <c r="W49" s="1">
        <v>0.66</v>
      </c>
      <c r="X49" s="1">
        <v>1161353537</v>
      </c>
      <c r="Y49" s="1">
        <v>100</v>
      </c>
      <c r="Z49" s="1">
        <v>1161353537</v>
      </c>
      <c r="AA49" s="1">
        <v>100</v>
      </c>
      <c r="AB49" s="1">
        <v>0.66</v>
      </c>
      <c r="AC49" s="1">
        <v>1161353537</v>
      </c>
    </row>
    <row r="50" spans="1:29" x14ac:dyDescent="0.3">
      <c r="A50">
        <v>2022</v>
      </c>
      <c r="B50">
        <v>100</v>
      </c>
      <c r="C50" t="str">
        <f t="shared" si="6"/>
        <v>15</v>
      </c>
      <c r="D50" t="s">
        <v>793</v>
      </c>
      <c r="E50" t="str">
        <f t="shared" si="2"/>
        <v>15 INSTITUTO DE DEPORTE Y RECREACION</v>
      </c>
      <c r="F50" s="2">
        <v>2020130010036</v>
      </c>
      <c r="G50" s="2" t="str">
        <f>+VLOOKUP(F50,Hoja2!$F:$I,2,FALSE)</f>
        <v>08. PILAR CARTAGENA INCLUYENTE</v>
      </c>
      <c r="H50" s="2" t="str">
        <f>+VLOOKUP(F50,Hoja2!$F:$I,3,FALSE)</f>
        <v xml:space="preserve">8.4 LÍNEA ESTRATÉGICA DEPORTE Y RECREACIÓN PARA LA TRANSFORMACION SOCIAL </v>
      </c>
      <c r="I50" s="2" t="str">
        <f>+VLOOKUP(F50,Hoja2!$F:$I,4,FALSE)</f>
        <v>8.4.7 ADMINISTRACION, MANTENIMIENTO, ADECUACION, MEJORAMIENTO Y CONSTRUCCION DE ESCENARIOS DEPORTIVOS</v>
      </c>
      <c r="J50" t="s">
        <v>85</v>
      </c>
      <c r="K50" t="str">
        <f>"919"</f>
        <v>919</v>
      </c>
      <c r="L50" t="s">
        <v>815</v>
      </c>
      <c r="M50" t="s">
        <v>26</v>
      </c>
      <c r="N50" t="s">
        <v>27</v>
      </c>
      <c r="O50" t="s">
        <v>795</v>
      </c>
      <c r="P50" t="str">
        <f t="shared" si="3"/>
        <v>2020130010036 CONSERVACION, MANTENIMIENTO Y MEJORAMIENTO DE LOS ESCENARIOS DEPORTIVOS DE LA CIUDAD COMO ESTRATEGIA DE PRESERVACION DEL PATRIMONIO MATERIAL DEL DISTRITO DE   CARTAGENA DE INDIAS</v>
      </c>
      <c r="Q50" t="str">
        <f t="shared" si="0"/>
        <v>06</v>
      </c>
      <c r="R50" t="str">
        <f t="shared" si="1"/>
        <v>00</v>
      </c>
      <c r="S50" s="1">
        <v>0</v>
      </c>
      <c r="T50" s="1">
        <v>29254560</v>
      </c>
      <c r="U50" s="1">
        <v>29254560</v>
      </c>
      <c r="V50" s="1">
        <v>28614458.780000001</v>
      </c>
      <c r="W50" s="1">
        <v>640101.22</v>
      </c>
      <c r="X50" s="1">
        <v>28614458.780000001</v>
      </c>
      <c r="Y50" s="1">
        <v>97.81</v>
      </c>
      <c r="Z50" s="1">
        <v>28614458.780000001</v>
      </c>
      <c r="AA50" s="1">
        <v>97.81</v>
      </c>
      <c r="AB50" s="1">
        <v>640101.22</v>
      </c>
      <c r="AC50" s="1">
        <v>28614458.780000001</v>
      </c>
    </row>
    <row r="51" spans="1:29" x14ac:dyDescent="0.3">
      <c r="A51">
        <v>2022</v>
      </c>
      <c r="B51">
        <v>100</v>
      </c>
      <c r="C51" t="str">
        <f t="shared" si="6"/>
        <v>15</v>
      </c>
      <c r="D51" t="s">
        <v>793</v>
      </c>
      <c r="E51" t="str">
        <f t="shared" si="2"/>
        <v>15 INSTITUTO DE DEPORTE Y RECREACION</v>
      </c>
      <c r="F51" s="2">
        <v>2020130010036</v>
      </c>
      <c r="G51" s="2" t="str">
        <f>+VLOOKUP(F51,Hoja2!$F:$I,2,FALSE)</f>
        <v>08. PILAR CARTAGENA INCLUYENTE</v>
      </c>
      <c r="H51" s="2" t="str">
        <f>+VLOOKUP(F51,Hoja2!$F:$I,3,FALSE)</f>
        <v xml:space="preserve">8.4 LÍNEA ESTRATÉGICA DEPORTE Y RECREACIÓN PARA LA TRANSFORMACION SOCIAL </v>
      </c>
      <c r="I51" s="2" t="str">
        <f>+VLOOKUP(F51,Hoja2!$F:$I,4,FALSE)</f>
        <v>8.4.7 ADMINISTRACION, MANTENIMIENTO, ADECUACION, MEJORAMIENTO Y CONSTRUCCION DE ESCENARIOS DEPORTIVOS</v>
      </c>
      <c r="J51" t="s">
        <v>85</v>
      </c>
      <c r="K51" t="str">
        <f>"932"</f>
        <v>932</v>
      </c>
      <c r="L51" t="s">
        <v>816</v>
      </c>
      <c r="M51" t="s">
        <v>26</v>
      </c>
      <c r="N51" t="s">
        <v>27</v>
      </c>
      <c r="O51" t="s">
        <v>817</v>
      </c>
      <c r="P51" t="str">
        <f t="shared" si="3"/>
        <v>2020130010036 CONSERVACION , MANTENIMIENTO Y MEJORAMIENTO DE LOS ESCENARIOS DEPORTIVOS DE LA CIUDAD COMO ESTRATEGIA DE PRESERVACION DEL PATRIMONIO MATERIAL DEL DISTRITO DE   CARTAGENA DE INDIAS ? DEFICIT</v>
      </c>
      <c r="Q51" t="str">
        <f t="shared" si="0"/>
        <v>06</v>
      </c>
      <c r="R51" t="str">
        <f t="shared" si="1"/>
        <v>00</v>
      </c>
      <c r="S51" s="1">
        <v>0</v>
      </c>
      <c r="T51" s="1">
        <v>82041252.579999998</v>
      </c>
      <c r="U51" s="1">
        <v>82041252.579999998</v>
      </c>
      <c r="V51" s="1">
        <v>0</v>
      </c>
      <c r="W51" s="1">
        <v>82041252.579999998</v>
      </c>
      <c r="X51" s="1">
        <v>0</v>
      </c>
      <c r="Y51" s="1">
        <v>0</v>
      </c>
      <c r="Z51" s="1">
        <v>0</v>
      </c>
      <c r="AA51" s="1">
        <v>0</v>
      </c>
      <c r="AB51" s="1">
        <v>82041252.579999998</v>
      </c>
      <c r="AC51" s="1">
        <v>0</v>
      </c>
    </row>
    <row r="52" spans="1:29" x14ac:dyDescent="0.3">
      <c r="A52">
        <v>2022</v>
      </c>
      <c r="B52">
        <v>100</v>
      </c>
      <c r="C52" t="str">
        <f t="shared" si="6"/>
        <v>15</v>
      </c>
      <c r="D52" t="s">
        <v>793</v>
      </c>
      <c r="E52" t="str">
        <f t="shared" si="2"/>
        <v>15 INSTITUTO DE DEPORTE Y RECREACION</v>
      </c>
      <c r="F52" s="2">
        <v>2020130010036</v>
      </c>
      <c r="G52" s="2" t="str">
        <f>+VLOOKUP(F52,Hoja2!$F:$I,2,FALSE)</f>
        <v>08. PILAR CARTAGENA INCLUYENTE</v>
      </c>
      <c r="H52" s="2" t="str">
        <f>+VLOOKUP(F52,Hoja2!$F:$I,3,FALSE)</f>
        <v xml:space="preserve">8.4 LÍNEA ESTRATÉGICA DEPORTE Y RECREACIÓN PARA LA TRANSFORMACION SOCIAL </v>
      </c>
      <c r="I52" s="2" t="str">
        <f>+VLOOKUP(F52,Hoja2!$F:$I,4,FALSE)</f>
        <v>8.4.7 ADMINISTRACION, MANTENIMIENTO, ADECUACION, MEJORAMIENTO Y CONSTRUCCION DE ESCENARIOS DEPORTIVOS</v>
      </c>
      <c r="J52" t="s">
        <v>85</v>
      </c>
      <c r="K52" t="str">
        <f>"933"</f>
        <v>933</v>
      </c>
      <c r="L52" t="s">
        <v>818</v>
      </c>
      <c r="M52" t="s">
        <v>26</v>
      </c>
      <c r="N52" t="s">
        <v>27</v>
      </c>
      <c r="O52" t="s">
        <v>817</v>
      </c>
      <c r="P52" t="str">
        <f t="shared" si="3"/>
        <v>2020130010036 CONSERVACION , MANTENIMIENTO Y MEJORAMIENTO DE LOS ESCENARIOS DEPORTIVOS DE LA CIUDAD COMO ESTRATEGIA DE PRESERVACION DEL PATRIMONIO MATERIAL DEL DISTRITO DE   CARTAGENA DE INDIAS ? DEFICIT</v>
      </c>
      <c r="Q52" t="str">
        <f t="shared" si="0"/>
        <v>06</v>
      </c>
      <c r="R52" t="str">
        <f t="shared" si="1"/>
        <v>00</v>
      </c>
      <c r="S52" s="1">
        <v>0</v>
      </c>
      <c r="T52" s="1">
        <v>90028747.420000002</v>
      </c>
      <c r="U52" s="1">
        <v>90028747.420000002</v>
      </c>
      <c r="V52" s="1">
        <v>0</v>
      </c>
      <c r="W52" s="1">
        <v>90028747.420000002</v>
      </c>
      <c r="X52" s="1">
        <v>0</v>
      </c>
      <c r="Y52" s="1">
        <v>0</v>
      </c>
      <c r="Z52" s="1">
        <v>0</v>
      </c>
      <c r="AA52" s="1">
        <v>0</v>
      </c>
      <c r="AB52" s="1">
        <v>90028747.420000002</v>
      </c>
      <c r="AC52" s="1">
        <v>0</v>
      </c>
    </row>
    <row r="53" spans="1:29" x14ac:dyDescent="0.3">
      <c r="A53">
        <v>2022</v>
      </c>
      <c r="B53">
        <v>100</v>
      </c>
      <c r="C53" t="str">
        <f t="shared" si="6"/>
        <v>15</v>
      </c>
      <c r="D53" t="s">
        <v>793</v>
      </c>
      <c r="E53" t="str">
        <f t="shared" si="2"/>
        <v>15 INSTITUTO DE DEPORTE Y RECREACION</v>
      </c>
      <c r="F53" s="2">
        <v>2020130010036</v>
      </c>
      <c r="G53" s="2" t="str">
        <f>+VLOOKUP(F53,Hoja2!$F:$I,2,FALSE)</f>
        <v>08. PILAR CARTAGENA INCLUYENTE</v>
      </c>
      <c r="H53" s="2" t="str">
        <f>+VLOOKUP(F53,Hoja2!$F:$I,3,FALSE)</f>
        <v xml:space="preserve">8.4 LÍNEA ESTRATÉGICA DEPORTE Y RECREACIÓN PARA LA TRANSFORMACION SOCIAL </v>
      </c>
      <c r="I53" s="2" t="str">
        <f>+VLOOKUP(F53,Hoja2!$F:$I,4,FALSE)</f>
        <v>8.4.7 ADMINISTRACION, MANTENIMIENTO, ADECUACION, MEJORAMIENTO Y CONSTRUCCION DE ESCENARIOS DEPORTIVOS</v>
      </c>
      <c r="J53" t="s">
        <v>85</v>
      </c>
      <c r="K53" t="str">
        <f>"059"</f>
        <v>059</v>
      </c>
      <c r="L53" t="s">
        <v>824</v>
      </c>
      <c r="M53" t="s">
        <v>26</v>
      </c>
      <c r="N53" t="s">
        <v>27</v>
      </c>
      <c r="O53" t="s">
        <v>825</v>
      </c>
      <c r="P53" t="str">
        <f t="shared" si="3"/>
        <v>2020130010036 CONSERVACION , MANTENIMIENTO Y MEJORAMIENTO DE LOS ESCENARIOS DEPORTIVOS DE LA CIUDAD COMO ESTRATEGIA DE PRESERVACION DEL PATRIMONIO MATERIAL DEL DISTRITO DE   CARTAGENA DE INDIAS</v>
      </c>
      <c r="Q53" t="str">
        <f t="shared" si="0"/>
        <v>06</v>
      </c>
      <c r="R53" t="str">
        <f t="shared" si="1"/>
        <v>00</v>
      </c>
      <c r="S53" s="1">
        <v>521282650</v>
      </c>
      <c r="T53" s="1">
        <v>0</v>
      </c>
      <c r="U53" s="1">
        <v>521282650</v>
      </c>
      <c r="V53" s="1">
        <v>245164282</v>
      </c>
      <c r="W53" s="1">
        <v>276118368</v>
      </c>
      <c r="X53" s="1">
        <v>245164282</v>
      </c>
      <c r="Y53" s="1">
        <v>47.03</v>
      </c>
      <c r="Z53" s="1">
        <v>245164282</v>
      </c>
      <c r="AA53" s="1">
        <v>47.03</v>
      </c>
      <c r="AB53" s="1">
        <v>276118368</v>
      </c>
      <c r="AC53" s="1">
        <v>190000000</v>
      </c>
    </row>
    <row r="54" spans="1:29" x14ac:dyDescent="0.3">
      <c r="A54">
        <v>2022</v>
      </c>
      <c r="B54">
        <v>100</v>
      </c>
      <c r="C54" t="str">
        <f t="shared" si="6"/>
        <v>15</v>
      </c>
      <c r="D54" t="s">
        <v>793</v>
      </c>
      <c r="E54" t="str">
        <f t="shared" si="2"/>
        <v>15 INSTITUTO DE DEPORTE Y RECREACION</v>
      </c>
      <c r="F54" s="2">
        <v>2020130010036</v>
      </c>
      <c r="G54" s="2" t="str">
        <f>+VLOOKUP(F54,Hoja2!$F:$I,2,FALSE)</f>
        <v>08. PILAR CARTAGENA INCLUYENTE</v>
      </c>
      <c r="H54" s="2" t="str">
        <f>+VLOOKUP(F54,Hoja2!$F:$I,3,FALSE)</f>
        <v xml:space="preserve">8.4 LÍNEA ESTRATÉGICA DEPORTE Y RECREACIÓN PARA LA TRANSFORMACION SOCIAL </v>
      </c>
      <c r="I54" s="2" t="str">
        <f>+VLOOKUP(F54,Hoja2!$F:$I,4,FALSE)</f>
        <v>8.4.7 ADMINISTRACION, MANTENIMIENTO, ADECUACION, MEJORAMIENTO Y CONSTRUCCION DE ESCENARIOS DEPORTIVOS</v>
      </c>
      <c r="J54" t="s">
        <v>85</v>
      </c>
      <c r="K54" t="str">
        <f>"097"</f>
        <v>097</v>
      </c>
      <c r="L54" t="s">
        <v>828</v>
      </c>
      <c r="M54" t="s">
        <v>26</v>
      </c>
      <c r="N54" t="s">
        <v>27</v>
      </c>
      <c r="O54" t="s">
        <v>825</v>
      </c>
      <c r="P54" t="str">
        <f t="shared" si="3"/>
        <v>2020130010036 CONSERVACION , MANTENIMIENTO Y MEJORAMIENTO DE LOS ESCENARIOS DEPORTIVOS DE LA CIUDAD COMO ESTRATEGIA DE PRESERVACION DEL PATRIMONIO MATERIAL DEL DISTRITO DE   CARTAGENA DE INDIAS</v>
      </c>
      <c r="Q54" t="str">
        <f t="shared" si="0"/>
        <v>06</v>
      </c>
      <c r="R54" t="str">
        <f t="shared" si="1"/>
        <v>00</v>
      </c>
      <c r="S54" s="1">
        <v>3372871474</v>
      </c>
      <c r="T54" s="1">
        <v>2961691538</v>
      </c>
      <c r="U54" s="1">
        <v>6334563012</v>
      </c>
      <c r="V54" s="1">
        <v>6149433470.2200003</v>
      </c>
      <c r="W54" s="1">
        <v>185129541.78</v>
      </c>
      <c r="X54" s="1">
        <v>6149433470.2200003</v>
      </c>
      <c r="Y54" s="1">
        <v>97.08</v>
      </c>
      <c r="Z54" s="1">
        <v>6149433470.2200003</v>
      </c>
      <c r="AA54" s="1">
        <v>97.08</v>
      </c>
      <c r="AB54" s="1">
        <v>185129541.78</v>
      </c>
      <c r="AC54" s="1">
        <v>5899426139.2200003</v>
      </c>
    </row>
    <row r="55" spans="1:29" x14ac:dyDescent="0.3">
      <c r="A55">
        <v>2022</v>
      </c>
      <c r="B55">
        <v>100</v>
      </c>
      <c r="C55" t="str">
        <f t="shared" si="6"/>
        <v>15</v>
      </c>
      <c r="D55" t="s">
        <v>793</v>
      </c>
      <c r="E55" t="str">
        <f t="shared" si="2"/>
        <v>15 INSTITUTO DE DEPORTE Y RECREACION</v>
      </c>
      <c r="F55" s="2">
        <v>2020130010036</v>
      </c>
      <c r="G55" s="2" t="str">
        <f>+VLOOKUP(F55,Hoja2!$F:$I,2,FALSE)</f>
        <v>08. PILAR CARTAGENA INCLUYENTE</v>
      </c>
      <c r="H55" s="2" t="str">
        <f>+VLOOKUP(F55,Hoja2!$F:$I,3,FALSE)</f>
        <v xml:space="preserve">8.4 LÍNEA ESTRATÉGICA DEPORTE Y RECREACIÓN PARA LA TRANSFORMACION SOCIAL </v>
      </c>
      <c r="I55" s="2" t="str">
        <f>+VLOOKUP(F55,Hoja2!$F:$I,4,FALSE)</f>
        <v>8.4.7 ADMINISTRACION, MANTENIMIENTO, ADECUACION, MEJORAMIENTO Y CONSTRUCCION DE ESCENARIOS DEPORTIVOS</v>
      </c>
      <c r="J55" t="s">
        <v>85</v>
      </c>
      <c r="K55" t="str">
        <f>"025"</f>
        <v>025</v>
      </c>
      <c r="L55" t="s">
        <v>822</v>
      </c>
      <c r="M55" t="s">
        <v>26</v>
      </c>
      <c r="N55" t="s">
        <v>27</v>
      </c>
      <c r="O55" t="s">
        <v>825</v>
      </c>
      <c r="P55" t="str">
        <f t="shared" si="3"/>
        <v>2020130010036 CONSERVACION , MANTENIMIENTO Y MEJORAMIENTO DE LOS ESCENARIOS DEPORTIVOS DE LA CIUDAD COMO ESTRATEGIA DE PRESERVACION DEL PATRIMONIO MATERIAL DEL DISTRITO DE   CARTAGENA DE INDIAS</v>
      </c>
      <c r="Q55" t="str">
        <f t="shared" si="0"/>
        <v>06</v>
      </c>
      <c r="R55" t="str">
        <f t="shared" si="1"/>
        <v>00</v>
      </c>
      <c r="S55" s="1">
        <v>3202000000</v>
      </c>
      <c r="T55" s="1">
        <v>0</v>
      </c>
      <c r="U55" s="1">
        <v>3202000000</v>
      </c>
      <c r="V55" s="1">
        <v>3081999999.4200001</v>
      </c>
      <c r="W55" s="1">
        <v>120000000.58</v>
      </c>
      <c r="X55" s="1">
        <v>3081999899.4200001</v>
      </c>
      <c r="Y55" s="1">
        <v>96.25</v>
      </c>
      <c r="Z55" s="1">
        <v>3081999899.4200001</v>
      </c>
      <c r="AA55" s="1">
        <v>96.25</v>
      </c>
      <c r="AB55" s="1">
        <v>120000100.58</v>
      </c>
      <c r="AC55" s="1">
        <v>3081999899.4200001</v>
      </c>
    </row>
    <row r="56" spans="1:29" x14ac:dyDescent="0.3">
      <c r="A56">
        <v>2022</v>
      </c>
      <c r="B56">
        <v>100</v>
      </c>
      <c r="C56" t="str">
        <f>"02"</f>
        <v>02</v>
      </c>
      <c r="D56" t="s">
        <v>106</v>
      </c>
      <c r="E56" t="str">
        <f t="shared" si="2"/>
        <v>02 SECRETARIA DEL INTERIOR Y CONVIVENCIA CIUDADANAL</v>
      </c>
      <c r="F56" s="2">
        <v>2020130010037</v>
      </c>
      <c r="G56" s="2" t="str">
        <f>+VLOOKUP(F56,Hoja2!$F:$I,2,FALSE)</f>
        <v>10. PILAR: CARTAGENA TRANSPARENTE</v>
      </c>
      <c r="H56" s="2" t="str">
        <f>+VLOOKUP(F56,Hoja2!$F:$I,3,FALSE)</f>
        <v>10.3 LÍNEA ESTRATÉGICA: CONVIVENCIA Y SEGURIDAD PARA LA GOBERNABILIDAD</v>
      </c>
      <c r="I56" s="2" t="str">
        <f>+VLOOKUP(F56,Hoja2!$F:$I,4,FALSE)</f>
        <v>10.3.2 PROGRAMA: FORTALECIMIENTO DE LA CONVIVENCIA Y LA SEGURIDAD CIUDADANA</v>
      </c>
      <c r="J56" t="s">
        <v>140</v>
      </c>
      <c r="K56" t="str">
        <f>"800"</f>
        <v>800</v>
      </c>
      <c r="L56" t="s">
        <v>141</v>
      </c>
      <c r="M56" t="s">
        <v>26</v>
      </c>
      <c r="N56" t="s">
        <v>27</v>
      </c>
      <c r="O56" t="s">
        <v>142</v>
      </c>
      <c r="P56" t="str">
        <f t="shared" si="3"/>
        <v>2020130010037 FORTALECIMIENTO DE LOS MECANISMOS COMUNITARIOS E INSTITUCIONALES DE PREVENCION Y REACCION A SITUACIONES DE RIESGO POR CONDUCTAS DELICTIVAS EN EL DISTRITO DE CARTAGENA DE INDIAS</v>
      </c>
      <c r="Q56" t="str">
        <f t="shared" si="0"/>
        <v>06</v>
      </c>
      <c r="R56" t="str">
        <f t="shared" si="1"/>
        <v>00</v>
      </c>
      <c r="S56" s="1">
        <v>0</v>
      </c>
      <c r="T56" s="1">
        <v>1038000000</v>
      </c>
      <c r="U56" s="1">
        <v>1038000000</v>
      </c>
      <c r="V56" s="1">
        <v>1038000000</v>
      </c>
      <c r="W56" s="1">
        <v>0</v>
      </c>
      <c r="X56" s="1">
        <v>1038000000</v>
      </c>
      <c r="Y56" s="1">
        <v>100</v>
      </c>
      <c r="Z56" s="1">
        <v>1038000000</v>
      </c>
      <c r="AA56" s="1">
        <v>100</v>
      </c>
      <c r="AB56" s="1">
        <v>0</v>
      </c>
      <c r="AC56" s="1">
        <v>1038000000</v>
      </c>
    </row>
    <row r="57" spans="1:29" x14ac:dyDescent="0.3">
      <c r="A57">
        <v>2022</v>
      </c>
      <c r="B57">
        <v>100</v>
      </c>
      <c r="C57" t="str">
        <f>"02"</f>
        <v>02</v>
      </c>
      <c r="D57" t="s">
        <v>106</v>
      </c>
      <c r="E57" t="str">
        <f t="shared" si="2"/>
        <v>02 SECRETARIA DEL INTERIOR Y CONVIVENCIA CIUDADANAL</v>
      </c>
      <c r="F57" s="2">
        <v>2020130010037</v>
      </c>
      <c r="G57" s="2" t="str">
        <f>+VLOOKUP(F57,Hoja2!$F:$I,2,FALSE)</f>
        <v>10. PILAR: CARTAGENA TRANSPARENTE</v>
      </c>
      <c r="H57" s="2" t="str">
        <f>+VLOOKUP(F57,Hoja2!$F:$I,3,FALSE)</f>
        <v>10.3 LÍNEA ESTRATÉGICA: CONVIVENCIA Y SEGURIDAD PARA LA GOBERNABILIDAD</v>
      </c>
      <c r="I57" s="2" t="str">
        <f>+VLOOKUP(F57,Hoja2!$F:$I,4,FALSE)</f>
        <v>10.3.2 PROGRAMA: FORTALECIMIENTO DE LA CONVIVENCIA Y LA SEGURIDAD CIUDADANA</v>
      </c>
      <c r="J57" t="s">
        <v>140</v>
      </c>
      <c r="K57" t="str">
        <f>"801"</f>
        <v>801</v>
      </c>
      <c r="L57" t="s">
        <v>143</v>
      </c>
      <c r="M57" t="s">
        <v>26</v>
      </c>
      <c r="N57" t="s">
        <v>27</v>
      </c>
      <c r="O57" t="s">
        <v>142</v>
      </c>
      <c r="P57" t="str">
        <f t="shared" si="3"/>
        <v>2020130010037 FORTALECIMIENTO DE LOS MECANISMOS COMUNITARIOS E INSTITUCIONALES DE PREVENCION Y REACCION A SITUACIONES DE RIESGO POR CONDUCTAS DELICTIVAS EN EL DISTRITO DE CARTAGENA DE INDIAS</v>
      </c>
      <c r="Q57" t="str">
        <f t="shared" si="0"/>
        <v>06</v>
      </c>
      <c r="R57" t="str">
        <f t="shared" si="1"/>
        <v>00</v>
      </c>
      <c r="S57" s="1">
        <v>0</v>
      </c>
      <c r="T57" s="1">
        <v>122081887.2</v>
      </c>
      <c r="U57" s="1">
        <v>122081887.2</v>
      </c>
      <c r="V57" s="1">
        <v>0</v>
      </c>
      <c r="W57" s="1">
        <v>122081887.2</v>
      </c>
      <c r="X57" s="1">
        <v>0</v>
      </c>
      <c r="Y57" s="1">
        <v>0</v>
      </c>
      <c r="Z57" s="1">
        <v>0</v>
      </c>
      <c r="AA57" s="1">
        <v>0</v>
      </c>
      <c r="AB57" s="1">
        <v>122081887.2</v>
      </c>
      <c r="AC57" s="1">
        <v>0</v>
      </c>
    </row>
    <row r="58" spans="1:29" x14ac:dyDescent="0.3">
      <c r="A58">
        <v>2022</v>
      </c>
      <c r="B58">
        <v>100</v>
      </c>
      <c r="C58" t="str">
        <f>"02"</f>
        <v>02</v>
      </c>
      <c r="D58" t="s">
        <v>106</v>
      </c>
      <c r="E58" t="str">
        <f t="shared" si="2"/>
        <v>02 SECRETARIA DEL INTERIOR Y CONVIVENCIA CIUDADANAL</v>
      </c>
      <c r="F58" s="2">
        <v>2020130010037</v>
      </c>
      <c r="G58" s="2" t="str">
        <f>+VLOOKUP(F58,Hoja2!$F:$I,2,FALSE)</f>
        <v>10. PILAR: CARTAGENA TRANSPARENTE</v>
      </c>
      <c r="H58" s="2" t="str">
        <f>+VLOOKUP(F58,Hoja2!$F:$I,3,FALSE)</f>
        <v>10.3 LÍNEA ESTRATÉGICA: CONVIVENCIA Y SEGURIDAD PARA LA GOBERNABILIDAD</v>
      </c>
      <c r="I58" s="2" t="str">
        <f>+VLOOKUP(F58,Hoja2!$F:$I,4,FALSE)</f>
        <v>10.3.2 PROGRAMA: FORTALECIMIENTO DE LA CONVIVENCIA Y LA SEGURIDAD CIUDADANA</v>
      </c>
      <c r="J58" t="s">
        <v>140</v>
      </c>
      <c r="K58" t="str">
        <f>"802"</f>
        <v>802</v>
      </c>
      <c r="L58" t="s">
        <v>144</v>
      </c>
      <c r="M58" t="s">
        <v>26</v>
      </c>
      <c r="N58" t="s">
        <v>27</v>
      </c>
      <c r="O58" t="s">
        <v>142</v>
      </c>
      <c r="P58" t="str">
        <f t="shared" si="3"/>
        <v>2020130010037 FORTALECIMIENTO DE LOS MECANISMOS COMUNITARIOS E INSTITUCIONALES DE PREVENCION Y REACCION A SITUACIONES DE RIESGO POR CONDUCTAS DELICTIVAS EN EL DISTRITO DE CARTAGENA DE INDIAS</v>
      </c>
      <c r="Q58" t="str">
        <f t="shared" si="0"/>
        <v>06</v>
      </c>
      <c r="R58" t="str">
        <f t="shared" si="1"/>
        <v>00</v>
      </c>
      <c r="S58" s="1">
        <v>0</v>
      </c>
      <c r="T58" s="1">
        <v>18234351.210000001</v>
      </c>
      <c r="U58" s="1">
        <v>18234351.210000001</v>
      </c>
      <c r="V58" s="1">
        <v>0</v>
      </c>
      <c r="W58" s="1">
        <v>18234351.210000001</v>
      </c>
      <c r="X58" s="1">
        <v>0</v>
      </c>
      <c r="Y58" s="1">
        <v>0</v>
      </c>
      <c r="Z58" s="1">
        <v>0</v>
      </c>
      <c r="AA58" s="1">
        <v>0</v>
      </c>
      <c r="AB58" s="1">
        <v>18234351.210000001</v>
      </c>
      <c r="AC58" s="1">
        <v>0</v>
      </c>
    </row>
    <row r="59" spans="1:29" x14ac:dyDescent="0.3">
      <c r="A59">
        <v>2022</v>
      </c>
      <c r="B59">
        <v>100</v>
      </c>
      <c r="C59" t="str">
        <f>"02"</f>
        <v>02</v>
      </c>
      <c r="D59" t="s">
        <v>106</v>
      </c>
      <c r="E59" t="str">
        <f t="shared" si="2"/>
        <v>02 SECRETARIA DEL INTERIOR Y CONVIVENCIA CIUDADANAL</v>
      </c>
      <c r="F59" s="2">
        <v>2020130010037</v>
      </c>
      <c r="G59" s="2" t="str">
        <f>+VLOOKUP(F59,Hoja2!$F:$I,2,FALSE)</f>
        <v>10. PILAR: CARTAGENA TRANSPARENTE</v>
      </c>
      <c r="H59" s="2" t="str">
        <f>+VLOOKUP(F59,Hoja2!$F:$I,3,FALSE)</f>
        <v>10.3 LÍNEA ESTRATÉGICA: CONVIVENCIA Y SEGURIDAD PARA LA GOBERNABILIDAD</v>
      </c>
      <c r="I59" s="2" t="str">
        <f>+VLOOKUP(F59,Hoja2!$F:$I,4,FALSE)</f>
        <v>10.3.2 PROGRAMA: FORTALECIMIENTO DE LA CONVIVENCIA Y LA SEGURIDAD CIUDADANA</v>
      </c>
      <c r="J59" t="s">
        <v>140</v>
      </c>
      <c r="K59" t="str">
        <f>"803"</f>
        <v>803</v>
      </c>
      <c r="L59" t="s">
        <v>145</v>
      </c>
      <c r="M59" t="s">
        <v>26</v>
      </c>
      <c r="N59" t="s">
        <v>27</v>
      </c>
      <c r="O59" t="s">
        <v>142</v>
      </c>
      <c r="P59" t="str">
        <f t="shared" si="3"/>
        <v>2020130010037 FORTALECIMIENTO DE LOS MECANISMOS COMUNITARIOS E INSTITUCIONALES DE PREVENCION Y REACCION A SITUACIONES DE RIESGO POR CONDUCTAS DELICTIVAS EN EL DISTRITO DE CARTAGENA DE INDIAS</v>
      </c>
      <c r="Q59" t="str">
        <f t="shared" si="0"/>
        <v>06</v>
      </c>
      <c r="R59" t="str">
        <f t="shared" si="1"/>
        <v>00</v>
      </c>
      <c r="S59" s="1">
        <v>0</v>
      </c>
      <c r="T59" s="1">
        <v>575421919.25</v>
      </c>
      <c r="U59" s="1">
        <v>575421919.25</v>
      </c>
      <c r="V59" s="1">
        <v>515029740.33999997</v>
      </c>
      <c r="W59" s="1">
        <v>60392178.909999996</v>
      </c>
      <c r="X59" s="1">
        <v>515029740.33999997</v>
      </c>
      <c r="Y59" s="1">
        <v>89.5</v>
      </c>
      <c r="Z59" s="1">
        <v>515029740.33999997</v>
      </c>
      <c r="AA59" s="1">
        <v>89.5</v>
      </c>
      <c r="AB59" s="1">
        <v>60392178.909999996</v>
      </c>
      <c r="AC59" s="1">
        <v>515029740.33999997</v>
      </c>
    </row>
    <row r="60" spans="1:29" x14ac:dyDescent="0.3">
      <c r="A60">
        <v>2022</v>
      </c>
      <c r="B60">
        <v>100</v>
      </c>
      <c r="C60" t="str">
        <f>"02"</f>
        <v>02</v>
      </c>
      <c r="D60" t="s">
        <v>106</v>
      </c>
      <c r="E60" t="str">
        <f t="shared" si="2"/>
        <v>02 SECRETARIA DEL INTERIOR Y CONVIVENCIA CIUDADANAL</v>
      </c>
      <c r="F60" s="2">
        <v>2020130010037</v>
      </c>
      <c r="G60" s="2" t="str">
        <f>+VLOOKUP(F60,Hoja2!$F:$I,2,FALSE)</f>
        <v>10. PILAR: CARTAGENA TRANSPARENTE</v>
      </c>
      <c r="H60" s="2" t="str">
        <f>+VLOOKUP(F60,Hoja2!$F:$I,3,FALSE)</f>
        <v>10.3 LÍNEA ESTRATÉGICA: CONVIVENCIA Y SEGURIDAD PARA LA GOBERNABILIDAD</v>
      </c>
      <c r="I60" s="2" t="str">
        <f>+VLOOKUP(F60,Hoja2!$F:$I,4,FALSE)</f>
        <v>10.3.2 PROGRAMA: FORTALECIMIENTO DE LA CONVIVENCIA Y LA SEGURIDAD CIUDADANA</v>
      </c>
      <c r="J60" t="s">
        <v>140</v>
      </c>
      <c r="K60" t="str">
        <f>"001"</f>
        <v>001</v>
      </c>
      <c r="L60" t="s">
        <v>25</v>
      </c>
      <c r="M60" t="s">
        <v>26</v>
      </c>
      <c r="N60" t="s">
        <v>27</v>
      </c>
      <c r="O60" t="s">
        <v>151</v>
      </c>
      <c r="P60" t="str">
        <f t="shared" si="3"/>
        <v>2020130010037 FORTALECIMIENTO DE LOS MECANISMOS COMUNITARIOS  E INSTITUCIONALES DE PREVENCION Y REACCION A SITUACIONES DE RIESGO POR CONDUCTAS DELICTIVAS EN EL DISTRITO DE   CARTAGENA DE INDIAS</v>
      </c>
      <c r="Q60" t="str">
        <f t="shared" si="0"/>
        <v>06</v>
      </c>
      <c r="R60" t="str">
        <f t="shared" si="1"/>
        <v>00</v>
      </c>
      <c r="S60" s="1">
        <v>382873239</v>
      </c>
      <c r="T60" s="1">
        <v>0</v>
      </c>
      <c r="U60" s="1">
        <v>382873239</v>
      </c>
      <c r="V60" s="1">
        <v>379786085</v>
      </c>
      <c r="W60" s="1">
        <v>3087154</v>
      </c>
      <c r="X60" s="1">
        <v>375036085.00999999</v>
      </c>
      <c r="Y60" s="1">
        <v>97.95</v>
      </c>
      <c r="Z60" s="1">
        <v>364919418.33999997</v>
      </c>
      <c r="AA60" s="1">
        <v>95.31</v>
      </c>
      <c r="AB60" s="1">
        <v>7837153.9900000002</v>
      </c>
      <c r="AC60" s="1">
        <v>355459418.33999997</v>
      </c>
    </row>
    <row r="61" spans="1:29" x14ac:dyDescent="0.3">
      <c r="A61">
        <v>2022</v>
      </c>
      <c r="B61">
        <v>100</v>
      </c>
      <c r="C61" t="str">
        <f>"15"</f>
        <v>15</v>
      </c>
      <c r="D61" t="s">
        <v>793</v>
      </c>
      <c r="E61" t="str">
        <f t="shared" si="2"/>
        <v>15 INSTITUTO DE DEPORTE Y RECREACION</v>
      </c>
      <c r="F61" s="2">
        <v>2020130010038</v>
      </c>
      <c r="G61" s="2" t="str">
        <f>+VLOOKUP(F61,Hoja2!$F:$I,2,FALSE)</f>
        <v>08. PILAR CARTAGENA INCLUYENTE</v>
      </c>
      <c r="H61" s="2" t="str">
        <f>+VLOOKUP(F61,Hoja2!$F:$I,3,FALSE)</f>
        <v xml:space="preserve">8.4 LÍNEA ESTRATÉGICA DEPORTE Y RECREACIÓN PARA LA TRANSFORMACION SOCIAL </v>
      </c>
      <c r="I61" s="2" t="str">
        <f>+VLOOKUP(F61,Hoja2!$F:$I,4,FALSE)</f>
        <v>8.4.2 DEPORTE ASOCIADO "INCENTIVOS CON-SENTIDO"</v>
      </c>
      <c r="J61" t="s">
        <v>813</v>
      </c>
      <c r="K61" t="str">
        <f>"918"</f>
        <v>918</v>
      </c>
      <c r="L61" t="s">
        <v>807</v>
      </c>
      <c r="M61" t="s">
        <v>26</v>
      </c>
      <c r="N61" t="s">
        <v>27</v>
      </c>
      <c r="O61" t="s">
        <v>814</v>
      </c>
      <c r="P61" t="str">
        <f t="shared" si="3"/>
        <v>2020130010038 CONSOLIDACION DEL SISTEMA DEPORTIVO DISTRITAL MEDIANTE UNA ESTRATEGIA DE ESTIMULOS Y/O APOYOS A LAS ORGANIZACIONES DEPORTIVAS Y DEPORTISTAS DE ALTOS LOGROS-0  CARTAGENA DE INDIAS</v>
      </c>
      <c r="Q61" t="str">
        <f t="shared" si="0"/>
        <v>06</v>
      </c>
      <c r="R61" t="str">
        <f t="shared" si="1"/>
        <v>00</v>
      </c>
      <c r="S61" s="1">
        <v>0</v>
      </c>
      <c r="T61" s="1">
        <v>494114520.01999998</v>
      </c>
      <c r="U61" s="1">
        <v>494114520.01999998</v>
      </c>
      <c r="V61" s="1">
        <v>75000000</v>
      </c>
      <c r="W61" s="1">
        <v>419114520.01999998</v>
      </c>
      <c r="X61" s="1">
        <v>75000000</v>
      </c>
      <c r="Y61" s="1">
        <v>15.18</v>
      </c>
      <c r="Z61" s="1">
        <v>75000000</v>
      </c>
      <c r="AA61" s="1">
        <v>15.18</v>
      </c>
      <c r="AB61" s="1">
        <v>419114520.01999998</v>
      </c>
      <c r="AC61" s="1">
        <v>75000000</v>
      </c>
    </row>
    <row r="62" spans="1:29" x14ac:dyDescent="0.3">
      <c r="A62">
        <v>2022</v>
      </c>
      <c r="B62">
        <v>100</v>
      </c>
      <c r="C62" t="str">
        <f>"15"</f>
        <v>15</v>
      </c>
      <c r="D62" t="s">
        <v>793</v>
      </c>
      <c r="E62" t="str">
        <f t="shared" si="2"/>
        <v>15 INSTITUTO DE DEPORTE Y RECREACION</v>
      </c>
      <c r="F62" s="2">
        <v>2020130010038</v>
      </c>
      <c r="G62" s="2" t="str">
        <f>+VLOOKUP(F62,Hoja2!$F:$I,2,FALSE)</f>
        <v>08. PILAR CARTAGENA INCLUYENTE</v>
      </c>
      <c r="H62" s="2" t="str">
        <f>+VLOOKUP(F62,Hoja2!$F:$I,3,FALSE)</f>
        <v xml:space="preserve">8.4 LÍNEA ESTRATÉGICA DEPORTE Y RECREACIÓN PARA LA TRANSFORMACION SOCIAL </v>
      </c>
      <c r="I62" s="2" t="str">
        <f>+VLOOKUP(F62,Hoja2!$F:$I,4,FALSE)</f>
        <v>8.4.2 DEPORTE ASOCIADO "INCENTIVOS CON-SENTIDO"</v>
      </c>
      <c r="J62" t="s">
        <v>813</v>
      </c>
      <c r="K62" t="str">
        <f>"059"</f>
        <v>059</v>
      </c>
      <c r="L62" t="s">
        <v>824</v>
      </c>
      <c r="M62" t="s">
        <v>26</v>
      </c>
      <c r="N62" t="s">
        <v>27</v>
      </c>
      <c r="O62" t="s">
        <v>814</v>
      </c>
      <c r="P62" t="str">
        <f t="shared" si="3"/>
        <v>2020130010038 CONSOLIDACION DEL SISTEMA DEPORTIVO DISTRITAL MEDIANTE UNA ESTRATEGIA DE ESTIMULOS Y/O APOYOS A LAS ORGANIZACIONES DEPORTIVAS Y DEPORTISTAS DE ALTOS LOGROS-0  CARTAGENA DE INDIAS</v>
      </c>
      <c r="Q62" t="str">
        <f t="shared" si="0"/>
        <v>06</v>
      </c>
      <c r="R62" t="str">
        <f t="shared" si="1"/>
        <v>00</v>
      </c>
      <c r="S62" s="1">
        <v>582610025</v>
      </c>
      <c r="T62" s="1">
        <v>0</v>
      </c>
      <c r="U62" s="1">
        <v>582610025</v>
      </c>
      <c r="V62" s="1">
        <v>580000000</v>
      </c>
      <c r="W62" s="1">
        <v>2610025</v>
      </c>
      <c r="X62" s="1">
        <v>580000000</v>
      </c>
      <c r="Y62" s="1">
        <v>99.55</v>
      </c>
      <c r="Z62" s="1">
        <v>580000000</v>
      </c>
      <c r="AA62" s="1">
        <v>99.55</v>
      </c>
      <c r="AB62" s="1">
        <v>2610025</v>
      </c>
      <c r="AC62" s="1">
        <v>580000000</v>
      </c>
    </row>
    <row r="63" spans="1:29" x14ac:dyDescent="0.3">
      <c r="A63">
        <v>2022</v>
      </c>
      <c r="B63">
        <v>100</v>
      </c>
      <c r="C63" t="str">
        <f>"15"</f>
        <v>15</v>
      </c>
      <c r="D63" t="s">
        <v>793</v>
      </c>
      <c r="E63" t="str">
        <f t="shared" si="2"/>
        <v>15 INSTITUTO DE DEPORTE Y RECREACION</v>
      </c>
      <c r="F63" s="2">
        <v>2020130010038</v>
      </c>
      <c r="G63" s="2" t="str">
        <f>+VLOOKUP(F63,Hoja2!$F:$I,2,FALSE)</f>
        <v>08. PILAR CARTAGENA INCLUYENTE</v>
      </c>
      <c r="H63" s="2" t="str">
        <f>+VLOOKUP(F63,Hoja2!$F:$I,3,FALSE)</f>
        <v xml:space="preserve">8.4 LÍNEA ESTRATÉGICA DEPORTE Y RECREACIÓN PARA LA TRANSFORMACION SOCIAL </v>
      </c>
      <c r="I63" s="2" t="str">
        <f>+VLOOKUP(F63,Hoja2!$F:$I,4,FALSE)</f>
        <v>8.4.2 DEPORTE ASOCIADO "INCENTIVOS CON-SENTIDO"</v>
      </c>
      <c r="J63" t="s">
        <v>813</v>
      </c>
      <c r="K63" t="str">
        <f>"097"</f>
        <v>097</v>
      </c>
      <c r="L63" t="s">
        <v>828</v>
      </c>
      <c r="M63" t="s">
        <v>26</v>
      </c>
      <c r="N63" t="s">
        <v>27</v>
      </c>
      <c r="O63" t="s">
        <v>814</v>
      </c>
      <c r="P63" t="str">
        <f t="shared" si="3"/>
        <v>2020130010038 CONSOLIDACION DEL SISTEMA DEPORTIVO DISTRITAL MEDIANTE UNA ESTRATEGIA DE ESTIMULOS Y/O APOYOS A LAS ORGANIZACIONES DEPORTIVAS Y DEPORTISTAS DE ALTOS LOGROS-0  CARTAGENA DE INDIAS</v>
      </c>
      <c r="Q63" t="str">
        <f t="shared" si="0"/>
        <v>06</v>
      </c>
      <c r="R63" t="str">
        <f t="shared" si="1"/>
        <v>00</v>
      </c>
      <c r="S63" s="1">
        <v>1499053988</v>
      </c>
      <c r="T63" s="1">
        <v>0</v>
      </c>
      <c r="U63" s="1">
        <v>1499053988</v>
      </c>
      <c r="V63" s="1">
        <v>1299452896.8599999</v>
      </c>
      <c r="W63" s="1">
        <v>199601091.13999999</v>
      </c>
      <c r="X63" s="1">
        <v>1299452896.8599999</v>
      </c>
      <c r="Y63" s="1">
        <v>86.68</v>
      </c>
      <c r="Z63" s="1">
        <v>1299452896.8599999</v>
      </c>
      <c r="AA63" s="1">
        <v>86.68</v>
      </c>
      <c r="AB63" s="1">
        <v>199601091.13999999</v>
      </c>
      <c r="AC63" s="1">
        <v>971888000</v>
      </c>
    </row>
    <row r="64" spans="1:29" x14ac:dyDescent="0.3">
      <c r="A64">
        <v>2022</v>
      </c>
      <c r="B64">
        <v>100</v>
      </c>
      <c r="C64" t="str">
        <f>"15"</f>
        <v>15</v>
      </c>
      <c r="D64" t="s">
        <v>793</v>
      </c>
      <c r="E64" t="str">
        <f t="shared" si="2"/>
        <v>15 INSTITUTO DE DEPORTE Y RECREACION</v>
      </c>
      <c r="F64" s="2">
        <v>2020130010038</v>
      </c>
      <c r="G64" s="2" t="str">
        <f>+VLOOKUP(F64,Hoja2!$F:$I,2,FALSE)</f>
        <v>08. PILAR CARTAGENA INCLUYENTE</v>
      </c>
      <c r="H64" s="2" t="str">
        <f>+VLOOKUP(F64,Hoja2!$F:$I,3,FALSE)</f>
        <v xml:space="preserve">8.4 LÍNEA ESTRATÉGICA DEPORTE Y RECREACIÓN PARA LA TRANSFORMACION SOCIAL </v>
      </c>
      <c r="I64" s="2" t="str">
        <f>+VLOOKUP(F64,Hoja2!$F:$I,4,FALSE)</f>
        <v>8.4.2 DEPORTE ASOCIADO "INCENTIVOS CON-SENTIDO"</v>
      </c>
      <c r="J64" t="s">
        <v>813</v>
      </c>
      <c r="K64" t="str">
        <f>"025"</f>
        <v>025</v>
      </c>
      <c r="L64" t="s">
        <v>822</v>
      </c>
      <c r="M64" t="s">
        <v>26</v>
      </c>
      <c r="N64" t="s">
        <v>27</v>
      </c>
      <c r="O64" t="s">
        <v>814</v>
      </c>
      <c r="P64" t="str">
        <f t="shared" si="3"/>
        <v>2020130010038 CONSOLIDACION DEL SISTEMA DEPORTIVO DISTRITAL MEDIANTE UNA ESTRATEGIA DE ESTIMULOS Y/O APOYOS A LAS ORGANIZACIONES DEPORTIVAS Y DEPORTISTAS DE ALTOS LOGROS-0  CARTAGENA DE INDIAS</v>
      </c>
      <c r="Q64" t="str">
        <f t="shared" si="0"/>
        <v>06</v>
      </c>
      <c r="R64" t="str">
        <f t="shared" si="1"/>
        <v>00</v>
      </c>
      <c r="S64" s="1">
        <v>300000000</v>
      </c>
      <c r="T64" s="1">
        <v>0</v>
      </c>
      <c r="U64" s="1">
        <v>300000000</v>
      </c>
      <c r="V64" s="1">
        <v>300000000</v>
      </c>
      <c r="W64" s="1">
        <v>0</v>
      </c>
      <c r="X64" s="1">
        <v>300000000</v>
      </c>
      <c r="Y64" s="1">
        <v>100</v>
      </c>
      <c r="Z64" s="1">
        <v>300000000</v>
      </c>
      <c r="AA64" s="1">
        <v>100</v>
      </c>
      <c r="AB64" s="1">
        <v>0</v>
      </c>
      <c r="AC64" s="1">
        <v>0</v>
      </c>
    </row>
    <row r="65" spans="1:29" x14ac:dyDescent="0.3">
      <c r="A65">
        <v>2022</v>
      </c>
      <c r="B65">
        <v>100</v>
      </c>
      <c r="C65" t="str">
        <f t="shared" ref="C65:C75" si="7">"17"</f>
        <v>17</v>
      </c>
      <c r="D65" t="s">
        <v>852</v>
      </c>
      <c r="E65" t="str">
        <f t="shared" si="2"/>
        <v>17 INSTITUTO DE PATRIMONIO Y CULTURA DE CARTAGENA DE INDIAS</v>
      </c>
      <c r="F65" s="2">
        <v>2020130010042</v>
      </c>
      <c r="G65" s="2" t="str">
        <f>+VLOOKUP(F65,Hoja2!$F:$I,2,FALSE)</f>
        <v>08. PILAR CARTAGENA INCLUYENTE</v>
      </c>
      <c r="H65" s="2" t="str">
        <f>+VLOOKUP(F65,Hoja2!$F:$I,3,FALSE)</f>
        <v>8.5 LÍNEA ESTRATÉGICA ARTES, CULTURA Y PATRIMONIO PARA UNA CARTAGENA INCLUYENTE</v>
      </c>
      <c r="I65" s="2" t="str">
        <f>+VLOOKUP(F65,Hoja2!$F:$I,4,FALSE)</f>
        <v>8.5.1 PROGRAMA: MEDIACION Y BIBLIOTECAS PARA LA INCLUSION</v>
      </c>
      <c r="J65" t="s">
        <v>860</v>
      </c>
      <c r="K65" t="str">
        <f>"057"</f>
        <v>057</v>
      </c>
      <c r="L65" t="s">
        <v>861</v>
      </c>
      <c r="M65" t="s">
        <v>26</v>
      </c>
      <c r="N65" t="s">
        <v>27</v>
      </c>
      <c r="O65" t="s">
        <v>862</v>
      </c>
      <c r="P65" t="str">
        <f t="shared" si="3"/>
        <v>2020130010042 FORTALECIMIENTO DE LOS PROCESOS DE MEDIACION Y BIBLIOTECAS PARA LA INCLUSION EN EL DISTRITO DE  CARTAGENA DE INDIAS</v>
      </c>
      <c r="Q65" t="str">
        <f t="shared" si="0"/>
        <v>06</v>
      </c>
      <c r="R65" t="str">
        <f t="shared" si="1"/>
        <v>00</v>
      </c>
      <c r="S65" s="1">
        <v>233350515</v>
      </c>
      <c r="T65" s="1">
        <v>0</v>
      </c>
      <c r="U65" s="1">
        <v>233350515</v>
      </c>
      <c r="V65" s="1">
        <v>233350515</v>
      </c>
      <c r="W65" s="1">
        <v>0</v>
      </c>
      <c r="X65" s="1">
        <v>233350515</v>
      </c>
      <c r="Y65" s="1">
        <v>100</v>
      </c>
      <c r="Z65" s="1">
        <v>175012886</v>
      </c>
      <c r="AA65" s="1">
        <v>75</v>
      </c>
      <c r="AB65" s="1">
        <v>0</v>
      </c>
      <c r="AC65" s="1">
        <v>155567010</v>
      </c>
    </row>
    <row r="66" spans="1:29" x14ac:dyDescent="0.3">
      <c r="A66">
        <v>2022</v>
      </c>
      <c r="B66">
        <v>100</v>
      </c>
      <c r="C66" t="str">
        <f t="shared" si="7"/>
        <v>17</v>
      </c>
      <c r="D66" t="s">
        <v>852</v>
      </c>
      <c r="E66" t="str">
        <f t="shared" si="2"/>
        <v>17 INSTITUTO DE PATRIMONIO Y CULTURA DE CARTAGENA DE INDIAS</v>
      </c>
      <c r="F66" s="2">
        <v>2020130010042</v>
      </c>
      <c r="G66" s="2" t="str">
        <f>+VLOOKUP(F66,Hoja2!$F:$I,2,FALSE)</f>
        <v>08. PILAR CARTAGENA INCLUYENTE</v>
      </c>
      <c r="H66" s="2" t="str">
        <f>+VLOOKUP(F66,Hoja2!$F:$I,3,FALSE)</f>
        <v>8.5 LÍNEA ESTRATÉGICA ARTES, CULTURA Y PATRIMONIO PARA UNA CARTAGENA INCLUYENTE</v>
      </c>
      <c r="I66" s="2" t="str">
        <f>+VLOOKUP(F66,Hoja2!$F:$I,4,FALSE)</f>
        <v>8.5.1 PROGRAMA: MEDIACION Y BIBLIOTECAS PARA LA INCLUSION</v>
      </c>
      <c r="J66" t="s">
        <v>860</v>
      </c>
      <c r="K66" t="str">
        <f>"082"</f>
        <v>082</v>
      </c>
      <c r="L66" t="s">
        <v>876</v>
      </c>
      <c r="M66" t="s">
        <v>26</v>
      </c>
      <c r="N66" t="s">
        <v>27</v>
      </c>
      <c r="O66" t="s">
        <v>862</v>
      </c>
      <c r="P66" t="str">
        <f t="shared" si="3"/>
        <v>2020130010042 FORTALECIMIENTO DE LOS PROCESOS DE MEDIACION Y BIBLIOTECAS PARA LA INCLUSION EN EL DISTRITO DE  CARTAGENA DE INDIAS</v>
      </c>
      <c r="Q66" t="str">
        <f t="shared" ref="Q66:Q129" si="8">"06"</f>
        <v>06</v>
      </c>
      <c r="R66" t="str">
        <f t="shared" ref="R66:R129" si="9">"00"</f>
        <v>00</v>
      </c>
      <c r="S66" s="1">
        <v>80000000</v>
      </c>
      <c r="T66" s="1">
        <v>0</v>
      </c>
      <c r="U66" s="1">
        <v>80000000</v>
      </c>
      <c r="V66" s="1">
        <v>0</v>
      </c>
      <c r="W66" s="1">
        <v>80000000</v>
      </c>
      <c r="X66" s="1">
        <v>0</v>
      </c>
      <c r="Y66" s="1">
        <v>0</v>
      </c>
      <c r="Z66" s="1">
        <v>0</v>
      </c>
      <c r="AA66" s="1">
        <v>0</v>
      </c>
      <c r="AB66" s="1">
        <v>80000000</v>
      </c>
      <c r="AC66" s="1">
        <v>0</v>
      </c>
    </row>
    <row r="67" spans="1:29" x14ac:dyDescent="0.3">
      <c r="A67">
        <v>2022</v>
      </c>
      <c r="B67">
        <v>100</v>
      </c>
      <c r="C67" t="str">
        <f t="shared" si="7"/>
        <v>17</v>
      </c>
      <c r="D67" t="s">
        <v>852</v>
      </c>
      <c r="E67" t="str">
        <f t="shared" ref="E67:E130" si="10">+CONCATENATE(C67," ",D67)</f>
        <v>17 INSTITUTO DE PATRIMONIO Y CULTURA DE CARTAGENA DE INDIAS</v>
      </c>
      <c r="F67" s="2">
        <v>2020130010042</v>
      </c>
      <c r="G67" s="2" t="str">
        <f>+VLOOKUP(F67,Hoja2!$F:$I,2,FALSE)</f>
        <v>08. PILAR CARTAGENA INCLUYENTE</v>
      </c>
      <c r="H67" s="2" t="str">
        <f>+VLOOKUP(F67,Hoja2!$F:$I,3,FALSE)</f>
        <v>8.5 LÍNEA ESTRATÉGICA ARTES, CULTURA Y PATRIMONIO PARA UNA CARTAGENA INCLUYENTE</v>
      </c>
      <c r="I67" s="2" t="str">
        <f>+VLOOKUP(F67,Hoja2!$F:$I,4,FALSE)</f>
        <v>8.5.1 PROGRAMA: MEDIACION Y BIBLIOTECAS PARA LA INCLUSION</v>
      </c>
      <c r="J67" t="s">
        <v>860</v>
      </c>
      <c r="K67" t="str">
        <f>"001"</f>
        <v>001</v>
      </c>
      <c r="L67" t="s">
        <v>25</v>
      </c>
      <c r="M67" t="s">
        <v>26</v>
      </c>
      <c r="N67" t="s">
        <v>27</v>
      </c>
      <c r="O67" t="s">
        <v>862</v>
      </c>
      <c r="P67" t="str">
        <f t="shared" ref="P67:P130" si="11">+CONCATENATE(F67," ",O67)</f>
        <v>2020130010042 FORTALECIMIENTO DE LOS PROCESOS DE MEDIACION Y BIBLIOTECAS PARA LA INCLUSION EN EL DISTRITO DE  CARTAGENA DE INDIAS</v>
      </c>
      <c r="Q67" t="str">
        <f t="shared" si="8"/>
        <v>06</v>
      </c>
      <c r="R67" t="str">
        <f t="shared" si="9"/>
        <v>00</v>
      </c>
      <c r="S67" s="1">
        <v>850000000</v>
      </c>
      <c r="T67" s="1">
        <v>0</v>
      </c>
      <c r="U67" s="1">
        <v>850000000</v>
      </c>
      <c r="V67" s="1">
        <v>850000000</v>
      </c>
      <c r="W67" s="1">
        <v>0</v>
      </c>
      <c r="X67" s="1">
        <v>850000000</v>
      </c>
      <c r="Y67" s="1">
        <v>100</v>
      </c>
      <c r="Z67" s="1">
        <v>850000000</v>
      </c>
      <c r="AA67" s="1">
        <v>100</v>
      </c>
      <c r="AB67" s="1">
        <v>0</v>
      </c>
      <c r="AC67" s="1">
        <v>850000000</v>
      </c>
    </row>
    <row r="68" spans="1:29" x14ac:dyDescent="0.3">
      <c r="A68">
        <v>2022</v>
      </c>
      <c r="B68">
        <v>100</v>
      </c>
      <c r="C68" t="str">
        <f t="shared" si="7"/>
        <v>17</v>
      </c>
      <c r="D68" t="s">
        <v>852</v>
      </c>
      <c r="E68" t="str">
        <f t="shared" si="10"/>
        <v>17 INSTITUTO DE PATRIMONIO Y CULTURA DE CARTAGENA DE INDIAS</v>
      </c>
      <c r="F68" s="2">
        <v>2020130010043</v>
      </c>
      <c r="G68" s="2" t="str">
        <f>+VLOOKUP(F68,Hoja2!$F:$I,2,FALSE)</f>
        <v>08. PILAR CARTAGENA INCLUYENTE</v>
      </c>
      <c r="H68" s="2" t="str">
        <f>+VLOOKUP(F68,Hoja2!$F:$I,3,FALSE)</f>
        <v>8.5 LÍNEA ESTRATÉGICA ARTES, CULTURA Y PATRIMONIO PARA UNA CARTAGENA INCLUYENTE</v>
      </c>
      <c r="I68" s="2" t="str">
        <f>+VLOOKUP(F68,Hoja2!$F:$I,4,FALSE)</f>
        <v>8.5.2 PROGRAMA: ESTIMULOS PARA LAS ARTES Y EL EMPRENDIMIENTO PARA UNA CARTAGENA INCLUYENTE</v>
      </c>
      <c r="J68" t="s">
        <v>863</v>
      </c>
      <c r="K68" t="str">
        <f>"057"</f>
        <v>057</v>
      </c>
      <c r="L68" t="s">
        <v>861</v>
      </c>
      <c r="M68" t="s">
        <v>26</v>
      </c>
      <c r="N68" t="s">
        <v>27</v>
      </c>
      <c r="O68" t="s">
        <v>864</v>
      </c>
      <c r="P68" t="str">
        <f t="shared" si="11"/>
        <v>2020130010043 FORTALECIMIENTO DE ESTIMULOS PARA LAS ARTES Y LA CULTURA EN EL DISTRITO DE  CARTAGENA DE INDIAS</v>
      </c>
      <c r="Q68" t="str">
        <f t="shared" si="8"/>
        <v>06</v>
      </c>
      <c r="R68" t="str">
        <f t="shared" si="9"/>
        <v>00</v>
      </c>
      <c r="S68" s="1">
        <v>267962307</v>
      </c>
      <c r="T68" s="1">
        <v>34346032</v>
      </c>
      <c r="U68" s="1">
        <v>302308339</v>
      </c>
      <c r="V68" s="1">
        <v>302308339</v>
      </c>
      <c r="W68" s="1">
        <v>0</v>
      </c>
      <c r="X68" s="1">
        <v>302308339</v>
      </c>
      <c r="Y68" s="1">
        <v>100</v>
      </c>
      <c r="Z68" s="1">
        <v>257647954.5</v>
      </c>
      <c r="AA68" s="1">
        <v>85.23</v>
      </c>
      <c r="AB68" s="1">
        <v>0</v>
      </c>
      <c r="AC68" s="1">
        <v>145996993.5</v>
      </c>
    </row>
    <row r="69" spans="1:29" x14ac:dyDescent="0.3">
      <c r="A69">
        <v>2022</v>
      </c>
      <c r="B69">
        <v>100</v>
      </c>
      <c r="C69" t="str">
        <f t="shared" si="7"/>
        <v>17</v>
      </c>
      <c r="D69" t="s">
        <v>852</v>
      </c>
      <c r="E69" t="str">
        <f t="shared" si="10"/>
        <v>17 INSTITUTO DE PATRIMONIO Y CULTURA DE CARTAGENA DE INDIAS</v>
      </c>
      <c r="F69" s="2">
        <v>2020130010043</v>
      </c>
      <c r="G69" s="2" t="str">
        <f>+VLOOKUP(F69,Hoja2!$F:$I,2,FALSE)</f>
        <v>08. PILAR CARTAGENA INCLUYENTE</v>
      </c>
      <c r="H69" s="2" t="str">
        <f>+VLOOKUP(F69,Hoja2!$F:$I,3,FALSE)</f>
        <v>8.5 LÍNEA ESTRATÉGICA ARTES, CULTURA Y PATRIMONIO PARA UNA CARTAGENA INCLUYENTE</v>
      </c>
      <c r="I69" s="2" t="str">
        <f>+VLOOKUP(F69,Hoja2!$F:$I,4,FALSE)</f>
        <v>8.5.2 PROGRAMA: ESTIMULOS PARA LAS ARTES Y EL EMPRENDIMIENTO PARA UNA CARTAGENA INCLUYENTE</v>
      </c>
      <c r="J69" t="s">
        <v>863</v>
      </c>
      <c r="K69" t="str">
        <f>"082"</f>
        <v>082</v>
      </c>
      <c r="L69" t="s">
        <v>876</v>
      </c>
      <c r="M69" t="s">
        <v>26</v>
      </c>
      <c r="N69" t="s">
        <v>27</v>
      </c>
      <c r="O69" t="s">
        <v>864</v>
      </c>
      <c r="P69" t="str">
        <f t="shared" si="11"/>
        <v>2020130010043 FORTALECIMIENTO DE ESTIMULOS PARA LAS ARTES Y LA CULTURA EN EL DISTRITO DE  CARTAGENA DE INDIAS</v>
      </c>
      <c r="Q69" t="str">
        <f t="shared" si="8"/>
        <v>06</v>
      </c>
      <c r="R69" t="str">
        <f t="shared" si="9"/>
        <v>00</v>
      </c>
      <c r="S69" s="1">
        <v>80000000</v>
      </c>
      <c r="T69" s="1">
        <v>0</v>
      </c>
      <c r="U69" s="1">
        <v>80000000</v>
      </c>
      <c r="V69" s="1">
        <v>0</v>
      </c>
      <c r="W69" s="1">
        <v>80000000</v>
      </c>
      <c r="X69" s="1">
        <v>0</v>
      </c>
      <c r="Y69" s="1">
        <v>0</v>
      </c>
      <c r="Z69" s="1">
        <v>0</v>
      </c>
      <c r="AA69" s="1">
        <v>0</v>
      </c>
      <c r="AB69" s="1">
        <v>80000000</v>
      </c>
      <c r="AC69" s="1">
        <v>0</v>
      </c>
    </row>
    <row r="70" spans="1:29" x14ac:dyDescent="0.3">
      <c r="A70">
        <v>2022</v>
      </c>
      <c r="B70">
        <v>100</v>
      </c>
      <c r="C70" t="str">
        <f t="shared" si="7"/>
        <v>17</v>
      </c>
      <c r="D70" t="s">
        <v>852</v>
      </c>
      <c r="E70" t="str">
        <f t="shared" si="10"/>
        <v>17 INSTITUTO DE PATRIMONIO Y CULTURA DE CARTAGENA DE INDIAS</v>
      </c>
      <c r="F70" s="2">
        <v>2020130010043</v>
      </c>
      <c r="G70" s="2" t="str">
        <f>+VLOOKUP(F70,Hoja2!$F:$I,2,FALSE)</f>
        <v>08. PILAR CARTAGENA INCLUYENTE</v>
      </c>
      <c r="H70" s="2" t="str">
        <f>+VLOOKUP(F70,Hoja2!$F:$I,3,FALSE)</f>
        <v>8.5 LÍNEA ESTRATÉGICA ARTES, CULTURA Y PATRIMONIO PARA UNA CARTAGENA INCLUYENTE</v>
      </c>
      <c r="I70" s="2" t="str">
        <f>+VLOOKUP(F70,Hoja2!$F:$I,4,FALSE)</f>
        <v>8.5.2 PROGRAMA: ESTIMULOS PARA LAS ARTES Y EL EMPRENDIMIENTO PARA UNA CARTAGENA INCLUYENTE</v>
      </c>
      <c r="J70" t="s">
        <v>863</v>
      </c>
      <c r="K70" t="str">
        <f>"001"</f>
        <v>001</v>
      </c>
      <c r="L70" t="s">
        <v>25</v>
      </c>
      <c r="M70" t="s">
        <v>26</v>
      </c>
      <c r="N70" t="s">
        <v>27</v>
      </c>
      <c r="O70" t="s">
        <v>864</v>
      </c>
      <c r="P70" t="str">
        <f t="shared" si="11"/>
        <v>2020130010043 FORTALECIMIENTO DE ESTIMULOS PARA LAS ARTES Y LA CULTURA EN EL DISTRITO DE  CARTAGENA DE INDIAS</v>
      </c>
      <c r="Q70" t="str">
        <f t="shared" si="8"/>
        <v>06</v>
      </c>
      <c r="R70" t="str">
        <f t="shared" si="9"/>
        <v>00</v>
      </c>
      <c r="S70" s="1">
        <v>250000000</v>
      </c>
      <c r="T70" s="1">
        <v>0</v>
      </c>
      <c r="U70" s="1">
        <v>250000000</v>
      </c>
      <c r="V70" s="1">
        <v>250000000</v>
      </c>
      <c r="W70" s="1">
        <v>0</v>
      </c>
      <c r="X70" s="1">
        <v>250000000</v>
      </c>
      <c r="Y70" s="1">
        <v>100</v>
      </c>
      <c r="Z70" s="1">
        <v>250000000</v>
      </c>
      <c r="AA70" s="1">
        <v>100</v>
      </c>
      <c r="AB70" s="1">
        <v>0</v>
      </c>
      <c r="AC70" s="1">
        <v>250000000</v>
      </c>
    </row>
    <row r="71" spans="1:29" x14ac:dyDescent="0.3">
      <c r="A71">
        <v>2022</v>
      </c>
      <c r="B71">
        <v>100</v>
      </c>
      <c r="C71" t="str">
        <f t="shared" si="7"/>
        <v>17</v>
      </c>
      <c r="D71" t="s">
        <v>852</v>
      </c>
      <c r="E71" t="str">
        <f t="shared" si="10"/>
        <v>17 INSTITUTO DE PATRIMONIO Y CULTURA DE CARTAGENA DE INDIAS</v>
      </c>
      <c r="F71" s="2">
        <v>2020130010045</v>
      </c>
      <c r="G71" s="2" t="str">
        <f>+VLOOKUP(F71,Hoja2!$F:$I,2,FALSE)</f>
        <v>08. PILAR CARTAGENA INCLUYENTE</v>
      </c>
      <c r="H71" s="2" t="str">
        <f>+VLOOKUP(F71,Hoja2!$F:$I,3,FALSE)</f>
        <v>8.5 LÍNEA ESTRATÉGICA ARTES, CULTURA Y PATRIMONIO PARA UNA CARTAGENA INCLUYENTE</v>
      </c>
      <c r="I71" s="2" t="str">
        <f>+VLOOKUP(F71,Hoja2!$F:$I,4,FALSE)</f>
        <v>8.5.2 PROGRAMA: ESTIMULOS PARA LAS ARTES Y EL EMPRENDIMIENTO PARA UNA CARTAGENA INCLUYENTE</v>
      </c>
      <c r="J71" t="s">
        <v>865</v>
      </c>
      <c r="K71" t="str">
        <f>"057"</f>
        <v>057</v>
      </c>
      <c r="L71" t="s">
        <v>861</v>
      </c>
      <c r="M71" t="s">
        <v>26</v>
      </c>
      <c r="N71" t="s">
        <v>27</v>
      </c>
      <c r="O71" t="s">
        <v>866</v>
      </c>
      <c r="P71" t="str">
        <f t="shared" si="11"/>
        <v>2020130010045 FORMACION Y DIVULGACION PARA LAS ARTES Y EL EMPRENDIMIENTO EN EL DISTRITO DE  CARTAGENA DE INDIAS</v>
      </c>
      <c r="Q71" t="str">
        <f t="shared" si="8"/>
        <v>06</v>
      </c>
      <c r="R71" t="str">
        <f t="shared" si="9"/>
        <v>00</v>
      </c>
      <c r="S71" s="1">
        <v>267962307</v>
      </c>
      <c r="T71" s="1">
        <v>0</v>
      </c>
      <c r="U71" s="1">
        <v>267962307</v>
      </c>
      <c r="V71" s="1">
        <v>156311346</v>
      </c>
      <c r="W71" s="1">
        <v>111650961</v>
      </c>
      <c r="X71" s="1">
        <v>156311346</v>
      </c>
      <c r="Y71" s="1">
        <v>58.33</v>
      </c>
      <c r="Z71" s="1">
        <v>156311346</v>
      </c>
      <c r="AA71" s="1">
        <v>58.33</v>
      </c>
      <c r="AB71" s="1">
        <v>111650961</v>
      </c>
      <c r="AC71" s="1">
        <v>156311346</v>
      </c>
    </row>
    <row r="72" spans="1:29" x14ac:dyDescent="0.3">
      <c r="A72">
        <v>2022</v>
      </c>
      <c r="B72">
        <v>100</v>
      </c>
      <c r="C72" t="str">
        <f t="shared" si="7"/>
        <v>17</v>
      </c>
      <c r="D72" t="s">
        <v>852</v>
      </c>
      <c r="E72" t="str">
        <f t="shared" si="10"/>
        <v>17 INSTITUTO DE PATRIMONIO Y CULTURA DE CARTAGENA DE INDIAS</v>
      </c>
      <c r="F72" s="2">
        <v>2020130010045</v>
      </c>
      <c r="G72" s="2" t="str">
        <f>+VLOOKUP(F72,Hoja2!$F:$I,2,FALSE)</f>
        <v>08. PILAR CARTAGENA INCLUYENTE</v>
      </c>
      <c r="H72" s="2" t="str">
        <f>+VLOOKUP(F72,Hoja2!$F:$I,3,FALSE)</f>
        <v>8.5 LÍNEA ESTRATÉGICA ARTES, CULTURA Y PATRIMONIO PARA UNA CARTAGENA INCLUYENTE</v>
      </c>
      <c r="I72" s="2" t="str">
        <f>+VLOOKUP(F72,Hoja2!$F:$I,4,FALSE)</f>
        <v>8.5.2 PROGRAMA: ESTIMULOS PARA LAS ARTES Y EL EMPRENDIMIENTO PARA UNA CARTAGENA INCLUYENTE</v>
      </c>
      <c r="J72" t="s">
        <v>865</v>
      </c>
      <c r="K72" t="str">
        <f>"082"</f>
        <v>082</v>
      </c>
      <c r="L72" t="s">
        <v>876</v>
      </c>
      <c r="M72" t="s">
        <v>26</v>
      </c>
      <c r="N72" t="s">
        <v>27</v>
      </c>
      <c r="O72" t="s">
        <v>866</v>
      </c>
      <c r="P72" t="str">
        <f t="shared" si="11"/>
        <v>2020130010045 FORMACION Y DIVULGACION PARA LAS ARTES Y EL EMPRENDIMIENTO EN EL DISTRITO DE  CARTAGENA DE INDIAS</v>
      </c>
      <c r="Q72" t="str">
        <f t="shared" si="8"/>
        <v>06</v>
      </c>
      <c r="R72" t="str">
        <f t="shared" si="9"/>
        <v>00</v>
      </c>
      <c r="S72" s="1">
        <v>80000000</v>
      </c>
      <c r="T72" s="1">
        <v>0</v>
      </c>
      <c r="U72" s="1">
        <v>80000000</v>
      </c>
      <c r="V72" s="1">
        <v>0</v>
      </c>
      <c r="W72" s="1">
        <v>80000000</v>
      </c>
      <c r="X72" s="1">
        <v>0</v>
      </c>
      <c r="Y72" s="1">
        <v>0</v>
      </c>
      <c r="Z72" s="1">
        <v>0</v>
      </c>
      <c r="AA72" s="1">
        <v>0</v>
      </c>
      <c r="AB72" s="1">
        <v>80000000</v>
      </c>
      <c r="AC72" s="1">
        <v>0</v>
      </c>
    </row>
    <row r="73" spans="1:29" x14ac:dyDescent="0.3">
      <c r="A73">
        <v>2022</v>
      </c>
      <c r="B73">
        <v>100</v>
      </c>
      <c r="C73" t="str">
        <f t="shared" si="7"/>
        <v>17</v>
      </c>
      <c r="D73" t="s">
        <v>852</v>
      </c>
      <c r="E73" t="str">
        <f t="shared" si="10"/>
        <v>17 INSTITUTO DE PATRIMONIO Y CULTURA DE CARTAGENA DE INDIAS</v>
      </c>
      <c r="F73" s="2">
        <v>2020130010045</v>
      </c>
      <c r="G73" s="2" t="str">
        <f>+VLOOKUP(F73,Hoja2!$F:$I,2,FALSE)</f>
        <v>08. PILAR CARTAGENA INCLUYENTE</v>
      </c>
      <c r="H73" s="2" t="str">
        <f>+VLOOKUP(F73,Hoja2!$F:$I,3,FALSE)</f>
        <v>8.5 LÍNEA ESTRATÉGICA ARTES, CULTURA Y PATRIMONIO PARA UNA CARTAGENA INCLUYENTE</v>
      </c>
      <c r="I73" s="2" t="str">
        <f>+VLOOKUP(F73,Hoja2!$F:$I,4,FALSE)</f>
        <v>8.5.2 PROGRAMA: ESTIMULOS PARA LAS ARTES Y EL EMPRENDIMIENTO PARA UNA CARTAGENA INCLUYENTE</v>
      </c>
      <c r="J73" t="s">
        <v>865</v>
      </c>
      <c r="K73" t="str">
        <f>"083"</f>
        <v>083</v>
      </c>
      <c r="L73" t="s">
        <v>877</v>
      </c>
      <c r="M73" t="s">
        <v>26</v>
      </c>
      <c r="N73" t="s">
        <v>27</v>
      </c>
      <c r="O73" t="s">
        <v>866</v>
      </c>
      <c r="P73" t="str">
        <f t="shared" si="11"/>
        <v>2020130010045 FORMACION Y DIVULGACION PARA LAS ARTES Y EL EMPRENDIMIENTO EN EL DISTRITO DE  CARTAGENA DE INDIAS</v>
      </c>
      <c r="Q73" t="str">
        <f t="shared" si="8"/>
        <v>06</v>
      </c>
      <c r="R73" t="str">
        <f t="shared" si="9"/>
        <v>00</v>
      </c>
      <c r="S73" s="1">
        <v>49869037</v>
      </c>
      <c r="T73" s="1">
        <v>0</v>
      </c>
      <c r="U73" s="1">
        <v>49869037</v>
      </c>
      <c r="V73" s="1">
        <v>49869037</v>
      </c>
      <c r="W73" s="1">
        <v>0</v>
      </c>
      <c r="X73" s="1">
        <v>49869037</v>
      </c>
      <c r="Y73" s="1">
        <v>100</v>
      </c>
      <c r="Z73" s="1">
        <v>43650368</v>
      </c>
      <c r="AA73" s="1">
        <v>87.53</v>
      </c>
      <c r="AB73" s="1">
        <v>0</v>
      </c>
      <c r="AC73" s="1">
        <v>33826168</v>
      </c>
    </row>
    <row r="74" spans="1:29" x14ac:dyDescent="0.3">
      <c r="A74">
        <v>2022</v>
      </c>
      <c r="B74">
        <v>100</v>
      </c>
      <c r="C74" t="str">
        <f t="shared" si="7"/>
        <v>17</v>
      </c>
      <c r="D74" t="s">
        <v>852</v>
      </c>
      <c r="E74" t="str">
        <f t="shared" si="10"/>
        <v>17 INSTITUTO DE PATRIMONIO Y CULTURA DE CARTAGENA DE INDIAS</v>
      </c>
      <c r="F74" s="2">
        <v>2020130010045</v>
      </c>
      <c r="G74" s="2" t="str">
        <f>+VLOOKUP(F74,Hoja2!$F:$I,2,FALSE)</f>
        <v>08. PILAR CARTAGENA INCLUYENTE</v>
      </c>
      <c r="H74" s="2" t="str">
        <f>+VLOOKUP(F74,Hoja2!$F:$I,3,FALSE)</f>
        <v>8.5 LÍNEA ESTRATÉGICA ARTES, CULTURA Y PATRIMONIO PARA UNA CARTAGENA INCLUYENTE</v>
      </c>
      <c r="I74" s="2" t="str">
        <f>+VLOOKUP(F74,Hoja2!$F:$I,4,FALSE)</f>
        <v>8.5.2 PROGRAMA: ESTIMULOS PARA LAS ARTES Y EL EMPRENDIMIENTO PARA UNA CARTAGENA INCLUYENTE</v>
      </c>
      <c r="J74" t="s">
        <v>865</v>
      </c>
      <c r="K74" t="str">
        <f>"001"</f>
        <v>001</v>
      </c>
      <c r="L74" t="s">
        <v>25</v>
      </c>
      <c r="M74" t="s">
        <v>26</v>
      </c>
      <c r="N74" t="s">
        <v>27</v>
      </c>
      <c r="O74" t="s">
        <v>866</v>
      </c>
      <c r="P74" t="str">
        <f t="shared" si="11"/>
        <v>2020130010045 FORMACION Y DIVULGACION PARA LAS ARTES Y EL EMPRENDIMIENTO EN EL DISTRITO DE  CARTAGENA DE INDIAS</v>
      </c>
      <c r="Q74" t="str">
        <f t="shared" si="8"/>
        <v>06</v>
      </c>
      <c r="R74" t="str">
        <f t="shared" si="9"/>
        <v>00</v>
      </c>
      <c r="S74" s="1">
        <v>100000000</v>
      </c>
      <c r="T74" s="1">
        <v>0</v>
      </c>
      <c r="U74" s="1">
        <v>100000000</v>
      </c>
      <c r="V74" s="1">
        <v>100000000</v>
      </c>
      <c r="W74" s="1">
        <v>0</v>
      </c>
      <c r="X74" s="1">
        <v>100000000</v>
      </c>
      <c r="Y74" s="1">
        <v>100</v>
      </c>
      <c r="Z74" s="1">
        <v>100000000</v>
      </c>
      <c r="AA74" s="1">
        <v>100</v>
      </c>
      <c r="AB74" s="1">
        <v>0</v>
      </c>
      <c r="AC74" s="1">
        <v>100000000</v>
      </c>
    </row>
    <row r="75" spans="1:29" x14ac:dyDescent="0.3">
      <c r="A75">
        <v>2022</v>
      </c>
      <c r="B75">
        <v>100</v>
      </c>
      <c r="C75" t="str">
        <f t="shared" si="7"/>
        <v>17</v>
      </c>
      <c r="D75" t="s">
        <v>852</v>
      </c>
      <c r="E75" t="str">
        <f t="shared" si="10"/>
        <v>17 INSTITUTO DE PATRIMONIO Y CULTURA DE CARTAGENA DE INDIAS</v>
      </c>
      <c r="F75" s="2">
        <v>2020130010045</v>
      </c>
      <c r="G75" s="2" t="str">
        <f>+VLOOKUP(F75,Hoja2!$F:$I,2,FALSE)</f>
        <v>08. PILAR CARTAGENA INCLUYENTE</v>
      </c>
      <c r="H75" s="2" t="str">
        <f>+VLOOKUP(F75,Hoja2!$F:$I,3,FALSE)</f>
        <v>8.5 LÍNEA ESTRATÉGICA ARTES, CULTURA Y PATRIMONIO PARA UNA CARTAGENA INCLUYENTE</v>
      </c>
      <c r="I75" s="2" t="str">
        <f>+VLOOKUP(F75,Hoja2!$F:$I,4,FALSE)</f>
        <v>8.5.2 PROGRAMA: ESTIMULOS PARA LAS ARTES Y EL EMPRENDIMIENTO PARA UNA CARTAGENA INCLUYENTE</v>
      </c>
      <c r="J75" t="s">
        <v>865</v>
      </c>
      <c r="K75" t="str">
        <f>"920"</f>
        <v>920</v>
      </c>
      <c r="L75" t="s">
        <v>886</v>
      </c>
      <c r="M75" t="s">
        <v>26</v>
      </c>
      <c r="N75" t="s">
        <v>27</v>
      </c>
      <c r="O75" t="s">
        <v>887</v>
      </c>
      <c r="P75" t="str">
        <f t="shared" si="11"/>
        <v>2020130010045 FORMACION Y DIVULGACION PARA LAS ARTES Y EL EMPRENDIMIENTO EN EL DISTRITO DE CARTAGENA DE INDIAS</v>
      </c>
      <c r="Q75" t="str">
        <f t="shared" si="8"/>
        <v>06</v>
      </c>
      <c r="R75" t="str">
        <f t="shared" si="9"/>
        <v>00</v>
      </c>
      <c r="S75" s="1">
        <v>0</v>
      </c>
      <c r="T75" s="1">
        <v>7233092.7300000004</v>
      </c>
      <c r="U75" s="1">
        <v>7233092.7300000004</v>
      </c>
      <c r="V75" s="1">
        <v>7233092.7300000004</v>
      </c>
      <c r="W75" s="1">
        <v>0</v>
      </c>
      <c r="X75" s="1">
        <v>7233092.7300000004</v>
      </c>
      <c r="Y75" s="1">
        <v>100</v>
      </c>
      <c r="Z75" s="1">
        <v>0</v>
      </c>
      <c r="AA75" s="1">
        <v>0</v>
      </c>
      <c r="AB75" s="1">
        <v>0</v>
      </c>
      <c r="AC75" s="1">
        <v>0</v>
      </c>
    </row>
    <row r="76" spans="1:29" x14ac:dyDescent="0.3">
      <c r="A76">
        <v>2022</v>
      </c>
      <c r="B76">
        <v>100</v>
      </c>
      <c r="C76" t="str">
        <f>"07"</f>
        <v>07</v>
      </c>
      <c r="D76" t="s">
        <v>399</v>
      </c>
      <c r="E76" t="str">
        <f t="shared" si="10"/>
        <v>07 SECRETARIA DE EDUCACION</v>
      </c>
      <c r="F76" s="2">
        <v>2020130010052</v>
      </c>
      <c r="G76" s="2" t="str">
        <f>+VLOOKUP(F76,Hoja2!$F:$I,2,FALSE)</f>
        <v>08. PILAR CARTAGENA INCLUYENTE</v>
      </c>
      <c r="H76" s="2" t="str">
        <f>+VLOOKUP(F76,Hoja2!$F:$I,3,FALSE)</f>
        <v>8.2 LÍNEA ESTRATEGICA DE EDUCACION: CULTURA DE LA FORMACION "CON LA EDUCACION PARA TODOS Y TODAS SALVAMOS JUNTOS A CARTAGENA"</v>
      </c>
      <c r="I76" s="2" t="str">
        <f>+VLOOKUP(F76,Hoja2!$F:$I,4,FALSE)</f>
        <v>8.2.1 PROGRAMA: ACOGIDA “ATENCIÓN A POBLACIONES Y ESTRATEGIAS DE ACCESO Y PERMANENCIA”</v>
      </c>
      <c r="J76" t="s">
        <v>402</v>
      </c>
      <c r="K76" t="str">
        <f>"908"</f>
        <v>908</v>
      </c>
      <c r="L76" t="s">
        <v>403</v>
      </c>
      <c r="M76" t="s">
        <v>26</v>
      </c>
      <c r="N76" t="s">
        <v>27</v>
      </c>
      <c r="O76" t="s">
        <v>404</v>
      </c>
      <c r="P76" t="str">
        <f t="shared" si="11"/>
        <v>2020130010052 ADMINISTRACION DEL TALENTO HUMANO DEL SERVICIO EDUCATIVO OFICIAL DOCENTES, DIRECTIVOS DOCENTES Y ADMINISTRATIVOS DEL DISTRITO DE CARTAGENA DE INDIAS</v>
      </c>
      <c r="Q76" t="str">
        <f t="shared" si="8"/>
        <v>06</v>
      </c>
      <c r="R76" t="str">
        <f t="shared" si="9"/>
        <v>00</v>
      </c>
      <c r="S76" s="1">
        <v>0</v>
      </c>
      <c r="T76" s="1">
        <v>5044707837.1999998</v>
      </c>
      <c r="U76" s="1">
        <v>5044707837.1999998</v>
      </c>
      <c r="V76" s="1">
        <v>5044707837</v>
      </c>
      <c r="W76" s="1">
        <v>0.2</v>
      </c>
      <c r="X76" s="1">
        <v>5044707837</v>
      </c>
      <c r="Y76" s="1">
        <v>100</v>
      </c>
      <c r="Z76" s="1">
        <v>5044707837</v>
      </c>
      <c r="AA76" s="1">
        <v>100</v>
      </c>
      <c r="AB76" s="1">
        <v>0.2</v>
      </c>
      <c r="AC76" s="1">
        <v>5044707837</v>
      </c>
    </row>
    <row r="77" spans="1:29" x14ac:dyDescent="0.3">
      <c r="A77">
        <v>2022</v>
      </c>
      <c r="B77">
        <v>100</v>
      </c>
      <c r="C77" t="str">
        <f>"07"</f>
        <v>07</v>
      </c>
      <c r="D77" t="s">
        <v>399</v>
      </c>
      <c r="E77" t="str">
        <f t="shared" si="10"/>
        <v>07 SECRETARIA DE EDUCACION</v>
      </c>
      <c r="F77" s="2">
        <v>2020130010052</v>
      </c>
      <c r="G77" s="2" t="str">
        <f>+VLOOKUP(F77,Hoja2!$F:$I,2,FALSE)</f>
        <v>08. PILAR CARTAGENA INCLUYENTE</v>
      </c>
      <c r="H77" s="2" t="str">
        <f>+VLOOKUP(F77,Hoja2!$F:$I,3,FALSE)</f>
        <v>8.2 LÍNEA ESTRATEGICA DE EDUCACION: CULTURA DE LA FORMACION "CON LA EDUCACION PARA TODOS Y TODAS SALVAMOS JUNTOS A CARTAGENA"</v>
      </c>
      <c r="I77" s="2" t="str">
        <f>+VLOOKUP(F77,Hoja2!$F:$I,4,FALSE)</f>
        <v>8.2.1 PROGRAMA: ACOGIDA “ATENCIÓN A POBLACIONES Y ESTRATEGIAS DE ACCESO Y PERMANENCIA”</v>
      </c>
      <c r="J77" t="s">
        <v>402</v>
      </c>
      <c r="K77" t="str">
        <f>"899"</f>
        <v>899</v>
      </c>
      <c r="L77" t="s">
        <v>413</v>
      </c>
      <c r="M77" t="s">
        <v>26</v>
      </c>
      <c r="N77" t="s">
        <v>27</v>
      </c>
      <c r="O77" t="s">
        <v>404</v>
      </c>
      <c r="P77" t="str">
        <f t="shared" si="11"/>
        <v>2020130010052 ADMINISTRACION DEL TALENTO HUMANO DEL SERVICIO EDUCATIVO OFICIAL DOCENTES, DIRECTIVOS DOCENTES Y ADMINISTRATIVOS DEL DISTRITO DE CARTAGENA DE INDIAS</v>
      </c>
      <c r="Q77" t="str">
        <f t="shared" si="8"/>
        <v>06</v>
      </c>
      <c r="R77" t="str">
        <f t="shared" si="9"/>
        <v>00</v>
      </c>
      <c r="S77" s="1">
        <v>0</v>
      </c>
      <c r="T77" s="1">
        <v>535919337.60000002</v>
      </c>
      <c r="U77" s="1">
        <v>535919337.60000002</v>
      </c>
      <c r="V77" s="1">
        <v>535919337</v>
      </c>
      <c r="W77" s="1">
        <v>0.6</v>
      </c>
      <c r="X77" s="1">
        <v>535919337</v>
      </c>
      <c r="Y77" s="1">
        <v>100</v>
      </c>
      <c r="Z77" s="1">
        <v>535919337</v>
      </c>
      <c r="AA77" s="1">
        <v>100</v>
      </c>
      <c r="AB77" s="1">
        <v>0.6</v>
      </c>
      <c r="AC77" s="1">
        <v>535919337</v>
      </c>
    </row>
    <row r="78" spans="1:29" x14ac:dyDescent="0.3">
      <c r="A78">
        <v>2022</v>
      </c>
      <c r="B78">
        <v>100</v>
      </c>
      <c r="C78" t="str">
        <f>"07"</f>
        <v>07</v>
      </c>
      <c r="D78" t="s">
        <v>399</v>
      </c>
      <c r="E78" t="str">
        <f t="shared" si="10"/>
        <v>07 SECRETARIA DE EDUCACION</v>
      </c>
      <c r="F78" s="2">
        <v>2020130010052</v>
      </c>
      <c r="G78" s="2" t="str">
        <f>+VLOOKUP(F78,Hoja2!$F:$I,2,FALSE)</f>
        <v>08. PILAR CARTAGENA INCLUYENTE</v>
      </c>
      <c r="H78" s="2" t="str">
        <f>+VLOOKUP(F78,Hoja2!$F:$I,3,FALSE)</f>
        <v>8.2 LÍNEA ESTRATEGICA DE EDUCACION: CULTURA DE LA FORMACION "CON LA EDUCACION PARA TODOS Y TODAS SALVAMOS JUNTOS A CARTAGENA"</v>
      </c>
      <c r="I78" s="2" t="str">
        <f>+VLOOKUP(F78,Hoja2!$F:$I,4,FALSE)</f>
        <v>8.2.1 PROGRAMA: ACOGIDA “ATENCIÓN A POBLACIONES Y ESTRATEGIAS DE ACCESO Y PERMANENCIA”</v>
      </c>
      <c r="J78" t="s">
        <v>402</v>
      </c>
      <c r="K78" t="str">
        <f>"071"</f>
        <v>071</v>
      </c>
      <c r="L78" t="s">
        <v>449</v>
      </c>
      <c r="M78" t="s">
        <v>26</v>
      </c>
      <c r="N78" t="s">
        <v>27</v>
      </c>
      <c r="O78" t="s">
        <v>453</v>
      </c>
      <c r="P78" t="str">
        <f t="shared" si="11"/>
        <v>2020130010052 ADMINISTRACION DEL TALENTO HUMANO DEL SERVICIO EDUCATIVO OFICIAL DOCENTES, DIRECTIVOS DOCENTES Y ADMINISTRATIVOS DEL DISTRITO DE   CARTAGENA DE INDIAS</v>
      </c>
      <c r="Q78" t="str">
        <f t="shared" si="8"/>
        <v>06</v>
      </c>
      <c r="R78" t="str">
        <f t="shared" si="9"/>
        <v>00</v>
      </c>
      <c r="S78" s="1">
        <v>410028127428</v>
      </c>
      <c r="T78" s="1">
        <v>3317129202.1999998</v>
      </c>
      <c r="U78" s="1">
        <v>413345256630.20001</v>
      </c>
      <c r="V78" s="1">
        <v>413345256630</v>
      </c>
      <c r="W78" s="1">
        <v>0.2</v>
      </c>
      <c r="X78" s="1">
        <v>413345256630</v>
      </c>
      <c r="Y78" s="1">
        <v>100</v>
      </c>
      <c r="Z78" s="1">
        <v>413310439973</v>
      </c>
      <c r="AA78" s="1">
        <v>99.99</v>
      </c>
      <c r="AB78" s="1">
        <v>0.2</v>
      </c>
      <c r="AC78" s="1">
        <v>404333972648</v>
      </c>
    </row>
    <row r="79" spans="1:29" x14ac:dyDescent="0.3">
      <c r="A79">
        <v>2022</v>
      </c>
      <c r="B79">
        <v>100</v>
      </c>
      <c r="C79" t="str">
        <f>"07"</f>
        <v>07</v>
      </c>
      <c r="D79" t="s">
        <v>399</v>
      </c>
      <c r="E79" t="str">
        <f t="shared" si="10"/>
        <v>07 SECRETARIA DE EDUCACION</v>
      </c>
      <c r="F79" s="2">
        <v>2020130010052</v>
      </c>
      <c r="G79" s="2" t="str">
        <f>+VLOOKUP(F79,Hoja2!$F:$I,2,FALSE)</f>
        <v>08. PILAR CARTAGENA INCLUYENTE</v>
      </c>
      <c r="H79" s="2" t="str">
        <f>+VLOOKUP(F79,Hoja2!$F:$I,3,FALSE)</f>
        <v>8.2 LÍNEA ESTRATEGICA DE EDUCACION: CULTURA DE LA FORMACION "CON LA EDUCACION PARA TODOS Y TODAS SALVAMOS JUNTOS A CARTAGENA"</v>
      </c>
      <c r="I79" s="2" t="str">
        <f>+VLOOKUP(F79,Hoja2!$F:$I,4,FALSE)</f>
        <v>8.2.1 PROGRAMA: ACOGIDA “ATENCIÓN A POBLACIONES Y ESTRATEGIAS DE ACCESO Y PERMANENCIA”</v>
      </c>
      <c r="J79" t="s">
        <v>402</v>
      </c>
      <c r="K79" t="str">
        <f>"001"</f>
        <v>001</v>
      </c>
      <c r="L79" t="s">
        <v>25</v>
      </c>
      <c r="M79" t="s">
        <v>26</v>
      </c>
      <c r="N79" t="s">
        <v>27</v>
      </c>
      <c r="O79" t="s">
        <v>453</v>
      </c>
      <c r="P79" t="str">
        <f t="shared" si="11"/>
        <v>2020130010052 ADMINISTRACION DEL TALENTO HUMANO DEL SERVICIO EDUCATIVO OFICIAL DOCENTES, DIRECTIVOS DOCENTES Y ADMINISTRATIVOS DEL DISTRITO DE   CARTAGENA DE INDIAS</v>
      </c>
      <c r="Q79" t="str">
        <f t="shared" si="8"/>
        <v>06</v>
      </c>
      <c r="R79" t="str">
        <f t="shared" si="9"/>
        <v>00</v>
      </c>
      <c r="S79" s="1">
        <v>166759652</v>
      </c>
      <c r="T79" s="1">
        <v>4476226479</v>
      </c>
      <c r="U79" s="1">
        <v>4642986131</v>
      </c>
      <c r="V79" s="1">
        <v>4642986131</v>
      </c>
      <c r="W79" s="1">
        <v>0</v>
      </c>
      <c r="X79" s="1">
        <v>4642986131</v>
      </c>
      <c r="Y79" s="1">
        <v>100</v>
      </c>
      <c r="Z79" s="1">
        <v>4575426073</v>
      </c>
      <c r="AA79" s="1">
        <v>98.54</v>
      </c>
      <c r="AB79" s="1">
        <v>0</v>
      </c>
      <c r="AC79" s="1">
        <v>4035007885</v>
      </c>
    </row>
    <row r="80" spans="1:29" x14ac:dyDescent="0.3">
      <c r="A80">
        <v>2022</v>
      </c>
      <c r="B80">
        <v>100</v>
      </c>
      <c r="C80" t="str">
        <f t="shared" ref="C80:C90" si="12">"15"</f>
        <v>15</v>
      </c>
      <c r="D80" t="s">
        <v>793</v>
      </c>
      <c r="E80" t="str">
        <f t="shared" si="10"/>
        <v>15 INSTITUTO DE DEPORTE Y RECREACION</v>
      </c>
      <c r="F80" s="2">
        <v>2020130010053</v>
      </c>
      <c r="G80" s="2" t="str">
        <f>+VLOOKUP(F80,Hoja2!$F:$I,2,FALSE)</f>
        <v>08. PILAR CARTAGENA INCLUYENTE</v>
      </c>
      <c r="H80" s="2" t="str">
        <f>+VLOOKUP(F80,Hoja2!$F:$I,3,FALSE)</f>
        <v xml:space="preserve">8.4 LÍNEA ESTRATÉGICA DEPORTE Y RECREACIÓN PARA LA TRANSFORMACION SOCIAL </v>
      </c>
      <c r="I80" s="2" t="str">
        <f>+VLOOKUP(F80,Hoja2!$F:$I,4,FALSE)</f>
        <v xml:space="preserve">8.4.1 “LA ESCUELA Y EL DEPORTE SON DE TODOS” </v>
      </c>
      <c r="J80" t="s">
        <v>803</v>
      </c>
      <c r="K80" t="str">
        <f>"853"</f>
        <v>853</v>
      </c>
      <c r="L80" t="s">
        <v>804</v>
      </c>
      <c r="M80" t="s">
        <v>26</v>
      </c>
      <c r="N80" t="s">
        <v>27</v>
      </c>
      <c r="O80" t="s">
        <v>805</v>
      </c>
      <c r="P80" t="str">
        <f t="shared" si="11"/>
        <v>2020130010053 DESARROLLO DE LA ESCUELA DE INICIACION Y FORMACION DEPORTIVA - EIFD EN EL DISTRITO DE CARTAGENA DE INDIAS</v>
      </c>
      <c r="Q80" t="str">
        <f t="shared" si="8"/>
        <v>06</v>
      </c>
      <c r="R80" t="str">
        <f t="shared" si="9"/>
        <v>00</v>
      </c>
      <c r="S80" s="1">
        <v>0</v>
      </c>
      <c r="T80" s="1">
        <v>5084182.32</v>
      </c>
      <c r="U80" s="1">
        <v>5084182.32</v>
      </c>
      <c r="V80" s="1">
        <v>0</v>
      </c>
      <c r="W80" s="1">
        <v>5084182.32</v>
      </c>
      <c r="X80" s="1">
        <v>0</v>
      </c>
      <c r="Y80" s="1">
        <v>0</v>
      </c>
      <c r="Z80" s="1">
        <v>0</v>
      </c>
      <c r="AA80" s="1">
        <v>0</v>
      </c>
      <c r="AB80" s="1">
        <v>5084182.32</v>
      </c>
      <c r="AC80" s="1">
        <v>0</v>
      </c>
    </row>
    <row r="81" spans="1:29" x14ac:dyDescent="0.3">
      <c r="A81">
        <v>2022</v>
      </c>
      <c r="B81">
        <v>100</v>
      </c>
      <c r="C81" t="str">
        <f t="shared" si="12"/>
        <v>15</v>
      </c>
      <c r="D81" t="s">
        <v>793</v>
      </c>
      <c r="E81" t="str">
        <f t="shared" si="10"/>
        <v>15 INSTITUTO DE DEPORTE Y RECREACION</v>
      </c>
      <c r="F81" s="2">
        <v>2020130010053</v>
      </c>
      <c r="G81" s="2" t="str">
        <f>+VLOOKUP(F81,Hoja2!$F:$I,2,FALSE)</f>
        <v>08. PILAR CARTAGENA INCLUYENTE</v>
      </c>
      <c r="H81" s="2" t="str">
        <f>+VLOOKUP(F81,Hoja2!$F:$I,3,FALSE)</f>
        <v xml:space="preserve">8.4 LÍNEA ESTRATÉGICA DEPORTE Y RECREACIÓN PARA LA TRANSFORMACION SOCIAL </v>
      </c>
      <c r="I81" s="2" t="str">
        <f>+VLOOKUP(F81,Hoja2!$F:$I,4,FALSE)</f>
        <v xml:space="preserve">8.4.1 “LA ESCUELA Y EL DEPORTE SON DE TODOS” </v>
      </c>
      <c r="J81" t="s">
        <v>803</v>
      </c>
      <c r="K81" t="str">
        <f>"918"</f>
        <v>918</v>
      </c>
      <c r="L81" t="s">
        <v>807</v>
      </c>
      <c r="M81" t="s">
        <v>26</v>
      </c>
      <c r="N81" t="s">
        <v>27</v>
      </c>
      <c r="O81" t="s">
        <v>808</v>
      </c>
      <c r="P81" t="str">
        <f t="shared" si="11"/>
        <v>2020130010053 DESARROLLO DE LA ESCUELA DE INICIACION Y FORMACION DEPORTIVA - EIFD EN EL DISTRITO DE  CARTAGENA DE INDIAS</v>
      </c>
      <c r="Q81" t="str">
        <f t="shared" si="8"/>
        <v>06</v>
      </c>
      <c r="R81" t="str">
        <f t="shared" si="9"/>
        <v>00</v>
      </c>
      <c r="S81" s="1">
        <v>0</v>
      </c>
      <c r="T81" s="1">
        <v>2305765.9</v>
      </c>
      <c r="U81" s="1">
        <v>2305765.9</v>
      </c>
      <c r="V81" s="1">
        <v>0</v>
      </c>
      <c r="W81" s="1">
        <v>2305765.9</v>
      </c>
      <c r="X81" s="1">
        <v>0</v>
      </c>
      <c r="Y81" s="1">
        <v>0</v>
      </c>
      <c r="Z81" s="1">
        <v>0</v>
      </c>
      <c r="AA81" s="1">
        <v>0</v>
      </c>
      <c r="AB81" s="1">
        <v>2305765.9</v>
      </c>
      <c r="AC81" s="1">
        <v>0</v>
      </c>
    </row>
    <row r="82" spans="1:29" x14ac:dyDescent="0.3">
      <c r="A82">
        <v>2022</v>
      </c>
      <c r="B82">
        <v>100</v>
      </c>
      <c r="C82" t="str">
        <f t="shared" si="12"/>
        <v>15</v>
      </c>
      <c r="D82" t="s">
        <v>793</v>
      </c>
      <c r="E82" t="str">
        <f t="shared" si="10"/>
        <v>15 INSTITUTO DE DEPORTE Y RECREACION</v>
      </c>
      <c r="F82" s="2">
        <v>2020130010053</v>
      </c>
      <c r="G82" s="2" t="str">
        <f>+VLOOKUP(F82,Hoja2!$F:$I,2,FALSE)</f>
        <v>08. PILAR CARTAGENA INCLUYENTE</v>
      </c>
      <c r="H82" s="2" t="str">
        <f>+VLOOKUP(F82,Hoja2!$F:$I,3,FALSE)</f>
        <v xml:space="preserve">8.4 LÍNEA ESTRATÉGICA DEPORTE Y RECREACIÓN PARA LA TRANSFORMACION SOCIAL </v>
      </c>
      <c r="I82" s="2" t="str">
        <f>+VLOOKUP(F82,Hoja2!$F:$I,4,FALSE)</f>
        <v xml:space="preserve">8.4.1 “LA ESCUELA Y EL DEPORTE SON DE TODOS” </v>
      </c>
      <c r="J82" t="s">
        <v>803</v>
      </c>
      <c r="K82" t="str">
        <f>"933"</f>
        <v>933</v>
      </c>
      <c r="L82" t="s">
        <v>818</v>
      </c>
      <c r="M82" t="s">
        <v>26</v>
      </c>
      <c r="N82" t="s">
        <v>27</v>
      </c>
      <c r="O82" t="s">
        <v>819</v>
      </c>
      <c r="P82" t="str">
        <f t="shared" si="11"/>
        <v>2020130010053 DESARROLLO DE LA ESCUELA DE INICIACION Y FORMACION DEPORTIVA EIFD EN EL DISTRITO DE CARTAGENA DE INDIAS</v>
      </c>
      <c r="Q82" t="str">
        <f t="shared" si="8"/>
        <v>06</v>
      </c>
      <c r="R82" t="str">
        <f t="shared" si="9"/>
        <v>00</v>
      </c>
      <c r="S82" s="1">
        <v>0</v>
      </c>
      <c r="T82" s="1">
        <v>199826079.22999999</v>
      </c>
      <c r="U82" s="1">
        <v>199826079.22999999</v>
      </c>
      <c r="V82" s="1">
        <v>92772606</v>
      </c>
      <c r="W82" s="1">
        <v>107053473.23</v>
      </c>
      <c r="X82" s="1">
        <v>92772606</v>
      </c>
      <c r="Y82" s="1">
        <v>46.43</v>
      </c>
      <c r="Z82" s="1">
        <v>0</v>
      </c>
      <c r="AA82" s="1">
        <v>0</v>
      </c>
      <c r="AB82" s="1">
        <v>107053473.23</v>
      </c>
      <c r="AC82" s="1">
        <v>0</v>
      </c>
    </row>
    <row r="83" spans="1:29" x14ac:dyDescent="0.3">
      <c r="A83">
        <v>2022</v>
      </c>
      <c r="B83">
        <v>100</v>
      </c>
      <c r="C83" t="str">
        <f t="shared" si="12"/>
        <v>15</v>
      </c>
      <c r="D83" t="s">
        <v>793</v>
      </c>
      <c r="E83" t="str">
        <f t="shared" si="10"/>
        <v>15 INSTITUTO DE DEPORTE Y RECREACION</v>
      </c>
      <c r="F83" s="2">
        <v>2020130010053</v>
      </c>
      <c r="G83" s="2" t="str">
        <f>+VLOOKUP(F83,Hoja2!$F:$I,2,FALSE)</f>
        <v>08. PILAR CARTAGENA INCLUYENTE</v>
      </c>
      <c r="H83" s="2" t="str">
        <f>+VLOOKUP(F83,Hoja2!$F:$I,3,FALSE)</f>
        <v xml:space="preserve">8.4 LÍNEA ESTRATÉGICA DEPORTE Y RECREACIÓN PARA LA TRANSFORMACION SOCIAL </v>
      </c>
      <c r="I83" s="2" t="str">
        <f>+VLOOKUP(F83,Hoja2!$F:$I,4,FALSE)</f>
        <v xml:space="preserve">8.4.1 “LA ESCUELA Y EL DEPORTE SON DE TODOS” </v>
      </c>
      <c r="J83" t="s">
        <v>803</v>
      </c>
      <c r="K83" t="str">
        <f>"059"</f>
        <v>059</v>
      </c>
      <c r="L83" t="s">
        <v>824</v>
      </c>
      <c r="M83" t="s">
        <v>26</v>
      </c>
      <c r="N83" t="s">
        <v>27</v>
      </c>
      <c r="O83" t="s">
        <v>808</v>
      </c>
      <c r="P83" t="str">
        <f t="shared" si="11"/>
        <v>2020130010053 DESARROLLO DE LA ESCUELA DE INICIACION Y FORMACION DEPORTIVA - EIFD EN EL DISTRITO DE  CARTAGENA DE INDIAS</v>
      </c>
      <c r="Q83" t="str">
        <f t="shared" si="8"/>
        <v>06</v>
      </c>
      <c r="R83" t="str">
        <f t="shared" si="9"/>
        <v>00</v>
      </c>
      <c r="S83" s="1">
        <v>306636856</v>
      </c>
      <c r="T83" s="1">
        <v>0</v>
      </c>
      <c r="U83" s="1">
        <v>306636856</v>
      </c>
      <c r="V83" s="1">
        <v>305484750</v>
      </c>
      <c r="W83" s="1">
        <v>1152106</v>
      </c>
      <c r="X83" s="1">
        <v>305484750</v>
      </c>
      <c r="Y83" s="1">
        <v>99.62</v>
      </c>
      <c r="Z83" s="1">
        <v>305484750</v>
      </c>
      <c r="AA83" s="1">
        <v>99.62</v>
      </c>
      <c r="AB83" s="1">
        <v>1152106</v>
      </c>
      <c r="AC83" s="1">
        <v>275441318</v>
      </c>
    </row>
    <row r="84" spans="1:29" x14ac:dyDescent="0.3">
      <c r="A84">
        <v>2022</v>
      </c>
      <c r="B84">
        <v>100</v>
      </c>
      <c r="C84" t="str">
        <f t="shared" si="12"/>
        <v>15</v>
      </c>
      <c r="D84" t="s">
        <v>793</v>
      </c>
      <c r="E84" t="str">
        <f t="shared" si="10"/>
        <v>15 INSTITUTO DE DEPORTE Y RECREACION</v>
      </c>
      <c r="F84" s="2">
        <v>2020130010053</v>
      </c>
      <c r="G84" s="2" t="str">
        <f>+VLOOKUP(F84,Hoja2!$F:$I,2,FALSE)</f>
        <v>08. PILAR CARTAGENA INCLUYENTE</v>
      </c>
      <c r="H84" s="2" t="str">
        <f>+VLOOKUP(F84,Hoja2!$F:$I,3,FALSE)</f>
        <v xml:space="preserve">8.4 LÍNEA ESTRATÉGICA DEPORTE Y RECREACIÓN PARA LA TRANSFORMACION SOCIAL </v>
      </c>
      <c r="I84" s="2" t="str">
        <f>+VLOOKUP(F84,Hoja2!$F:$I,4,FALSE)</f>
        <v xml:space="preserve">8.4.1 “LA ESCUELA Y EL DEPORTE SON DE TODOS” </v>
      </c>
      <c r="J84" t="s">
        <v>803</v>
      </c>
      <c r="K84" t="str">
        <f>"097"</f>
        <v>097</v>
      </c>
      <c r="L84" t="s">
        <v>828</v>
      </c>
      <c r="M84" t="s">
        <v>26</v>
      </c>
      <c r="N84" t="s">
        <v>27</v>
      </c>
      <c r="O84" t="s">
        <v>808</v>
      </c>
      <c r="P84" t="str">
        <f t="shared" si="11"/>
        <v>2020130010053 DESARROLLO DE LA ESCUELA DE INICIACION Y FORMACION DEPORTIVA - EIFD EN EL DISTRITO DE  CARTAGENA DE INDIAS</v>
      </c>
      <c r="Q84" t="str">
        <f t="shared" si="8"/>
        <v>06</v>
      </c>
      <c r="R84" t="str">
        <f t="shared" si="9"/>
        <v>00</v>
      </c>
      <c r="S84" s="1">
        <v>762973719</v>
      </c>
      <c r="T84" s="1">
        <v>0</v>
      </c>
      <c r="U84" s="1">
        <v>762973719</v>
      </c>
      <c r="V84" s="1">
        <v>748396750</v>
      </c>
      <c r="W84" s="1">
        <v>14576969</v>
      </c>
      <c r="X84" s="1">
        <v>748396750</v>
      </c>
      <c r="Y84" s="1">
        <v>98.09</v>
      </c>
      <c r="Z84" s="1">
        <v>748396750</v>
      </c>
      <c r="AA84" s="1">
        <v>98.09</v>
      </c>
      <c r="AB84" s="1">
        <v>14576969</v>
      </c>
      <c r="AC84" s="1">
        <v>730360750</v>
      </c>
    </row>
    <row r="85" spans="1:29" x14ac:dyDescent="0.3">
      <c r="A85">
        <v>2022</v>
      </c>
      <c r="B85">
        <v>100</v>
      </c>
      <c r="C85" t="str">
        <f t="shared" si="12"/>
        <v>15</v>
      </c>
      <c r="D85" t="s">
        <v>793</v>
      </c>
      <c r="E85" t="str">
        <f t="shared" si="10"/>
        <v>15 INSTITUTO DE DEPORTE Y RECREACION</v>
      </c>
      <c r="F85" s="2">
        <v>2020130010053</v>
      </c>
      <c r="G85" s="2" t="str">
        <f>+VLOOKUP(F85,Hoja2!$F:$I,2,FALSE)</f>
        <v>08. PILAR CARTAGENA INCLUYENTE</v>
      </c>
      <c r="H85" s="2" t="str">
        <f>+VLOOKUP(F85,Hoja2!$F:$I,3,FALSE)</f>
        <v xml:space="preserve">8.4 LÍNEA ESTRATÉGICA DEPORTE Y RECREACIÓN PARA LA TRANSFORMACION SOCIAL </v>
      </c>
      <c r="I85" s="2" t="str">
        <f>+VLOOKUP(F85,Hoja2!$F:$I,4,FALSE)</f>
        <v xml:space="preserve">8.4.1 “LA ESCUELA Y EL DEPORTE SON DE TODOS” </v>
      </c>
      <c r="J85" t="s">
        <v>803</v>
      </c>
      <c r="K85" t="str">
        <f>"025"</f>
        <v>025</v>
      </c>
      <c r="L85" t="s">
        <v>822</v>
      </c>
      <c r="M85" t="s">
        <v>26</v>
      </c>
      <c r="N85" t="s">
        <v>27</v>
      </c>
      <c r="O85" t="s">
        <v>808</v>
      </c>
      <c r="P85" t="str">
        <f t="shared" si="11"/>
        <v>2020130010053 DESARROLLO DE LA ESCUELA DE INICIACION Y FORMACION DEPORTIVA - EIFD EN EL DISTRITO DE  CARTAGENA DE INDIAS</v>
      </c>
      <c r="Q85" t="str">
        <f t="shared" si="8"/>
        <v>06</v>
      </c>
      <c r="R85" t="str">
        <f t="shared" si="9"/>
        <v>00</v>
      </c>
      <c r="S85" s="1">
        <v>1133333333</v>
      </c>
      <c r="T85" s="1">
        <v>0</v>
      </c>
      <c r="U85" s="1">
        <v>1133333333</v>
      </c>
      <c r="V85" s="1">
        <v>1133333333</v>
      </c>
      <c r="W85" s="1">
        <v>0</v>
      </c>
      <c r="X85" s="1">
        <v>1133333333</v>
      </c>
      <c r="Y85" s="1">
        <v>100</v>
      </c>
      <c r="Z85" s="1">
        <v>1133333333</v>
      </c>
      <c r="AA85" s="1">
        <v>100</v>
      </c>
      <c r="AB85" s="1">
        <v>0</v>
      </c>
      <c r="AC85" s="1">
        <v>905365650</v>
      </c>
    </row>
    <row r="86" spans="1:29" x14ac:dyDescent="0.3">
      <c r="A86">
        <v>2022</v>
      </c>
      <c r="B86">
        <v>100</v>
      </c>
      <c r="C86" t="str">
        <f t="shared" si="12"/>
        <v>15</v>
      </c>
      <c r="D86" t="s">
        <v>793</v>
      </c>
      <c r="E86" t="str">
        <f t="shared" si="10"/>
        <v>15 INSTITUTO DE DEPORTE Y RECREACION</v>
      </c>
      <c r="F86" s="2">
        <v>2020130010055</v>
      </c>
      <c r="G86" s="2" t="str">
        <f>+VLOOKUP(F86,Hoja2!$F:$I,2,FALSE)</f>
        <v>08. PILAR CARTAGENA INCLUYENTE</v>
      </c>
      <c r="H86" s="2" t="str">
        <f>+VLOOKUP(F86,Hoja2!$F:$I,3,FALSE)</f>
        <v xml:space="preserve">8.4 LÍNEA ESTRATÉGICA DEPORTE Y RECREACIÓN PARA LA TRANSFORMACION SOCIAL </v>
      </c>
      <c r="I86" s="2" t="str">
        <f>+VLOOKUP(F86,Hoja2!$F:$I,4,FALSE)</f>
        <v>8.4.4 HABITOS Y ESTILO DE VIDA SALUDABLE</v>
      </c>
      <c r="J86" t="s">
        <v>809</v>
      </c>
      <c r="K86" t="str">
        <f>"918"</f>
        <v>918</v>
      </c>
      <c r="L86" t="s">
        <v>807</v>
      </c>
      <c r="M86" t="s">
        <v>26</v>
      </c>
      <c r="N86" t="s">
        <v>27</v>
      </c>
      <c r="O86" t="s">
        <v>810</v>
      </c>
      <c r="P86" t="str">
        <f t="shared" si="11"/>
        <v>2020130010055 MEJORAMIENTO DE LOS ESTILOS DE VIDA MEDIANTE LA PROMOCION MASIVA DE UNA VIDA ACTIVA DE LA CIUDADANIA EN EL DISTRITO DE  CARTAGENA DE INDIAS</v>
      </c>
      <c r="Q86" t="str">
        <f t="shared" si="8"/>
        <v>06</v>
      </c>
      <c r="R86" t="str">
        <f t="shared" si="9"/>
        <v>00</v>
      </c>
      <c r="S86" s="1">
        <v>0</v>
      </c>
      <c r="T86" s="1">
        <v>66473578</v>
      </c>
      <c r="U86" s="1">
        <v>66473578</v>
      </c>
      <c r="V86" s="1">
        <v>0</v>
      </c>
      <c r="W86" s="1">
        <v>66473578</v>
      </c>
      <c r="X86" s="1">
        <v>0</v>
      </c>
      <c r="Y86" s="1">
        <v>0</v>
      </c>
      <c r="Z86" s="1">
        <v>0</v>
      </c>
      <c r="AA86" s="1">
        <v>0</v>
      </c>
      <c r="AB86" s="1">
        <v>66473578</v>
      </c>
      <c r="AC86" s="1">
        <v>0</v>
      </c>
    </row>
    <row r="87" spans="1:29" x14ac:dyDescent="0.3">
      <c r="A87">
        <v>2022</v>
      </c>
      <c r="B87">
        <v>100</v>
      </c>
      <c r="C87" t="str">
        <f t="shared" si="12"/>
        <v>15</v>
      </c>
      <c r="D87" t="s">
        <v>793</v>
      </c>
      <c r="E87" t="str">
        <f t="shared" si="10"/>
        <v>15 INSTITUTO DE DEPORTE Y RECREACION</v>
      </c>
      <c r="F87" s="2">
        <v>2020130010055</v>
      </c>
      <c r="G87" s="2" t="str">
        <f>+VLOOKUP(F87,Hoja2!$F:$I,2,FALSE)</f>
        <v>08. PILAR CARTAGENA INCLUYENTE</v>
      </c>
      <c r="H87" s="2" t="str">
        <f>+VLOOKUP(F87,Hoja2!$F:$I,3,FALSE)</f>
        <v xml:space="preserve">8.4 LÍNEA ESTRATÉGICA DEPORTE Y RECREACIÓN PARA LA TRANSFORMACION SOCIAL </v>
      </c>
      <c r="I87" s="2" t="str">
        <f>+VLOOKUP(F87,Hoja2!$F:$I,4,FALSE)</f>
        <v>8.4.4 HABITOS Y ESTILO DE VIDA SALUDABLE</v>
      </c>
      <c r="J87" t="s">
        <v>809</v>
      </c>
      <c r="K87" t="str">
        <f>"933"</f>
        <v>933</v>
      </c>
      <c r="L87" t="s">
        <v>818</v>
      </c>
      <c r="M87" t="s">
        <v>26</v>
      </c>
      <c r="N87" t="s">
        <v>27</v>
      </c>
      <c r="O87" t="s">
        <v>820</v>
      </c>
      <c r="P87" t="str">
        <f t="shared" si="11"/>
        <v>2020130010055 MEJORAMIENTO DE LOS ESTILOS DE VIDA MEDIANTE LA PROMOCION MASIVA DE UNA VIDA ACTIVA DE LA CIUDADANIA EN EL DISTRITO DE CARTAGENA DE INDIAS - DEFICIT</v>
      </c>
      <c r="Q87" t="str">
        <f t="shared" si="8"/>
        <v>06</v>
      </c>
      <c r="R87" t="str">
        <f t="shared" si="9"/>
        <v>00</v>
      </c>
      <c r="S87" s="1">
        <v>0</v>
      </c>
      <c r="T87" s="1">
        <v>2828000</v>
      </c>
      <c r="U87" s="1">
        <v>2828000</v>
      </c>
      <c r="V87" s="1">
        <v>0</v>
      </c>
      <c r="W87" s="1">
        <v>2828000</v>
      </c>
      <c r="X87" s="1">
        <v>0</v>
      </c>
      <c r="Y87" s="1">
        <v>0</v>
      </c>
      <c r="Z87" s="1">
        <v>0</v>
      </c>
      <c r="AA87" s="1">
        <v>0</v>
      </c>
      <c r="AB87" s="1">
        <v>2828000</v>
      </c>
      <c r="AC87" s="1">
        <v>0</v>
      </c>
    </row>
    <row r="88" spans="1:29" x14ac:dyDescent="0.3">
      <c r="A88">
        <v>2022</v>
      </c>
      <c r="B88">
        <v>100</v>
      </c>
      <c r="C88" t="str">
        <f t="shared" si="12"/>
        <v>15</v>
      </c>
      <c r="D88" t="s">
        <v>793</v>
      </c>
      <c r="E88" t="str">
        <f t="shared" si="10"/>
        <v>15 INSTITUTO DE DEPORTE Y RECREACION</v>
      </c>
      <c r="F88" s="2">
        <v>2020130010055</v>
      </c>
      <c r="G88" s="2" t="str">
        <f>+VLOOKUP(F88,Hoja2!$F:$I,2,FALSE)</f>
        <v>08. PILAR CARTAGENA INCLUYENTE</v>
      </c>
      <c r="H88" s="2" t="str">
        <f>+VLOOKUP(F88,Hoja2!$F:$I,3,FALSE)</f>
        <v xml:space="preserve">8.4 LÍNEA ESTRATÉGICA DEPORTE Y RECREACIÓN PARA LA TRANSFORMACION SOCIAL </v>
      </c>
      <c r="I88" s="2" t="str">
        <f>+VLOOKUP(F88,Hoja2!$F:$I,4,FALSE)</f>
        <v>8.4.4 HABITOS Y ESTILO DE VIDA SALUDABLE</v>
      </c>
      <c r="J88" t="s">
        <v>809</v>
      </c>
      <c r="K88" t="str">
        <f>"059"</f>
        <v>059</v>
      </c>
      <c r="L88" t="s">
        <v>824</v>
      </c>
      <c r="M88" t="s">
        <v>26</v>
      </c>
      <c r="N88" t="s">
        <v>27</v>
      </c>
      <c r="O88" t="s">
        <v>810</v>
      </c>
      <c r="P88" t="str">
        <f t="shared" si="11"/>
        <v>2020130010055 MEJORAMIENTO DE LOS ESTILOS DE VIDA MEDIANTE LA PROMOCION MASIVA DE UNA VIDA ACTIVA DE LA CIUDADANIA EN EL DISTRITO DE  CARTAGENA DE INDIAS</v>
      </c>
      <c r="Q88" t="str">
        <f t="shared" si="8"/>
        <v>06</v>
      </c>
      <c r="R88" t="str">
        <f t="shared" si="9"/>
        <v>00</v>
      </c>
      <c r="S88" s="1">
        <v>306636853</v>
      </c>
      <c r="T88" s="1">
        <v>0</v>
      </c>
      <c r="U88" s="1">
        <v>306636853</v>
      </c>
      <c r="V88" s="1">
        <v>143385280</v>
      </c>
      <c r="W88" s="1">
        <v>163251573</v>
      </c>
      <c r="X88" s="1">
        <v>143385280</v>
      </c>
      <c r="Y88" s="1">
        <v>46.76</v>
      </c>
      <c r="Z88" s="1">
        <v>143385280</v>
      </c>
      <c r="AA88" s="1">
        <v>46.76</v>
      </c>
      <c r="AB88" s="1">
        <v>163251573</v>
      </c>
      <c r="AC88" s="1">
        <v>143385280</v>
      </c>
    </row>
    <row r="89" spans="1:29" x14ac:dyDescent="0.3">
      <c r="A89">
        <v>2022</v>
      </c>
      <c r="B89">
        <v>100</v>
      </c>
      <c r="C89" t="str">
        <f t="shared" si="12"/>
        <v>15</v>
      </c>
      <c r="D89" t="s">
        <v>793</v>
      </c>
      <c r="E89" t="str">
        <f t="shared" si="10"/>
        <v>15 INSTITUTO DE DEPORTE Y RECREACION</v>
      </c>
      <c r="F89" s="2">
        <v>2020130010055</v>
      </c>
      <c r="G89" s="2" t="str">
        <f>+VLOOKUP(F89,Hoja2!$F:$I,2,FALSE)</f>
        <v>08. PILAR CARTAGENA INCLUYENTE</v>
      </c>
      <c r="H89" s="2" t="str">
        <f>+VLOOKUP(F89,Hoja2!$F:$I,3,FALSE)</f>
        <v xml:space="preserve">8.4 LÍNEA ESTRATÉGICA DEPORTE Y RECREACIÓN PARA LA TRANSFORMACION SOCIAL </v>
      </c>
      <c r="I89" s="2" t="str">
        <f>+VLOOKUP(F89,Hoja2!$F:$I,4,FALSE)</f>
        <v>8.4.4 HABITOS Y ESTILO DE VIDA SALUDABLE</v>
      </c>
      <c r="J89" t="s">
        <v>809</v>
      </c>
      <c r="K89" t="str">
        <f>"097"</f>
        <v>097</v>
      </c>
      <c r="L89" t="s">
        <v>828</v>
      </c>
      <c r="M89" t="s">
        <v>26</v>
      </c>
      <c r="N89" t="s">
        <v>27</v>
      </c>
      <c r="O89" t="s">
        <v>810</v>
      </c>
      <c r="P89" t="str">
        <f t="shared" si="11"/>
        <v>2020130010055 MEJORAMIENTO DE LOS ESTILOS DE VIDA MEDIANTE LA PROMOCION MASIVA DE UNA VIDA ACTIVA DE LA CIUDADANIA EN EL DISTRITO DE  CARTAGENA DE INDIAS</v>
      </c>
      <c r="Q89" t="str">
        <f t="shared" si="8"/>
        <v>06</v>
      </c>
      <c r="R89" t="str">
        <f t="shared" si="9"/>
        <v>00</v>
      </c>
      <c r="S89" s="1">
        <v>1405363114</v>
      </c>
      <c r="T89" s="1">
        <v>0</v>
      </c>
      <c r="U89" s="1">
        <v>1405363114</v>
      </c>
      <c r="V89" s="1">
        <v>1395159400</v>
      </c>
      <c r="W89" s="1">
        <v>10203714</v>
      </c>
      <c r="X89" s="1">
        <v>1395159400</v>
      </c>
      <c r="Y89" s="1">
        <v>99.27</v>
      </c>
      <c r="Z89" s="1">
        <v>1380159400</v>
      </c>
      <c r="AA89" s="1">
        <v>98.21</v>
      </c>
      <c r="AB89" s="1">
        <v>10203714</v>
      </c>
      <c r="AC89" s="1">
        <v>1325159400</v>
      </c>
    </row>
    <row r="90" spans="1:29" x14ac:dyDescent="0.3">
      <c r="A90">
        <v>2022</v>
      </c>
      <c r="B90">
        <v>100</v>
      </c>
      <c r="C90" t="str">
        <f t="shared" si="12"/>
        <v>15</v>
      </c>
      <c r="D90" t="s">
        <v>793</v>
      </c>
      <c r="E90" t="str">
        <f t="shared" si="10"/>
        <v>15 INSTITUTO DE DEPORTE Y RECREACION</v>
      </c>
      <c r="F90" s="2">
        <v>2020130010055</v>
      </c>
      <c r="G90" s="2" t="str">
        <f>+VLOOKUP(F90,Hoja2!$F:$I,2,FALSE)</f>
        <v>08. PILAR CARTAGENA INCLUYENTE</v>
      </c>
      <c r="H90" s="2" t="str">
        <f>+VLOOKUP(F90,Hoja2!$F:$I,3,FALSE)</f>
        <v xml:space="preserve">8.4 LÍNEA ESTRATÉGICA DEPORTE Y RECREACIÓN PARA LA TRANSFORMACION SOCIAL </v>
      </c>
      <c r="I90" s="2" t="str">
        <f>+VLOOKUP(F90,Hoja2!$F:$I,4,FALSE)</f>
        <v>8.4.4 HABITOS Y ESTILO DE VIDA SALUDABLE</v>
      </c>
      <c r="J90" t="s">
        <v>809</v>
      </c>
      <c r="K90" t="str">
        <f>"025"</f>
        <v>025</v>
      </c>
      <c r="L90" t="s">
        <v>822</v>
      </c>
      <c r="M90" t="s">
        <v>26</v>
      </c>
      <c r="N90" t="s">
        <v>27</v>
      </c>
      <c r="O90" t="s">
        <v>810</v>
      </c>
      <c r="P90" t="str">
        <f t="shared" si="11"/>
        <v>2020130010055 MEJORAMIENTO DE LOS ESTILOS DE VIDA MEDIANTE LA PROMOCION MASIVA DE UNA VIDA ACTIVA DE LA CIUDADANIA EN EL DISTRITO DE  CARTAGENA DE INDIAS</v>
      </c>
      <c r="Q90" t="str">
        <f t="shared" si="8"/>
        <v>06</v>
      </c>
      <c r="R90" t="str">
        <f t="shared" si="9"/>
        <v>00</v>
      </c>
      <c r="S90" s="1">
        <v>866666665</v>
      </c>
      <c r="T90" s="1">
        <v>0</v>
      </c>
      <c r="U90" s="1">
        <v>866666665</v>
      </c>
      <c r="V90" s="1">
        <v>858666664.84000003</v>
      </c>
      <c r="W90" s="1">
        <v>8000000.1600000001</v>
      </c>
      <c r="X90" s="1">
        <v>858666664.84000003</v>
      </c>
      <c r="Y90" s="1">
        <v>99.08</v>
      </c>
      <c r="Z90" s="1">
        <v>858666664.84000003</v>
      </c>
      <c r="AA90" s="1">
        <v>99.08</v>
      </c>
      <c r="AB90" s="1">
        <v>8000000.1600000001</v>
      </c>
      <c r="AC90" s="1">
        <v>858666664.84000003</v>
      </c>
    </row>
    <row r="91" spans="1:29" x14ac:dyDescent="0.3">
      <c r="A91">
        <v>2022</v>
      </c>
      <c r="B91">
        <v>100</v>
      </c>
      <c r="C91" t="str">
        <f t="shared" ref="C91:C100" si="13">"07"</f>
        <v>07</v>
      </c>
      <c r="D91" t="s">
        <v>399</v>
      </c>
      <c r="E91" t="str">
        <f t="shared" si="10"/>
        <v>07 SECRETARIA DE EDUCACION</v>
      </c>
      <c r="F91" s="2">
        <v>2020130010057</v>
      </c>
      <c r="G91" s="2" t="str">
        <f>+VLOOKUP(F91,Hoja2!$F:$I,2,FALSE)</f>
        <v>08. PILAR CARTAGENA INCLUYENTE</v>
      </c>
      <c r="H91" s="2" t="str">
        <f>+VLOOKUP(F91,Hoja2!$F:$I,3,FALSE)</f>
        <v>8.2 LÍNEA ESTRATEGICA DE EDUCACION: CULTURA DE LA FORMACION "CON LA EDUCACION PARA TODOS Y TODAS SALVAMOS JUNTOS A CARTAGENA"</v>
      </c>
      <c r="I91" s="2" t="str">
        <f>+VLOOKUP(F91,Hoja2!$F:$I,4,FALSE)</f>
        <v>8.2.1 PROGRAMA: ACOGIDA “ATENCIÓN A POBLACIONES Y ESTRATEGIAS DE ACCESO Y PERMANENCIA”</v>
      </c>
      <c r="J91" t="s">
        <v>409</v>
      </c>
      <c r="K91" t="str">
        <f>"909"</f>
        <v>909</v>
      </c>
      <c r="L91" t="s">
        <v>410</v>
      </c>
      <c r="M91" t="s">
        <v>26</v>
      </c>
      <c r="N91" t="s">
        <v>27</v>
      </c>
      <c r="O91" t="s">
        <v>411</v>
      </c>
      <c r="P91" t="str">
        <f t="shared" si="11"/>
        <v>2020130010057 OPTIMIZACION DE LA OPERACION DE LAS INSTITUCIONES EDUCATIVAS OFICIALES DEL DISTRITO DE   CARTAGENA DE INDIAS</v>
      </c>
      <c r="Q91" t="str">
        <f t="shared" si="8"/>
        <v>06</v>
      </c>
      <c r="R91" t="str">
        <f t="shared" si="9"/>
        <v>00</v>
      </c>
      <c r="S91" s="1">
        <v>0</v>
      </c>
      <c r="T91" s="1">
        <v>216871833.86000001</v>
      </c>
      <c r="U91" s="1">
        <v>216871833.86000001</v>
      </c>
      <c r="V91" s="1">
        <v>216871833</v>
      </c>
      <c r="W91" s="1">
        <v>0.86</v>
      </c>
      <c r="X91" s="1">
        <v>216871833</v>
      </c>
      <c r="Y91" s="1">
        <v>100</v>
      </c>
      <c r="Z91" s="1">
        <v>216871833</v>
      </c>
      <c r="AA91" s="1">
        <v>100</v>
      </c>
      <c r="AB91" s="1">
        <v>0.86</v>
      </c>
      <c r="AC91" s="1">
        <v>216871833</v>
      </c>
    </row>
    <row r="92" spans="1:29" x14ac:dyDescent="0.3">
      <c r="A92">
        <v>2022</v>
      </c>
      <c r="B92">
        <v>100</v>
      </c>
      <c r="C92" t="str">
        <f t="shared" si="13"/>
        <v>07</v>
      </c>
      <c r="D92" t="s">
        <v>399</v>
      </c>
      <c r="E92" t="str">
        <f t="shared" si="10"/>
        <v>07 SECRETARIA DE EDUCACION</v>
      </c>
      <c r="F92" s="2">
        <v>2020130010057</v>
      </c>
      <c r="G92" s="2" t="str">
        <f>+VLOOKUP(F92,Hoja2!$F:$I,2,FALSE)</f>
        <v>08. PILAR CARTAGENA INCLUYENTE</v>
      </c>
      <c r="H92" s="2" t="str">
        <f>+VLOOKUP(F92,Hoja2!$F:$I,3,FALSE)</f>
        <v>8.2 LÍNEA ESTRATEGICA DE EDUCACION: CULTURA DE LA FORMACION "CON LA EDUCACION PARA TODOS Y TODAS SALVAMOS JUNTOS A CARTAGENA"</v>
      </c>
      <c r="I92" s="2" t="str">
        <f>+VLOOKUP(F92,Hoja2!$F:$I,4,FALSE)</f>
        <v>8.2.1 PROGRAMA: ACOGIDA “ATENCIÓN A POBLACIONES Y ESTRATEGIAS DE ACCESO Y PERMANENCIA”</v>
      </c>
      <c r="J92" t="s">
        <v>409</v>
      </c>
      <c r="K92" t="str">
        <f>"910"</f>
        <v>910</v>
      </c>
      <c r="L92" t="s">
        <v>412</v>
      </c>
      <c r="M92" t="s">
        <v>26</v>
      </c>
      <c r="N92" t="s">
        <v>27</v>
      </c>
      <c r="O92" t="s">
        <v>411</v>
      </c>
      <c r="P92" t="str">
        <f t="shared" si="11"/>
        <v>2020130010057 OPTIMIZACION DE LA OPERACION DE LAS INSTITUCIONES EDUCATIVAS OFICIALES DEL DISTRITO DE   CARTAGENA DE INDIAS</v>
      </c>
      <c r="Q92" t="str">
        <f t="shared" si="8"/>
        <v>06</v>
      </c>
      <c r="R92" t="str">
        <f t="shared" si="9"/>
        <v>00</v>
      </c>
      <c r="S92" s="1">
        <v>0</v>
      </c>
      <c r="T92" s="1">
        <v>34451023</v>
      </c>
      <c r="U92" s="1">
        <v>34451023</v>
      </c>
      <c r="V92" s="1">
        <v>34451023</v>
      </c>
      <c r="W92" s="1">
        <v>0</v>
      </c>
      <c r="X92" s="1">
        <v>34451023</v>
      </c>
      <c r="Y92" s="1">
        <v>100</v>
      </c>
      <c r="Z92" s="1">
        <v>34451023</v>
      </c>
      <c r="AA92" s="1">
        <v>100</v>
      </c>
      <c r="AB92" s="1">
        <v>0</v>
      </c>
      <c r="AC92" s="1">
        <v>34451023</v>
      </c>
    </row>
    <row r="93" spans="1:29" x14ac:dyDescent="0.3">
      <c r="A93">
        <v>2022</v>
      </c>
      <c r="B93">
        <v>100</v>
      </c>
      <c r="C93" t="str">
        <f t="shared" si="13"/>
        <v>07</v>
      </c>
      <c r="D93" t="s">
        <v>399</v>
      </c>
      <c r="E93" t="str">
        <f t="shared" si="10"/>
        <v>07 SECRETARIA DE EDUCACION</v>
      </c>
      <c r="F93" s="2">
        <v>2020130010057</v>
      </c>
      <c r="G93" s="2" t="str">
        <f>+VLOOKUP(F93,Hoja2!$F:$I,2,FALSE)</f>
        <v>08. PILAR CARTAGENA INCLUYENTE</v>
      </c>
      <c r="H93" s="2" t="str">
        <f>+VLOOKUP(F93,Hoja2!$F:$I,3,FALSE)</f>
        <v>8.2 LÍNEA ESTRATEGICA DE EDUCACION: CULTURA DE LA FORMACION "CON LA EDUCACION PARA TODOS Y TODAS SALVAMOS JUNTOS A CARTAGENA"</v>
      </c>
      <c r="I93" s="2" t="str">
        <f>+VLOOKUP(F93,Hoja2!$F:$I,4,FALSE)</f>
        <v>8.2.1 PROGRAMA: ACOGIDA “ATENCIÓN A POBLACIONES Y ESTRATEGIAS DE ACCESO Y PERMANENCIA”</v>
      </c>
      <c r="J93" t="s">
        <v>409</v>
      </c>
      <c r="K93" t="str">
        <f>"824"</f>
        <v>824</v>
      </c>
      <c r="L93" t="s">
        <v>414</v>
      </c>
      <c r="M93" t="s">
        <v>26</v>
      </c>
      <c r="N93" t="s">
        <v>27</v>
      </c>
      <c r="O93" t="s">
        <v>411</v>
      </c>
      <c r="P93" t="str">
        <f t="shared" si="11"/>
        <v>2020130010057 OPTIMIZACION DE LA OPERACION DE LAS INSTITUCIONES EDUCATIVAS OFICIALES DEL DISTRITO DE   CARTAGENA DE INDIAS</v>
      </c>
      <c r="Q93" t="str">
        <f t="shared" si="8"/>
        <v>06</v>
      </c>
      <c r="R93" t="str">
        <f t="shared" si="9"/>
        <v>00</v>
      </c>
      <c r="S93" s="1">
        <v>0</v>
      </c>
      <c r="T93" s="1">
        <v>66284234.740000002</v>
      </c>
      <c r="U93" s="1">
        <v>66284234.740000002</v>
      </c>
      <c r="V93" s="1">
        <v>66284234.740000002</v>
      </c>
      <c r="W93" s="1">
        <v>0</v>
      </c>
      <c r="X93" s="1">
        <v>66284234.740000002</v>
      </c>
      <c r="Y93" s="1">
        <v>100</v>
      </c>
      <c r="Z93" s="1">
        <v>66284234.740000002</v>
      </c>
      <c r="AA93" s="1">
        <v>100</v>
      </c>
      <c r="AB93" s="1">
        <v>0</v>
      </c>
      <c r="AC93" s="1">
        <v>66284234.740000002</v>
      </c>
    </row>
    <row r="94" spans="1:29" x14ac:dyDescent="0.3">
      <c r="A94">
        <v>2022</v>
      </c>
      <c r="B94">
        <v>100</v>
      </c>
      <c r="C94" t="str">
        <f t="shared" si="13"/>
        <v>07</v>
      </c>
      <c r="D94" t="s">
        <v>399</v>
      </c>
      <c r="E94" t="str">
        <f t="shared" si="10"/>
        <v>07 SECRETARIA DE EDUCACION</v>
      </c>
      <c r="F94" s="2">
        <v>2020130010057</v>
      </c>
      <c r="G94" s="2" t="str">
        <f>+VLOOKUP(F94,Hoja2!$F:$I,2,FALSE)</f>
        <v>08. PILAR CARTAGENA INCLUYENTE</v>
      </c>
      <c r="H94" s="2" t="str">
        <f>+VLOOKUP(F94,Hoja2!$F:$I,3,FALSE)</f>
        <v>8.2 LÍNEA ESTRATEGICA DE EDUCACION: CULTURA DE LA FORMACION "CON LA EDUCACION PARA TODOS Y TODAS SALVAMOS JUNTOS A CARTAGENA"</v>
      </c>
      <c r="I94" s="2" t="str">
        <f>+VLOOKUP(F94,Hoja2!$F:$I,4,FALSE)</f>
        <v>8.2.1 PROGRAMA: ACOGIDA “ATENCIÓN A POBLACIONES Y ESTRATEGIAS DE ACCESO Y PERMANENCIA”</v>
      </c>
      <c r="J94" t="s">
        <v>409</v>
      </c>
      <c r="K94" t="str">
        <f>"825"</f>
        <v>825</v>
      </c>
      <c r="L94" t="s">
        <v>415</v>
      </c>
      <c r="M94" t="s">
        <v>26</v>
      </c>
      <c r="N94" t="s">
        <v>27</v>
      </c>
      <c r="O94" t="s">
        <v>411</v>
      </c>
      <c r="P94" t="str">
        <f t="shared" si="11"/>
        <v>2020130010057 OPTIMIZACION DE LA OPERACION DE LAS INSTITUCIONES EDUCATIVAS OFICIALES DEL DISTRITO DE   CARTAGENA DE INDIAS</v>
      </c>
      <c r="Q94" t="str">
        <f t="shared" si="8"/>
        <v>06</v>
      </c>
      <c r="R94" t="str">
        <f t="shared" si="9"/>
        <v>00</v>
      </c>
      <c r="S94" s="1">
        <v>0</v>
      </c>
      <c r="T94" s="1">
        <v>552323897.40999997</v>
      </c>
      <c r="U94" s="1">
        <v>552323897.40999997</v>
      </c>
      <c r="V94" s="1">
        <v>552323897.40999997</v>
      </c>
      <c r="W94" s="1">
        <v>0</v>
      </c>
      <c r="X94" s="1">
        <v>552323897.23000002</v>
      </c>
      <c r="Y94" s="1">
        <v>100</v>
      </c>
      <c r="Z94" s="1">
        <v>548587643.23000002</v>
      </c>
      <c r="AA94" s="1">
        <v>99.32</v>
      </c>
      <c r="AB94" s="1">
        <v>0.18</v>
      </c>
      <c r="AC94" s="1">
        <v>548587643.23000002</v>
      </c>
    </row>
    <row r="95" spans="1:29" x14ac:dyDescent="0.3">
      <c r="A95">
        <v>2022</v>
      </c>
      <c r="B95">
        <v>100</v>
      </c>
      <c r="C95" t="str">
        <f t="shared" si="13"/>
        <v>07</v>
      </c>
      <c r="D95" t="s">
        <v>399</v>
      </c>
      <c r="E95" t="str">
        <f t="shared" si="10"/>
        <v>07 SECRETARIA DE EDUCACION</v>
      </c>
      <c r="F95" s="2">
        <v>2020130010057</v>
      </c>
      <c r="G95" s="2" t="str">
        <f>+VLOOKUP(F95,Hoja2!$F:$I,2,FALSE)</f>
        <v>08. PILAR CARTAGENA INCLUYENTE</v>
      </c>
      <c r="H95" s="2" t="str">
        <f>+VLOOKUP(F95,Hoja2!$F:$I,3,FALSE)</f>
        <v>8.2 LÍNEA ESTRATEGICA DE EDUCACION: CULTURA DE LA FORMACION "CON LA EDUCACION PARA TODOS Y TODAS SALVAMOS JUNTOS A CARTAGENA"</v>
      </c>
      <c r="I95" s="2" t="str">
        <f>+VLOOKUP(F95,Hoja2!$F:$I,4,FALSE)</f>
        <v>8.2.1 PROGRAMA: ACOGIDA “ATENCIÓN A POBLACIONES Y ESTRATEGIAS DE ACCESO Y PERMANENCIA”</v>
      </c>
      <c r="J95" t="s">
        <v>409</v>
      </c>
      <c r="K95" t="str">
        <f>"826"</f>
        <v>826</v>
      </c>
      <c r="L95" t="s">
        <v>416</v>
      </c>
      <c r="M95" t="s">
        <v>26</v>
      </c>
      <c r="N95" t="s">
        <v>27</v>
      </c>
      <c r="O95" t="s">
        <v>411</v>
      </c>
      <c r="P95" t="str">
        <f t="shared" si="11"/>
        <v>2020130010057 OPTIMIZACION DE LA OPERACION DE LAS INSTITUCIONES EDUCATIVAS OFICIALES DEL DISTRITO DE   CARTAGENA DE INDIAS</v>
      </c>
      <c r="Q95" t="str">
        <f t="shared" si="8"/>
        <v>06</v>
      </c>
      <c r="R95" t="str">
        <f t="shared" si="9"/>
        <v>00</v>
      </c>
      <c r="S95" s="1">
        <v>0</v>
      </c>
      <c r="T95" s="1">
        <v>5049142.87</v>
      </c>
      <c r="U95" s="1">
        <v>5049142.87</v>
      </c>
      <c r="V95" s="1">
        <v>5049142.87</v>
      </c>
      <c r="W95" s="1">
        <v>0</v>
      </c>
      <c r="X95" s="1">
        <v>5049142.87</v>
      </c>
      <c r="Y95" s="1">
        <v>100</v>
      </c>
      <c r="Z95" s="1">
        <v>5049142.87</v>
      </c>
      <c r="AA95" s="1">
        <v>100</v>
      </c>
      <c r="AB95" s="1">
        <v>0</v>
      </c>
      <c r="AC95" s="1">
        <v>5049142.87</v>
      </c>
    </row>
    <row r="96" spans="1:29" x14ac:dyDescent="0.3">
      <c r="A96">
        <v>2022</v>
      </c>
      <c r="B96">
        <v>100</v>
      </c>
      <c r="C96" t="str">
        <f t="shared" si="13"/>
        <v>07</v>
      </c>
      <c r="D96" t="s">
        <v>399</v>
      </c>
      <c r="E96" t="str">
        <f t="shared" si="10"/>
        <v>07 SECRETARIA DE EDUCACION</v>
      </c>
      <c r="F96" s="2">
        <v>2020130010057</v>
      </c>
      <c r="G96" s="2" t="str">
        <f>+VLOOKUP(F96,Hoja2!$F:$I,2,FALSE)</f>
        <v>08. PILAR CARTAGENA INCLUYENTE</v>
      </c>
      <c r="H96" s="2" t="str">
        <f>+VLOOKUP(F96,Hoja2!$F:$I,3,FALSE)</f>
        <v>8.2 LÍNEA ESTRATEGICA DE EDUCACION: CULTURA DE LA FORMACION "CON LA EDUCACION PARA TODOS Y TODAS SALVAMOS JUNTOS A CARTAGENA"</v>
      </c>
      <c r="I96" s="2" t="str">
        <f>+VLOOKUP(F96,Hoja2!$F:$I,4,FALSE)</f>
        <v>8.2.1 PROGRAMA: ACOGIDA “ATENCIÓN A POBLACIONES Y ESTRATEGIAS DE ACCESO Y PERMANENCIA”</v>
      </c>
      <c r="J96" t="s">
        <v>409</v>
      </c>
      <c r="K96" t="str">
        <f>"171"</f>
        <v>171</v>
      </c>
      <c r="L96" t="s">
        <v>423</v>
      </c>
      <c r="M96" t="s">
        <v>26</v>
      </c>
      <c r="N96" t="s">
        <v>27</v>
      </c>
      <c r="O96" t="s">
        <v>411</v>
      </c>
      <c r="P96" t="str">
        <f t="shared" si="11"/>
        <v>2020130010057 OPTIMIZACION DE LA OPERACION DE LAS INSTITUCIONES EDUCATIVAS OFICIALES DEL DISTRITO DE   CARTAGENA DE INDIAS</v>
      </c>
      <c r="Q96" t="str">
        <f t="shared" si="8"/>
        <v>06</v>
      </c>
      <c r="R96" t="str">
        <f t="shared" si="9"/>
        <v>00</v>
      </c>
      <c r="S96" s="1">
        <v>2314881761</v>
      </c>
      <c r="T96" s="1">
        <v>1366432566</v>
      </c>
      <c r="U96" s="1">
        <v>3681314327</v>
      </c>
      <c r="V96" s="1">
        <v>3681314327</v>
      </c>
      <c r="W96" s="1">
        <v>0</v>
      </c>
      <c r="X96" s="1">
        <v>3666109753</v>
      </c>
      <c r="Y96" s="1">
        <v>99.59</v>
      </c>
      <c r="Z96" s="1">
        <v>3342733362</v>
      </c>
      <c r="AA96" s="1">
        <v>90.8</v>
      </c>
      <c r="AB96" s="1">
        <v>15204574</v>
      </c>
      <c r="AC96" s="1">
        <v>3022172571</v>
      </c>
    </row>
    <row r="97" spans="1:29" x14ac:dyDescent="0.3">
      <c r="A97">
        <v>2022</v>
      </c>
      <c r="B97">
        <v>100</v>
      </c>
      <c r="C97" t="str">
        <f t="shared" si="13"/>
        <v>07</v>
      </c>
      <c r="D97" t="s">
        <v>399</v>
      </c>
      <c r="E97" t="str">
        <f t="shared" si="10"/>
        <v>07 SECRETARIA DE EDUCACION</v>
      </c>
      <c r="F97" s="2">
        <v>2020130010057</v>
      </c>
      <c r="G97" s="2" t="str">
        <f>+VLOOKUP(F97,Hoja2!$F:$I,2,FALSE)</f>
        <v>08. PILAR CARTAGENA INCLUYENTE</v>
      </c>
      <c r="H97" s="2" t="str">
        <f>+VLOOKUP(F97,Hoja2!$F:$I,3,FALSE)</f>
        <v>8.2 LÍNEA ESTRATEGICA DE EDUCACION: CULTURA DE LA FORMACION "CON LA EDUCACION PARA TODOS Y TODAS SALVAMOS JUNTOS A CARTAGENA"</v>
      </c>
      <c r="I97" s="2" t="str">
        <f>+VLOOKUP(F97,Hoja2!$F:$I,4,FALSE)</f>
        <v>8.2.1 PROGRAMA: ACOGIDA “ATENCIÓN A POBLACIONES Y ESTRATEGIAS DE ACCESO Y PERMANENCIA”</v>
      </c>
      <c r="J97" t="s">
        <v>409</v>
      </c>
      <c r="K97" t="str">
        <f>"172"</f>
        <v>172</v>
      </c>
      <c r="L97" t="s">
        <v>433</v>
      </c>
      <c r="M97" t="s">
        <v>26</v>
      </c>
      <c r="N97" t="s">
        <v>27</v>
      </c>
      <c r="O97" t="s">
        <v>411</v>
      </c>
      <c r="P97" t="str">
        <f t="shared" si="11"/>
        <v>2020130010057 OPTIMIZACION DE LA OPERACION DE LAS INSTITUCIONES EDUCATIVAS OFICIALES DEL DISTRITO DE   CARTAGENA DE INDIAS</v>
      </c>
      <c r="Q97" t="str">
        <f t="shared" si="8"/>
        <v>06</v>
      </c>
      <c r="R97" t="str">
        <f t="shared" si="9"/>
        <v>00</v>
      </c>
      <c r="S97" s="1">
        <v>10195492808</v>
      </c>
      <c r="T97" s="1">
        <v>-892807586</v>
      </c>
      <c r="U97" s="1">
        <v>9302685222</v>
      </c>
      <c r="V97" s="1">
        <v>9302685222</v>
      </c>
      <c r="W97" s="1">
        <v>0</v>
      </c>
      <c r="X97" s="1">
        <v>9302685222</v>
      </c>
      <c r="Y97" s="1">
        <v>100</v>
      </c>
      <c r="Z97" s="1">
        <v>9302685222</v>
      </c>
      <c r="AA97" s="1">
        <v>100</v>
      </c>
      <c r="AB97" s="1">
        <v>0</v>
      </c>
      <c r="AC97" s="1">
        <v>9302685222</v>
      </c>
    </row>
    <row r="98" spans="1:29" x14ac:dyDescent="0.3">
      <c r="A98">
        <v>2022</v>
      </c>
      <c r="B98">
        <v>100</v>
      </c>
      <c r="C98" t="str">
        <f t="shared" si="13"/>
        <v>07</v>
      </c>
      <c r="D98" t="s">
        <v>399</v>
      </c>
      <c r="E98" t="str">
        <f t="shared" si="10"/>
        <v>07 SECRETARIA DE EDUCACION</v>
      </c>
      <c r="F98" s="2">
        <v>2020130010057</v>
      </c>
      <c r="G98" s="2" t="str">
        <f>+VLOOKUP(F98,Hoja2!$F:$I,2,FALSE)</f>
        <v>08. PILAR CARTAGENA INCLUYENTE</v>
      </c>
      <c r="H98" s="2" t="str">
        <f>+VLOOKUP(F98,Hoja2!$F:$I,3,FALSE)</f>
        <v>8.2 LÍNEA ESTRATEGICA DE EDUCACION: CULTURA DE LA FORMACION "CON LA EDUCACION PARA TODOS Y TODAS SALVAMOS JUNTOS A CARTAGENA"</v>
      </c>
      <c r="I98" s="2" t="str">
        <f>+VLOOKUP(F98,Hoja2!$F:$I,4,FALSE)</f>
        <v>8.2.1 PROGRAMA: ACOGIDA “ATENCIÓN A POBLACIONES Y ESTRATEGIAS DE ACCESO Y PERMANENCIA”</v>
      </c>
      <c r="J98" t="s">
        <v>409</v>
      </c>
      <c r="K98" t="str">
        <f>"901"</f>
        <v>901</v>
      </c>
      <c r="L98" t="s">
        <v>435</v>
      </c>
      <c r="M98" t="s">
        <v>26</v>
      </c>
      <c r="N98" t="s">
        <v>27</v>
      </c>
      <c r="O98" t="s">
        <v>411</v>
      </c>
      <c r="P98" t="str">
        <f t="shared" si="11"/>
        <v>2020130010057 OPTIMIZACION DE LA OPERACION DE LAS INSTITUCIONES EDUCATIVAS OFICIALES DEL DISTRITO DE   CARTAGENA DE INDIAS</v>
      </c>
      <c r="Q98" t="str">
        <f t="shared" si="8"/>
        <v>06</v>
      </c>
      <c r="R98" t="str">
        <f t="shared" si="9"/>
        <v>00</v>
      </c>
      <c r="S98" s="1">
        <v>0</v>
      </c>
      <c r="T98" s="1">
        <v>5575460</v>
      </c>
      <c r="U98" s="1">
        <v>5575460</v>
      </c>
      <c r="V98" s="1">
        <v>5575460</v>
      </c>
      <c r="W98" s="1">
        <v>0</v>
      </c>
      <c r="X98" s="1">
        <v>5575460</v>
      </c>
      <c r="Y98" s="1">
        <v>100</v>
      </c>
      <c r="Z98" s="1">
        <v>5575460</v>
      </c>
      <c r="AA98" s="1">
        <v>100</v>
      </c>
      <c r="AB98" s="1">
        <v>0</v>
      </c>
      <c r="AC98" s="1">
        <v>5575460</v>
      </c>
    </row>
    <row r="99" spans="1:29" x14ac:dyDescent="0.3">
      <c r="A99">
        <v>2022</v>
      </c>
      <c r="B99">
        <v>100</v>
      </c>
      <c r="C99" t="str">
        <f t="shared" si="13"/>
        <v>07</v>
      </c>
      <c r="D99" t="s">
        <v>399</v>
      </c>
      <c r="E99" t="str">
        <f t="shared" si="10"/>
        <v>07 SECRETARIA DE EDUCACION</v>
      </c>
      <c r="F99" s="2">
        <v>2020130010057</v>
      </c>
      <c r="G99" s="2" t="str">
        <f>+VLOOKUP(F99,Hoja2!$F:$I,2,FALSE)</f>
        <v>08. PILAR CARTAGENA INCLUYENTE</v>
      </c>
      <c r="H99" s="2" t="str">
        <f>+VLOOKUP(F99,Hoja2!$F:$I,3,FALSE)</f>
        <v>8.2 LÍNEA ESTRATEGICA DE EDUCACION: CULTURA DE LA FORMACION "CON LA EDUCACION PARA TODOS Y TODAS SALVAMOS JUNTOS A CARTAGENA"</v>
      </c>
      <c r="I99" s="2" t="str">
        <f>+VLOOKUP(F99,Hoja2!$F:$I,4,FALSE)</f>
        <v>8.2.1 PROGRAMA: ACOGIDA “ATENCIÓN A POBLACIONES Y ESTRATEGIAS DE ACCESO Y PERMANENCIA”</v>
      </c>
      <c r="J99" t="s">
        <v>409</v>
      </c>
      <c r="K99" t="str">
        <f>"081"</f>
        <v>081</v>
      </c>
      <c r="L99" t="s">
        <v>456</v>
      </c>
      <c r="M99" t="s">
        <v>26</v>
      </c>
      <c r="N99" t="s">
        <v>27</v>
      </c>
      <c r="O99" t="s">
        <v>411</v>
      </c>
      <c r="P99" t="str">
        <f t="shared" si="11"/>
        <v>2020130010057 OPTIMIZACION DE LA OPERACION DE LAS INSTITUCIONES EDUCATIVAS OFICIALES DEL DISTRITO DE   CARTAGENA DE INDIAS</v>
      </c>
      <c r="Q99" t="str">
        <f t="shared" si="8"/>
        <v>06</v>
      </c>
      <c r="R99" t="str">
        <f t="shared" si="9"/>
        <v>00</v>
      </c>
      <c r="S99" s="1">
        <v>898970554</v>
      </c>
      <c r="T99" s="1">
        <v>-628969329</v>
      </c>
      <c r="U99" s="1">
        <v>270001225</v>
      </c>
      <c r="V99" s="1">
        <v>54243956</v>
      </c>
      <c r="W99" s="1">
        <v>215757269</v>
      </c>
      <c r="X99" s="1">
        <v>54243956</v>
      </c>
      <c r="Y99" s="1">
        <v>20.09</v>
      </c>
      <c r="Z99" s="1">
        <v>54243956</v>
      </c>
      <c r="AA99" s="1">
        <v>20.09</v>
      </c>
      <c r="AB99" s="1">
        <v>215757269</v>
      </c>
      <c r="AC99" s="1">
        <v>54243956</v>
      </c>
    </row>
    <row r="100" spans="1:29" x14ac:dyDescent="0.3">
      <c r="A100">
        <v>2022</v>
      </c>
      <c r="B100">
        <v>100</v>
      </c>
      <c r="C100" t="str">
        <f t="shared" si="13"/>
        <v>07</v>
      </c>
      <c r="D100" t="s">
        <v>399</v>
      </c>
      <c r="E100" t="str">
        <f t="shared" si="10"/>
        <v>07 SECRETARIA DE EDUCACION</v>
      </c>
      <c r="F100" s="2">
        <v>2020130010057</v>
      </c>
      <c r="G100" s="2" t="str">
        <f>+VLOOKUP(F100,Hoja2!$F:$I,2,FALSE)</f>
        <v>08. PILAR CARTAGENA INCLUYENTE</v>
      </c>
      <c r="H100" s="2" t="str">
        <f>+VLOOKUP(F100,Hoja2!$F:$I,3,FALSE)</f>
        <v>8.2 LÍNEA ESTRATEGICA DE EDUCACION: CULTURA DE LA FORMACION "CON LA EDUCACION PARA TODOS Y TODAS SALVAMOS JUNTOS A CARTAGENA"</v>
      </c>
      <c r="I100" s="2" t="str">
        <f>+VLOOKUP(F100,Hoja2!$F:$I,4,FALSE)</f>
        <v>8.2.1 PROGRAMA: ACOGIDA “ATENCIÓN A POBLACIONES Y ESTRATEGIAS DE ACCESO Y PERMANENCIA”</v>
      </c>
      <c r="J100" t="s">
        <v>409</v>
      </c>
      <c r="K100" t="str">
        <f>"001"</f>
        <v>001</v>
      </c>
      <c r="L100" t="s">
        <v>25</v>
      </c>
      <c r="M100" t="s">
        <v>26</v>
      </c>
      <c r="N100" t="s">
        <v>27</v>
      </c>
      <c r="O100" t="s">
        <v>411</v>
      </c>
      <c r="P100" t="str">
        <f t="shared" si="11"/>
        <v>2020130010057 OPTIMIZACION DE LA OPERACION DE LAS INSTITUCIONES EDUCATIVAS OFICIALES DEL DISTRITO DE   CARTAGENA DE INDIAS</v>
      </c>
      <c r="Q100" t="str">
        <f t="shared" si="8"/>
        <v>06</v>
      </c>
      <c r="R100" t="str">
        <f t="shared" si="9"/>
        <v>00</v>
      </c>
      <c r="S100" s="1">
        <v>41589419364</v>
      </c>
      <c r="T100" s="1">
        <v>9208802021</v>
      </c>
      <c r="U100" s="1">
        <v>50798221385</v>
      </c>
      <c r="V100" s="1">
        <v>50797778589.470001</v>
      </c>
      <c r="W100" s="1">
        <v>442795.53</v>
      </c>
      <c r="X100" s="1">
        <v>50769628819.589996</v>
      </c>
      <c r="Y100" s="1">
        <v>99.94</v>
      </c>
      <c r="Z100" s="1">
        <v>48916431653.290001</v>
      </c>
      <c r="AA100" s="1">
        <v>96.3</v>
      </c>
      <c r="AB100" s="1">
        <v>28592565.41</v>
      </c>
      <c r="AC100" s="1">
        <v>44610207478.290001</v>
      </c>
    </row>
    <row r="101" spans="1:29" x14ac:dyDescent="0.3">
      <c r="A101">
        <v>2022</v>
      </c>
      <c r="B101">
        <v>100</v>
      </c>
      <c r="C101" t="str">
        <f t="shared" ref="C101:C108" si="14">"10"</f>
        <v>10</v>
      </c>
      <c r="D101" t="s">
        <v>601</v>
      </c>
      <c r="E101" t="str">
        <f t="shared" si="10"/>
        <v>10 DEPARTAMENTO ADMINISTRATIVO DE SALUD</v>
      </c>
      <c r="F101" s="2">
        <v>2020130010058</v>
      </c>
      <c r="G101" s="2" t="str">
        <f>+VLOOKUP(F101,Hoja2!$F:$I,2,FALSE)</f>
        <v>08. PILAR CARTAGENA INCLUYENTE</v>
      </c>
      <c r="H101" s="2" t="str">
        <f>+VLOOKUP(F101,Hoja2!$F:$I,3,FALSE)</f>
        <v>8.3 LÍNEA ESTRATÉGICA SALUD PARA TODOS</v>
      </c>
      <c r="I101" s="2" t="str">
        <f>+VLOOKUP(F101,Hoja2!$F:$I,4,FALSE)</f>
        <v>8.3.8 VIDA SALUDABLE Y ENFERMEDADES TRANSMISIBLES</v>
      </c>
      <c r="J101" t="s">
        <v>621</v>
      </c>
      <c r="K101" t="str">
        <f>"016"</f>
        <v>016</v>
      </c>
      <c r="L101" t="s">
        <v>619</v>
      </c>
      <c r="M101" t="s">
        <v>26</v>
      </c>
      <c r="N101" t="s">
        <v>27</v>
      </c>
      <c r="O101" t="s">
        <v>622</v>
      </c>
      <c r="P101" t="str">
        <f t="shared" si="11"/>
        <v>2020130010058 PREVENCION Y CONTROL DE LA LEPRA EN EL DISTRITO DE  CARTAGENA DE INDIAS</v>
      </c>
      <c r="Q101" t="str">
        <f t="shared" si="8"/>
        <v>06</v>
      </c>
      <c r="R101" t="str">
        <f t="shared" si="9"/>
        <v>00</v>
      </c>
      <c r="S101" s="1">
        <v>61547391</v>
      </c>
      <c r="T101" s="1">
        <v>-3015371</v>
      </c>
      <c r="U101" s="1">
        <v>58532020</v>
      </c>
      <c r="V101" s="1">
        <v>52347391</v>
      </c>
      <c r="W101" s="1">
        <v>6184629</v>
      </c>
      <c r="X101" s="1">
        <v>31547391</v>
      </c>
      <c r="Y101" s="1">
        <v>53.9</v>
      </c>
      <c r="Z101" s="1">
        <v>6400000</v>
      </c>
      <c r="AA101" s="1">
        <v>10.93</v>
      </c>
      <c r="AB101" s="1">
        <v>26984629</v>
      </c>
      <c r="AC101" s="1">
        <v>0</v>
      </c>
    </row>
    <row r="102" spans="1:29" x14ac:dyDescent="0.3">
      <c r="A102">
        <v>2022</v>
      </c>
      <c r="B102">
        <v>100</v>
      </c>
      <c r="C102" t="str">
        <f t="shared" si="14"/>
        <v>10</v>
      </c>
      <c r="D102" t="s">
        <v>601</v>
      </c>
      <c r="E102" t="str">
        <f t="shared" si="10"/>
        <v>10 DEPARTAMENTO ADMINISTRATIVO DE SALUD</v>
      </c>
      <c r="F102" s="2">
        <v>2020130010058</v>
      </c>
      <c r="G102" s="2" t="str">
        <f>+VLOOKUP(F102,Hoja2!$F:$I,2,FALSE)</f>
        <v>08. PILAR CARTAGENA INCLUYENTE</v>
      </c>
      <c r="H102" s="2" t="str">
        <f>+VLOOKUP(F102,Hoja2!$F:$I,3,FALSE)</f>
        <v>8.3 LÍNEA ESTRATÉGICA SALUD PARA TODOS</v>
      </c>
      <c r="I102" s="2" t="str">
        <f>+VLOOKUP(F102,Hoja2!$F:$I,4,FALSE)</f>
        <v>8.3.8 VIDA SALUDABLE Y ENFERMEDADES TRANSMISIBLES</v>
      </c>
      <c r="J102" t="s">
        <v>621</v>
      </c>
      <c r="K102" t="str">
        <f>"170"</f>
        <v>170</v>
      </c>
      <c r="L102" t="s">
        <v>634</v>
      </c>
      <c r="M102" t="s">
        <v>26</v>
      </c>
      <c r="N102" t="s">
        <v>27</v>
      </c>
      <c r="O102" t="s">
        <v>622</v>
      </c>
      <c r="P102" t="str">
        <f t="shared" si="11"/>
        <v>2020130010058 PREVENCION Y CONTROL DE LA LEPRA EN EL DISTRITO DE  CARTAGENA DE INDIAS</v>
      </c>
      <c r="Q102" t="str">
        <f t="shared" si="8"/>
        <v>06</v>
      </c>
      <c r="R102" t="str">
        <f t="shared" si="9"/>
        <v>00</v>
      </c>
      <c r="S102" s="1">
        <v>240000000</v>
      </c>
      <c r="T102" s="1">
        <v>0</v>
      </c>
      <c r="U102" s="1">
        <v>240000000</v>
      </c>
      <c r="V102" s="1">
        <v>240000000</v>
      </c>
      <c r="W102" s="1">
        <v>0</v>
      </c>
      <c r="X102" s="1">
        <v>227000000</v>
      </c>
      <c r="Y102" s="1">
        <v>94.58</v>
      </c>
      <c r="Z102" s="1">
        <v>126400000</v>
      </c>
      <c r="AA102" s="1">
        <v>52.67</v>
      </c>
      <c r="AB102" s="1">
        <v>13000000</v>
      </c>
      <c r="AC102" s="1">
        <v>126400000</v>
      </c>
    </row>
    <row r="103" spans="1:29" x14ac:dyDescent="0.3">
      <c r="A103">
        <v>2022</v>
      </c>
      <c r="B103">
        <v>100</v>
      </c>
      <c r="C103" t="str">
        <f t="shared" si="14"/>
        <v>10</v>
      </c>
      <c r="D103" t="s">
        <v>601</v>
      </c>
      <c r="E103" t="str">
        <f t="shared" si="10"/>
        <v>10 DEPARTAMENTO ADMINISTRATIVO DE SALUD</v>
      </c>
      <c r="F103" s="2">
        <v>2020130010058</v>
      </c>
      <c r="G103" s="2" t="str">
        <f>+VLOOKUP(F103,Hoja2!$F:$I,2,FALSE)</f>
        <v>08. PILAR CARTAGENA INCLUYENTE</v>
      </c>
      <c r="H103" s="2" t="str">
        <f>+VLOOKUP(F103,Hoja2!$F:$I,3,FALSE)</f>
        <v>8.3 LÍNEA ESTRATÉGICA SALUD PARA TODOS</v>
      </c>
      <c r="I103" s="2" t="str">
        <f>+VLOOKUP(F103,Hoja2!$F:$I,4,FALSE)</f>
        <v>8.3.8 VIDA SALUDABLE Y ENFERMEDADES TRANSMISIBLES</v>
      </c>
      <c r="J103" t="s">
        <v>621</v>
      </c>
      <c r="K103" t="str">
        <f>"894"</f>
        <v>894</v>
      </c>
      <c r="L103" t="s">
        <v>680</v>
      </c>
      <c r="M103" t="s">
        <v>26</v>
      </c>
      <c r="N103" t="s">
        <v>27</v>
      </c>
      <c r="O103" t="s">
        <v>622</v>
      </c>
      <c r="P103" t="str">
        <f t="shared" si="11"/>
        <v>2020130010058 PREVENCION Y CONTROL DE LA LEPRA EN EL DISTRITO DE  CARTAGENA DE INDIAS</v>
      </c>
      <c r="Q103" t="str">
        <f t="shared" si="8"/>
        <v>06</v>
      </c>
      <c r="R103" t="str">
        <f t="shared" si="9"/>
        <v>00</v>
      </c>
      <c r="S103" s="1">
        <v>0</v>
      </c>
      <c r="T103" s="1">
        <v>28032561</v>
      </c>
      <c r="U103" s="1">
        <v>28032561</v>
      </c>
      <c r="V103" s="1">
        <v>28032561</v>
      </c>
      <c r="W103" s="1">
        <v>0</v>
      </c>
      <c r="X103" s="1">
        <v>28032561</v>
      </c>
      <c r="Y103" s="1">
        <v>100</v>
      </c>
      <c r="Z103" s="1">
        <v>28032561</v>
      </c>
      <c r="AA103" s="1">
        <v>100</v>
      </c>
      <c r="AB103" s="1">
        <v>0</v>
      </c>
      <c r="AC103" s="1">
        <v>0</v>
      </c>
    </row>
    <row r="104" spans="1:29" x14ac:dyDescent="0.3">
      <c r="A104">
        <v>2022</v>
      </c>
      <c r="B104">
        <v>100</v>
      </c>
      <c r="C104" t="str">
        <f t="shared" si="14"/>
        <v>10</v>
      </c>
      <c r="D104" t="s">
        <v>601</v>
      </c>
      <c r="E104" t="str">
        <f t="shared" si="10"/>
        <v>10 DEPARTAMENTO ADMINISTRATIVO DE SALUD</v>
      </c>
      <c r="F104" s="2">
        <v>2020130010058</v>
      </c>
      <c r="G104" s="2" t="str">
        <f>+VLOOKUP(F104,Hoja2!$F:$I,2,FALSE)</f>
        <v>08. PILAR CARTAGENA INCLUYENTE</v>
      </c>
      <c r="H104" s="2" t="str">
        <f>+VLOOKUP(F104,Hoja2!$F:$I,3,FALSE)</f>
        <v>8.3 LÍNEA ESTRATÉGICA SALUD PARA TODOS</v>
      </c>
      <c r="I104" s="2" t="str">
        <f>+VLOOKUP(F104,Hoja2!$F:$I,4,FALSE)</f>
        <v>8.3.8 VIDA SALUDABLE Y ENFERMEDADES TRANSMISIBLES</v>
      </c>
      <c r="J104" t="s">
        <v>621</v>
      </c>
      <c r="K104" t="str">
        <f>"916"</f>
        <v>916</v>
      </c>
      <c r="L104" t="s">
        <v>689</v>
      </c>
      <c r="M104" t="s">
        <v>26</v>
      </c>
      <c r="N104" t="s">
        <v>27</v>
      </c>
      <c r="O104" t="s">
        <v>622</v>
      </c>
      <c r="P104" t="str">
        <f t="shared" si="11"/>
        <v>2020130010058 PREVENCION Y CONTROL DE LA LEPRA EN EL DISTRITO DE  CARTAGENA DE INDIAS</v>
      </c>
      <c r="Q104" t="str">
        <f t="shared" si="8"/>
        <v>06</v>
      </c>
      <c r="R104" t="str">
        <f t="shared" si="9"/>
        <v>00</v>
      </c>
      <c r="S104" s="1">
        <v>0</v>
      </c>
      <c r="T104" s="1">
        <v>432000000</v>
      </c>
      <c r="U104" s="1">
        <v>432000000</v>
      </c>
      <c r="V104" s="1">
        <v>432000000</v>
      </c>
      <c r="W104" s="1">
        <v>0</v>
      </c>
      <c r="X104" s="1">
        <v>432000000</v>
      </c>
      <c r="Y104" s="1">
        <v>100</v>
      </c>
      <c r="Z104" s="1">
        <v>47400000</v>
      </c>
      <c r="AA104" s="1">
        <v>10.97</v>
      </c>
      <c r="AB104" s="1">
        <v>0</v>
      </c>
      <c r="AC104" s="1">
        <v>45000000</v>
      </c>
    </row>
    <row r="105" spans="1:29" x14ac:dyDescent="0.3">
      <c r="A105">
        <v>2022</v>
      </c>
      <c r="B105">
        <v>100</v>
      </c>
      <c r="C105" t="str">
        <f t="shared" si="14"/>
        <v>10</v>
      </c>
      <c r="D105" t="s">
        <v>601</v>
      </c>
      <c r="E105" t="str">
        <f t="shared" si="10"/>
        <v>10 DEPARTAMENTO ADMINISTRATIVO DE SALUD</v>
      </c>
      <c r="F105" s="2">
        <v>2020130010060</v>
      </c>
      <c r="G105" s="2" t="str">
        <f>+VLOOKUP(F105,Hoja2!$F:$I,2,FALSE)</f>
        <v>08. PILAR CARTAGENA INCLUYENTE</v>
      </c>
      <c r="H105" s="2" t="str">
        <f>+VLOOKUP(F105,Hoja2!$F:$I,3,FALSE)</f>
        <v>8.3 LÍNEA ESTRATÉGICA SALUD PARA TODOS</v>
      </c>
      <c r="I105" s="2" t="str">
        <f>+VLOOKUP(F105,Hoja2!$F:$I,4,FALSE)</f>
        <v>8.3.8 VIDA SALUDABLE Y ENFERMEDADES TRANSMISIBLES</v>
      </c>
      <c r="J105" t="s">
        <v>623</v>
      </c>
      <c r="K105" t="str">
        <f>"016"</f>
        <v>016</v>
      </c>
      <c r="L105" t="s">
        <v>619</v>
      </c>
      <c r="M105" t="s">
        <v>26</v>
      </c>
      <c r="N105" t="s">
        <v>27</v>
      </c>
      <c r="O105" t="s">
        <v>624</v>
      </c>
      <c r="P105" t="str">
        <f t="shared" si="11"/>
        <v>2020130010060 PREVENCION Y CONTROL DE LA TUBERCULOSIS EN EL DISTRITO DE  CARTAGENA DE INDIAS</v>
      </c>
      <c r="Q105" t="str">
        <f t="shared" si="8"/>
        <v>06</v>
      </c>
      <c r="R105" t="str">
        <f t="shared" si="9"/>
        <v>00</v>
      </c>
      <c r="S105" s="1">
        <v>159224164</v>
      </c>
      <c r="T105" s="1">
        <v>-7582103</v>
      </c>
      <c r="U105" s="1">
        <v>151642061</v>
      </c>
      <c r="V105" s="1">
        <v>134000000</v>
      </c>
      <c r="W105" s="1">
        <v>17642061</v>
      </c>
      <c r="X105" s="1">
        <v>96833333</v>
      </c>
      <c r="Y105" s="1">
        <v>63.86</v>
      </c>
      <c r="Z105" s="1">
        <v>21833333</v>
      </c>
      <c r="AA105" s="1">
        <v>14.4</v>
      </c>
      <c r="AB105" s="1">
        <v>54808728</v>
      </c>
      <c r="AC105" s="1">
        <v>10000000</v>
      </c>
    </row>
    <row r="106" spans="1:29" x14ac:dyDescent="0.3">
      <c r="A106">
        <v>2022</v>
      </c>
      <c r="B106">
        <v>100</v>
      </c>
      <c r="C106" t="str">
        <f t="shared" si="14"/>
        <v>10</v>
      </c>
      <c r="D106" t="s">
        <v>601</v>
      </c>
      <c r="E106" t="str">
        <f t="shared" si="10"/>
        <v>10 DEPARTAMENTO ADMINISTRATIVO DE SALUD</v>
      </c>
      <c r="F106" s="2">
        <v>2020130010060</v>
      </c>
      <c r="G106" s="2" t="str">
        <f>+VLOOKUP(F106,Hoja2!$F:$I,2,FALSE)</f>
        <v>08. PILAR CARTAGENA INCLUYENTE</v>
      </c>
      <c r="H106" s="2" t="str">
        <f>+VLOOKUP(F106,Hoja2!$F:$I,3,FALSE)</f>
        <v>8.3 LÍNEA ESTRATÉGICA SALUD PARA TODOS</v>
      </c>
      <c r="I106" s="2" t="str">
        <f>+VLOOKUP(F106,Hoja2!$F:$I,4,FALSE)</f>
        <v>8.3.8 VIDA SALUDABLE Y ENFERMEDADES TRANSMISIBLES</v>
      </c>
      <c r="J106" t="s">
        <v>623</v>
      </c>
      <c r="K106" t="str">
        <f>"170"</f>
        <v>170</v>
      </c>
      <c r="L106" t="s">
        <v>634</v>
      </c>
      <c r="M106" t="s">
        <v>26</v>
      </c>
      <c r="N106" t="s">
        <v>27</v>
      </c>
      <c r="O106" t="s">
        <v>624</v>
      </c>
      <c r="P106" t="str">
        <f t="shared" si="11"/>
        <v>2020130010060 PREVENCION Y CONTROL DE LA TUBERCULOSIS EN EL DISTRITO DE  CARTAGENA DE INDIAS</v>
      </c>
      <c r="Q106" t="str">
        <f t="shared" si="8"/>
        <v>06</v>
      </c>
      <c r="R106" t="str">
        <f t="shared" si="9"/>
        <v>00</v>
      </c>
      <c r="S106" s="1">
        <v>240000000</v>
      </c>
      <c r="T106" s="1">
        <v>0</v>
      </c>
      <c r="U106" s="1">
        <v>240000000</v>
      </c>
      <c r="V106" s="1">
        <v>186600000</v>
      </c>
      <c r="W106" s="1">
        <v>53400000</v>
      </c>
      <c r="X106" s="1">
        <v>186600000</v>
      </c>
      <c r="Y106" s="1">
        <v>77.75</v>
      </c>
      <c r="Z106" s="1">
        <v>97200000</v>
      </c>
      <c r="AA106" s="1">
        <v>40.5</v>
      </c>
      <c r="AB106" s="1">
        <v>53400000</v>
      </c>
      <c r="AC106" s="1">
        <v>97200000</v>
      </c>
    </row>
    <row r="107" spans="1:29" x14ac:dyDescent="0.3">
      <c r="A107">
        <v>2022</v>
      </c>
      <c r="B107">
        <v>100</v>
      </c>
      <c r="C107" t="str">
        <f t="shared" si="14"/>
        <v>10</v>
      </c>
      <c r="D107" t="s">
        <v>601</v>
      </c>
      <c r="E107" t="str">
        <f t="shared" si="10"/>
        <v>10 DEPARTAMENTO ADMINISTRATIVO DE SALUD</v>
      </c>
      <c r="F107" s="2">
        <v>2020130010060</v>
      </c>
      <c r="G107" s="2" t="str">
        <f>+VLOOKUP(F107,Hoja2!$F:$I,2,FALSE)</f>
        <v>08. PILAR CARTAGENA INCLUYENTE</v>
      </c>
      <c r="H107" s="2" t="str">
        <f>+VLOOKUP(F107,Hoja2!$F:$I,3,FALSE)</f>
        <v>8.3 LÍNEA ESTRATÉGICA SALUD PARA TODOS</v>
      </c>
      <c r="I107" s="2" t="str">
        <f>+VLOOKUP(F107,Hoja2!$F:$I,4,FALSE)</f>
        <v>8.3.8 VIDA SALUDABLE Y ENFERMEDADES TRANSMISIBLES</v>
      </c>
      <c r="J107" t="s">
        <v>623</v>
      </c>
      <c r="K107" t="str">
        <f>"894"</f>
        <v>894</v>
      </c>
      <c r="L107" t="s">
        <v>680</v>
      </c>
      <c r="M107" t="s">
        <v>26</v>
      </c>
      <c r="N107" t="s">
        <v>27</v>
      </c>
      <c r="O107" t="s">
        <v>624</v>
      </c>
      <c r="P107" t="str">
        <f t="shared" si="11"/>
        <v>2020130010060 PREVENCION Y CONTROL DE LA TUBERCULOSIS EN EL DISTRITO DE  CARTAGENA DE INDIAS</v>
      </c>
      <c r="Q107" t="str">
        <f t="shared" si="8"/>
        <v>06</v>
      </c>
      <c r="R107" t="str">
        <f t="shared" si="9"/>
        <v>00</v>
      </c>
      <c r="S107" s="1">
        <v>0</v>
      </c>
      <c r="T107" s="1">
        <v>41638728</v>
      </c>
      <c r="U107" s="1">
        <v>41638728</v>
      </c>
      <c r="V107" s="1">
        <v>41638728</v>
      </c>
      <c r="W107" s="1">
        <v>0</v>
      </c>
      <c r="X107" s="1">
        <v>41638728</v>
      </c>
      <c r="Y107" s="1">
        <v>100</v>
      </c>
      <c r="Z107" s="1">
        <v>41638728</v>
      </c>
      <c r="AA107" s="1">
        <v>100</v>
      </c>
      <c r="AB107" s="1">
        <v>0</v>
      </c>
      <c r="AC107" s="1">
        <v>41638728</v>
      </c>
    </row>
    <row r="108" spans="1:29" x14ac:dyDescent="0.3">
      <c r="A108">
        <v>2022</v>
      </c>
      <c r="B108">
        <v>100</v>
      </c>
      <c r="C108" t="str">
        <f t="shared" si="14"/>
        <v>10</v>
      </c>
      <c r="D108" t="s">
        <v>601</v>
      </c>
      <c r="E108" t="str">
        <f t="shared" si="10"/>
        <v>10 DEPARTAMENTO ADMINISTRATIVO DE SALUD</v>
      </c>
      <c r="F108" s="2">
        <v>2020130010060</v>
      </c>
      <c r="G108" s="2" t="str">
        <f>+VLOOKUP(F108,Hoja2!$F:$I,2,FALSE)</f>
        <v>08. PILAR CARTAGENA INCLUYENTE</v>
      </c>
      <c r="H108" s="2" t="str">
        <f>+VLOOKUP(F108,Hoja2!$F:$I,3,FALSE)</f>
        <v>8.3 LÍNEA ESTRATÉGICA SALUD PARA TODOS</v>
      </c>
      <c r="I108" s="2" t="str">
        <f>+VLOOKUP(F108,Hoja2!$F:$I,4,FALSE)</f>
        <v>8.3.8 VIDA SALUDABLE Y ENFERMEDADES TRANSMISIBLES</v>
      </c>
      <c r="J108" t="s">
        <v>623</v>
      </c>
      <c r="K108" t="str">
        <f>"916"</f>
        <v>916</v>
      </c>
      <c r="L108" t="s">
        <v>689</v>
      </c>
      <c r="M108" t="s">
        <v>26</v>
      </c>
      <c r="N108" t="s">
        <v>27</v>
      </c>
      <c r="O108" t="s">
        <v>624</v>
      </c>
      <c r="P108" t="str">
        <f t="shared" si="11"/>
        <v>2020130010060 PREVENCION Y CONTROL DE LA TUBERCULOSIS EN EL DISTRITO DE  CARTAGENA DE INDIAS</v>
      </c>
      <c r="Q108" t="str">
        <f t="shared" si="8"/>
        <v>06</v>
      </c>
      <c r="R108" t="str">
        <f t="shared" si="9"/>
        <v>00</v>
      </c>
      <c r="S108" s="1">
        <v>0</v>
      </c>
      <c r="T108" s="1">
        <v>355400000</v>
      </c>
      <c r="U108" s="1">
        <v>355400000</v>
      </c>
      <c r="V108" s="1">
        <v>344600000</v>
      </c>
      <c r="W108" s="1">
        <v>10800000</v>
      </c>
      <c r="X108" s="1">
        <v>319586666</v>
      </c>
      <c r="Y108" s="1">
        <v>89.92</v>
      </c>
      <c r="Z108" s="1">
        <v>93186666</v>
      </c>
      <c r="AA108" s="1">
        <v>26.22</v>
      </c>
      <c r="AB108" s="1">
        <v>35813334</v>
      </c>
      <c r="AC108" s="1">
        <v>62000000</v>
      </c>
    </row>
    <row r="109" spans="1:29" x14ac:dyDescent="0.3">
      <c r="A109">
        <v>2022</v>
      </c>
      <c r="B109">
        <v>100</v>
      </c>
      <c r="C109" t="str">
        <f>"02"</f>
        <v>02</v>
      </c>
      <c r="D109" t="s">
        <v>106</v>
      </c>
      <c r="E109" t="str">
        <f t="shared" si="10"/>
        <v>02 SECRETARIA DEL INTERIOR Y CONVIVENCIA CIUDADANAL</v>
      </c>
      <c r="F109" s="2">
        <v>2020130010061</v>
      </c>
      <c r="G109" s="2" t="str">
        <f>+VLOOKUP(F109,Hoja2!$F:$I,2,FALSE)</f>
        <v>10. PILAR: CARTAGENA TRANSPARENTE</v>
      </c>
      <c r="H109" s="2" t="str">
        <f>+VLOOKUP(F109,Hoja2!$F:$I,3,FALSE)</f>
        <v>10.5 LÍNEA ESTRATÉGICA: ATENCIÓN Y REPARACIÓN A VICTIMAS PARA LA CONSTRUCCIÓN DE LA PAZ TERRITORIAL</v>
      </c>
      <c r="I109" s="2" t="str">
        <f>+VLOOKUP(F109,Hoja2!$F:$I,4,FALSE)</f>
        <v>10.5.1 PROGRAMA: ATENCIÓN, ASISTENCIA Y REPARACIÓN INTEGRAL A LAS VÍCTIMAS</v>
      </c>
      <c r="J109" t="s">
        <v>161</v>
      </c>
      <c r="K109" t="str">
        <f>"001"</f>
        <v>001</v>
      </c>
      <c r="L109" t="s">
        <v>25</v>
      </c>
      <c r="M109" t="s">
        <v>26</v>
      </c>
      <c r="N109" t="s">
        <v>27</v>
      </c>
      <c r="O109" t="s">
        <v>162</v>
      </c>
      <c r="P109" t="str">
        <f t="shared" si="11"/>
        <v>2020130010061 ASISTENCIA ATENCION Y REPARACION INTEGRAL A LAS VICTIMAS DEL CONFLICTO ARMADO EN EL DISTRITO DE   CARTAGENA DE INDIAS</v>
      </c>
      <c r="Q109" t="str">
        <f t="shared" si="8"/>
        <v>06</v>
      </c>
      <c r="R109" t="str">
        <f t="shared" si="9"/>
        <v>00</v>
      </c>
      <c r="S109" s="1">
        <v>670028169</v>
      </c>
      <c r="T109" s="1">
        <v>153864800</v>
      </c>
      <c r="U109" s="1">
        <v>823892969</v>
      </c>
      <c r="V109" s="1">
        <v>823229162.66999996</v>
      </c>
      <c r="W109" s="1">
        <v>663806.32999999996</v>
      </c>
      <c r="X109" s="1">
        <v>711121002.33000004</v>
      </c>
      <c r="Y109" s="1">
        <v>86.31</v>
      </c>
      <c r="Z109" s="1">
        <v>696199668.88999999</v>
      </c>
      <c r="AA109" s="1">
        <v>84.5</v>
      </c>
      <c r="AB109" s="1">
        <v>112771966.67</v>
      </c>
      <c r="AC109" s="1">
        <v>479630676.88999999</v>
      </c>
    </row>
    <row r="110" spans="1:29" x14ac:dyDescent="0.3">
      <c r="A110">
        <v>2022</v>
      </c>
      <c r="B110">
        <v>100</v>
      </c>
      <c r="C110" t="str">
        <f>"10"</f>
        <v>10</v>
      </c>
      <c r="D110" t="s">
        <v>601</v>
      </c>
      <c r="E110" t="str">
        <f t="shared" si="10"/>
        <v>10 DEPARTAMENTO ADMINISTRATIVO DE SALUD</v>
      </c>
      <c r="F110" s="2">
        <v>2020130010063</v>
      </c>
      <c r="G110" s="2" t="str">
        <f>+VLOOKUP(F110,Hoja2!$F:$I,2,FALSE)</f>
        <v>08. PILAR CARTAGENA INCLUYENTE</v>
      </c>
      <c r="H110" s="2" t="str">
        <f>+VLOOKUP(F110,Hoja2!$F:$I,3,FALSE)</f>
        <v>8.3 LÍNEA ESTRATÉGICA SALUD PARA TODOS</v>
      </c>
      <c r="I110" s="2" t="str">
        <f>+VLOOKUP(F110,Hoja2!$F:$I,4,FALSE)</f>
        <v>8.3.1 PROGRAMA: FORTALECIMIENTO DE LA AUTORIDAD SANITARIA</v>
      </c>
      <c r="J110" t="s">
        <v>602</v>
      </c>
      <c r="K110" t="str">
        <f>"001"</f>
        <v>001</v>
      </c>
      <c r="L110" t="s">
        <v>25</v>
      </c>
      <c r="M110" t="s">
        <v>26</v>
      </c>
      <c r="N110" t="s">
        <v>27</v>
      </c>
      <c r="O110" t="s">
        <v>603</v>
      </c>
      <c r="P110" t="str">
        <f t="shared" si="11"/>
        <v>2020130010063 CONTROL , VIGILANCIA, INSPECCION Y PROMOCION DEL SISTEMA OBLIGATORIO DE GARANTIA DE LA CALIDAD EN EL DISTRITO DE  CARTAGENA DE INDIAS</v>
      </c>
      <c r="Q110" t="str">
        <f t="shared" si="8"/>
        <v>06</v>
      </c>
      <c r="R110" t="str">
        <f t="shared" si="9"/>
        <v>00</v>
      </c>
      <c r="S110" s="1">
        <v>100000000</v>
      </c>
      <c r="T110" s="1">
        <v>0</v>
      </c>
      <c r="U110" s="1">
        <v>100000000</v>
      </c>
      <c r="V110" s="1">
        <v>100000000</v>
      </c>
      <c r="W110" s="1">
        <v>0</v>
      </c>
      <c r="X110" s="1">
        <v>100000000</v>
      </c>
      <c r="Y110" s="1">
        <v>100</v>
      </c>
      <c r="Z110" s="1">
        <v>100000000</v>
      </c>
      <c r="AA110" s="1">
        <v>100</v>
      </c>
      <c r="AB110" s="1">
        <v>0</v>
      </c>
      <c r="AC110" s="1">
        <v>100000000</v>
      </c>
    </row>
    <row r="111" spans="1:29" x14ac:dyDescent="0.3">
      <c r="A111">
        <v>2022</v>
      </c>
      <c r="B111">
        <v>100</v>
      </c>
      <c r="C111" t="str">
        <f>"10"</f>
        <v>10</v>
      </c>
      <c r="D111" t="s">
        <v>601</v>
      </c>
      <c r="E111" t="str">
        <f t="shared" si="10"/>
        <v>10 DEPARTAMENTO ADMINISTRATIVO DE SALUD</v>
      </c>
      <c r="F111" s="2">
        <v>2020130010063</v>
      </c>
      <c r="G111" s="2" t="str">
        <f>+VLOOKUP(F111,Hoja2!$F:$I,2,FALSE)</f>
        <v>08. PILAR CARTAGENA INCLUYENTE</v>
      </c>
      <c r="H111" s="2" t="str">
        <f>+VLOOKUP(F111,Hoja2!$F:$I,3,FALSE)</f>
        <v>8.3 LÍNEA ESTRATÉGICA SALUD PARA TODOS</v>
      </c>
      <c r="I111" s="2" t="str">
        <f>+VLOOKUP(F111,Hoja2!$F:$I,4,FALSE)</f>
        <v>8.3.1 PROGRAMA: FORTALECIMIENTO DE LA AUTORIDAD SANITARIA</v>
      </c>
      <c r="J111" t="s">
        <v>602</v>
      </c>
      <c r="K111" t="str">
        <f>"015"</f>
        <v>015</v>
      </c>
      <c r="L111" t="s">
        <v>618</v>
      </c>
      <c r="M111" t="s">
        <v>26</v>
      </c>
      <c r="N111" t="s">
        <v>27</v>
      </c>
      <c r="O111" t="s">
        <v>603</v>
      </c>
      <c r="P111" t="str">
        <f t="shared" si="11"/>
        <v>2020130010063 CONTROL , VIGILANCIA, INSPECCION Y PROMOCION DEL SISTEMA OBLIGATORIO DE GARANTIA DE LA CALIDAD EN EL DISTRITO DE  CARTAGENA DE INDIAS</v>
      </c>
      <c r="Q111" t="str">
        <f t="shared" si="8"/>
        <v>06</v>
      </c>
      <c r="R111" t="str">
        <f t="shared" si="9"/>
        <v>00</v>
      </c>
      <c r="S111" s="1">
        <v>420000000</v>
      </c>
      <c r="T111" s="1">
        <v>0</v>
      </c>
      <c r="U111" s="1">
        <v>420000000</v>
      </c>
      <c r="V111" s="1">
        <v>412000000</v>
      </c>
      <c r="W111" s="1">
        <v>8000000</v>
      </c>
      <c r="X111" s="1">
        <v>412000000</v>
      </c>
      <c r="Y111" s="1">
        <v>98.1</v>
      </c>
      <c r="Z111" s="1">
        <v>412000000</v>
      </c>
      <c r="AA111" s="1">
        <v>98.1</v>
      </c>
      <c r="AB111" s="1">
        <v>8000000</v>
      </c>
      <c r="AC111" s="1">
        <v>409600000</v>
      </c>
    </row>
    <row r="112" spans="1:29" x14ac:dyDescent="0.3">
      <c r="A112">
        <v>2022</v>
      </c>
      <c r="B112">
        <v>100</v>
      </c>
      <c r="C112" t="str">
        <f>"10"</f>
        <v>10</v>
      </c>
      <c r="D112" t="s">
        <v>601</v>
      </c>
      <c r="E112" t="str">
        <f t="shared" si="10"/>
        <v>10 DEPARTAMENTO ADMINISTRATIVO DE SALUD</v>
      </c>
      <c r="F112" s="2">
        <v>2020130010063</v>
      </c>
      <c r="G112" s="2" t="str">
        <f>+VLOOKUP(F112,Hoja2!$F:$I,2,FALSE)</f>
        <v>08. PILAR CARTAGENA INCLUYENTE</v>
      </c>
      <c r="H112" s="2" t="str">
        <f>+VLOOKUP(F112,Hoja2!$F:$I,3,FALSE)</f>
        <v>8.3 LÍNEA ESTRATÉGICA SALUD PARA TODOS</v>
      </c>
      <c r="I112" s="2" t="str">
        <f>+VLOOKUP(F112,Hoja2!$F:$I,4,FALSE)</f>
        <v>8.3.1 PROGRAMA: FORTALECIMIENTO DE LA AUTORIDAD SANITARIA</v>
      </c>
      <c r="J112" t="s">
        <v>602</v>
      </c>
      <c r="K112" t="str">
        <f>"889"</f>
        <v>889</v>
      </c>
      <c r="L112" t="s">
        <v>672</v>
      </c>
      <c r="M112" t="s">
        <v>26</v>
      </c>
      <c r="N112" t="s">
        <v>27</v>
      </c>
      <c r="O112" t="s">
        <v>673</v>
      </c>
      <c r="P112" t="str">
        <f t="shared" si="11"/>
        <v>2020130010063 CONTROL, VIGILANCIA, INSPECCION Y PROMOCION DEL SISTEMA OBLIGATORIO DE GARANTIA DE LA CALIDAD EN EL DISTRITO DE  CARTAGENA DE INDIAS</v>
      </c>
      <c r="Q112" t="str">
        <f t="shared" si="8"/>
        <v>06</v>
      </c>
      <c r="R112" t="str">
        <f t="shared" si="9"/>
        <v>00</v>
      </c>
      <c r="S112" s="1">
        <v>0</v>
      </c>
      <c r="T112" s="1">
        <v>249876391</v>
      </c>
      <c r="U112" s="1">
        <v>249876391</v>
      </c>
      <c r="V112" s="1">
        <v>239200000</v>
      </c>
      <c r="W112" s="1">
        <v>10676391</v>
      </c>
      <c r="X112" s="1">
        <v>200000000</v>
      </c>
      <c r="Y112" s="1">
        <v>80.040000000000006</v>
      </c>
      <c r="Z112" s="1">
        <v>200000000</v>
      </c>
      <c r="AA112" s="1">
        <v>80.040000000000006</v>
      </c>
      <c r="AB112" s="1">
        <v>49876391</v>
      </c>
      <c r="AC112" s="1">
        <v>185000000</v>
      </c>
    </row>
    <row r="113" spans="1:29" x14ac:dyDescent="0.3">
      <c r="A113">
        <v>2022</v>
      </c>
      <c r="B113">
        <v>100</v>
      </c>
      <c r="C113" t="str">
        <f>"10"</f>
        <v>10</v>
      </c>
      <c r="D113" t="s">
        <v>601</v>
      </c>
      <c r="E113" t="str">
        <f t="shared" si="10"/>
        <v>10 DEPARTAMENTO ADMINISTRATIVO DE SALUD</v>
      </c>
      <c r="F113" s="2">
        <v>2020130010063</v>
      </c>
      <c r="G113" s="2" t="str">
        <f>+VLOOKUP(F113,Hoja2!$F:$I,2,FALSE)</f>
        <v>08. PILAR CARTAGENA INCLUYENTE</v>
      </c>
      <c r="H113" s="2" t="str">
        <f>+VLOOKUP(F113,Hoja2!$F:$I,3,FALSE)</f>
        <v>8.3 LÍNEA ESTRATÉGICA SALUD PARA TODOS</v>
      </c>
      <c r="I113" s="2" t="str">
        <f>+VLOOKUP(F113,Hoja2!$F:$I,4,FALSE)</f>
        <v>8.3.1 PROGRAMA: FORTALECIMIENTO DE LA AUTORIDAD SANITARIA</v>
      </c>
      <c r="J113" t="s">
        <v>602</v>
      </c>
      <c r="K113" t="str">
        <f>"893"</f>
        <v>893</v>
      </c>
      <c r="L113" t="s">
        <v>679</v>
      </c>
      <c r="M113" t="s">
        <v>26</v>
      </c>
      <c r="N113" t="s">
        <v>27</v>
      </c>
      <c r="O113" t="s">
        <v>673</v>
      </c>
      <c r="P113" t="str">
        <f t="shared" si="11"/>
        <v>2020130010063 CONTROL, VIGILANCIA, INSPECCION Y PROMOCION DEL SISTEMA OBLIGATORIO DE GARANTIA DE LA CALIDAD EN EL DISTRITO DE  CARTAGENA DE INDIAS</v>
      </c>
      <c r="Q113" t="str">
        <f t="shared" si="8"/>
        <v>06</v>
      </c>
      <c r="R113" t="str">
        <f t="shared" si="9"/>
        <v>00</v>
      </c>
      <c r="S113" s="1">
        <v>0</v>
      </c>
      <c r="T113" s="1">
        <v>413941140</v>
      </c>
      <c r="U113" s="1">
        <v>413941140</v>
      </c>
      <c r="V113" s="1">
        <v>288101627</v>
      </c>
      <c r="W113" s="1">
        <v>125839513</v>
      </c>
      <c r="X113" s="1">
        <v>233546662</v>
      </c>
      <c r="Y113" s="1">
        <v>56.42</v>
      </c>
      <c r="Z113" s="1">
        <v>233546662</v>
      </c>
      <c r="AA113" s="1">
        <v>56.42</v>
      </c>
      <c r="AB113" s="1">
        <v>180394478</v>
      </c>
      <c r="AC113" s="1">
        <v>191500000</v>
      </c>
    </row>
    <row r="114" spans="1:29" x14ac:dyDescent="0.3">
      <c r="A114">
        <v>2022</v>
      </c>
      <c r="B114">
        <v>100</v>
      </c>
      <c r="C114" t="str">
        <f>"07"</f>
        <v>07</v>
      </c>
      <c r="D114" t="s">
        <v>399</v>
      </c>
      <c r="E114" t="str">
        <f t="shared" si="10"/>
        <v>07 SECRETARIA DE EDUCACION</v>
      </c>
      <c r="F114" s="2">
        <v>2020130010065</v>
      </c>
      <c r="G114" s="2" t="str">
        <f>+VLOOKUP(F114,Hoja2!$F:$I,2,FALSE)</f>
        <v>08. PILAR CARTAGENA INCLUYENTE</v>
      </c>
      <c r="H114" s="2" t="str">
        <f>+VLOOKUP(F114,Hoja2!$F:$I,3,FALSE)</f>
        <v>8.2 LÍNEA ESTRATEGICA DE EDUCACION: CULTURA DE LA FORMACION "CON LA EDUCACION PARA TODOS Y TODAS SALVAMOS JUNTOS A CARTAGENA"</v>
      </c>
      <c r="I114" s="2" t="str">
        <f>+VLOOKUP(F114,Hoja2!$F:$I,4,FALSE)</f>
        <v>8.2.1 PROGRAMA: ACOGIDA “ATENCIÓN A POBLACIONES Y ESTRATEGIAS DE ACCESO Y PERMANENCIA”</v>
      </c>
      <c r="J114" t="s">
        <v>451</v>
      </c>
      <c r="K114" t="str">
        <f>"071"</f>
        <v>071</v>
      </c>
      <c r="L114" t="s">
        <v>449</v>
      </c>
      <c r="M114" t="s">
        <v>26</v>
      </c>
      <c r="N114" t="s">
        <v>27</v>
      </c>
      <c r="O114" t="s">
        <v>452</v>
      </c>
      <c r="P114" t="str">
        <f t="shared" si="11"/>
        <v>2020130010065 IMPLEMENTACION DE LA ESTRATEGIA ESCUELA DINAMICA: LLEGO Y ME QUEDO EN LA ESCUELA EN EL DISTRITO DE  CARTAGENA DE INDIAS</v>
      </c>
      <c r="Q114" t="str">
        <f t="shared" si="8"/>
        <v>06</v>
      </c>
      <c r="R114" t="str">
        <f t="shared" si="9"/>
        <v>00</v>
      </c>
      <c r="S114" s="1">
        <v>72626478309</v>
      </c>
      <c r="T114" s="1">
        <v>-1420129353</v>
      </c>
      <c r="U114" s="1">
        <v>71206348956</v>
      </c>
      <c r="V114" s="1">
        <v>71206348956</v>
      </c>
      <c r="W114" s="1">
        <v>0</v>
      </c>
      <c r="X114" s="1">
        <v>71023421273</v>
      </c>
      <c r="Y114" s="1">
        <v>99.74</v>
      </c>
      <c r="Z114" s="1">
        <v>71023421273</v>
      </c>
      <c r="AA114" s="1">
        <v>99.74</v>
      </c>
      <c r="AB114" s="1">
        <v>182927683</v>
      </c>
      <c r="AC114" s="1">
        <v>69966613601</v>
      </c>
    </row>
    <row r="115" spans="1:29" x14ac:dyDescent="0.3">
      <c r="A115">
        <v>2022</v>
      </c>
      <c r="B115">
        <v>100</v>
      </c>
      <c r="C115" t="str">
        <f>"07"</f>
        <v>07</v>
      </c>
      <c r="D115" t="s">
        <v>399</v>
      </c>
      <c r="E115" t="str">
        <f t="shared" si="10"/>
        <v>07 SECRETARIA DE EDUCACION</v>
      </c>
      <c r="F115" s="2">
        <v>2020130010065</v>
      </c>
      <c r="G115" s="2" t="str">
        <f>+VLOOKUP(F115,Hoja2!$F:$I,2,FALSE)</f>
        <v>08. PILAR CARTAGENA INCLUYENTE</v>
      </c>
      <c r="H115" s="2" t="str">
        <f>+VLOOKUP(F115,Hoja2!$F:$I,3,FALSE)</f>
        <v>8.2 LÍNEA ESTRATEGICA DE EDUCACION: CULTURA DE LA FORMACION "CON LA EDUCACION PARA TODOS Y TODAS SALVAMOS JUNTOS A CARTAGENA"</v>
      </c>
      <c r="I115" s="2" t="str">
        <f>+VLOOKUP(F115,Hoja2!$F:$I,4,FALSE)</f>
        <v>8.2.1 PROGRAMA: ACOGIDA “ATENCIÓN A POBLACIONES Y ESTRATEGIAS DE ACCESO Y PERMANENCIA”</v>
      </c>
      <c r="J115" t="s">
        <v>451</v>
      </c>
      <c r="K115" t="str">
        <f>"001"</f>
        <v>001</v>
      </c>
      <c r="L115" t="s">
        <v>25</v>
      </c>
      <c r="M115" t="s">
        <v>26</v>
      </c>
      <c r="N115" t="s">
        <v>27</v>
      </c>
      <c r="O115" t="s">
        <v>452</v>
      </c>
      <c r="P115" t="str">
        <f t="shared" si="11"/>
        <v>2020130010065 IMPLEMENTACION DE LA ESTRATEGIA ESCUELA DINAMICA: LLEGO Y ME QUEDO EN LA ESCUELA EN EL DISTRITO DE  CARTAGENA DE INDIAS</v>
      </c>
      <c r="Q115" t="str">
        <f t="shared" si="8"/>
        <v>06</v>
      </c>
      <c r="R115" t="str">
        <f t="shared" si="9"/>
        <v>00</v>
      </c>
      <c r="S115" s="1">
        <v>1200000000</v>
      </c>
      <c r="T115" s="1">
        <v>749663466.01999998</v>
      </c>
      <c r="U115" s="1">
        <v>1949663466.02</v>
      </c>
      <c r="V115" s="1">
        <v>1934119036.02</v>
      </c>
      <c r="W115" s="1">
        <v>15544430</v>
      </c>
      <c r="X115" s="1">
        <v>1934109035.3199999</v>
      </c>
      <c r="Y115" s="1">
        <v>99.2</v>
      </c>
      <c r="Z115" s="1">
        <v>1896524384.02</v>
      </c>
      <c r="AA115" s="1">
        <v>97.27</v>
      </c>
      <c r="AB115" s="1">
        <v>15554430.699999999</v>
      </c>
      <c r="AC115" s="1">
        <v>1596306160.02</v>
      </c>
    </row>
    <row r="116" spans="1:29" x14ac:dyDescent="0.3">
      <c r="A116">
        <v>2022</v>
      </c>
      <c r="B116">
        <v>100</v>
      </c>
      <c r="C116" t="str">
        <f>"10"</f>
        <v>10</v>
      </c>
      <c r="D116" t="s">
        <v>601</v>
      </c>
      <c r="E116" t="str">
        <f t="shared" si="10"/>
        <v>10 DEPARTAMENTO ADMINISTRATIVO DE SALUD</v>
      </c>
      <c r="F116" s="2">
        <v>2020130010069</v>
      </c>
      <c r="G116" s="2" t="str">
        <f>+VLOOKUP(F116,Hoja2!$F:$I,2,FALSE)</f>
        <v>08. PILAR CARTAGENA INCLUYENTE</v>
      </c>
      <c r="H116" s="2" t="str">
        <f>+VLOOKUP(F116,Hoja2!$F:$I,3,FALSE)</f>
        <v>8.3 LÍNEA ESTRATÉGICA SALUD PARA TODOS</v>
      </c>
      <c r="I116" s="2" t="str">
        <f>+VLOOKUP(F116,Hoja2!$F:$I,4,FALSE)</f>
        <v>8.3.7 SEXUALIDAD, DERECHOS SEXUALES Y REPRODUCTIVOS</v>
      </c>
      <c r="J116" t="s">
        <v>638</v>
      </c>
      <c r="K116" t="str">
        <f>"170"</f>
        <v>170</v>
      </c>
      <c r="L116" t="s">
        <v>634</v>
      </c>
      <c r="M116" t="s">
        <v>26</v>
      </c>
      <c r="N116" t="s">
        <v>27</v>
      </c>
      <c r="O116" t="s">
        <v>639</v>
      </c>
      <c r="P116" t="str">
        <f t="shared" si="11"/>
        <v>2020130010069 MEJORAMIENTO DE LA SALUD SEXUAL Y REPRODUCTIVA DE LOS Y LAS CARTAGENERAS EN EL DISTRITO DE  CARTAGENA DE INDIAS</v>
      </c>
      <c r="Q116" t="str">
        <f t="shared" si="8"/>
        <v>06</v>
      </c>
      <c r="R116" t="str">
        <f t="shared" si="9"/>
        <v>00</v>
      </c>
      <c r="S116" s="1">
        <v>647258187</v>
      </c>
      <c r="T116" s="1">
        <v>0</v>
      </c>
      <c r="U116" s="1">
        <v>647258187</v>
      </c>
      <c r="V116" s="1">
        <v>644858187</v>
      </c>
      <c r="W116" s="1">
        <v>2400000</v>
      </c>
      <c r="X116" s="1">
        <v>633904853</v>
      </c>
      <c r="Y116" s="1">
        <v>97.94</v>
      </c>
      <c r="Z116" s="1">
        <v>348446666</v>
      </c>
      <c r="AA116" s="1">
        <v>53.83</v>
      </c>
      <c r="AB116" s="1">
        <v>13353334</v>
      </c>
      <c r="AC116" s="1">
        <v>285000000</v>
      </c>
    </row>
    <row r="117" spans="1:29" x14ac:dyDescent="0.3">
      <c r="A117">
        <v>2022</v>
      </c>
      <c r="B117">
        <v>100</v>
      </c>
      <c r="C117" t="str">
        <f>"10"</f>
        <v>10</v>
      </c>
      <c r="D117" t="s">
        <v>601</v>
      </c>
      <c r="E117" t="str">
        <f t="shared" si="10"/>
        <v>10 DEPARTAMENTO ADMINISTRATIVO DE SALUD</v>
      </c>
      <c r="F117" s="2">
        <v>2020130010070</v>
      </c>
      <c r="G117" s="2" t="str">
        <f>+VLOOKUP(F117,Hoja2!$F:$I,2,FALSE)</f>
        <v>08. PILAR CARTAGENA INCLUYENTE</v>
      </c>
      <c r="H117" s="2" t="str">
        <f>+VLOOKUP(F117,Hoja2!$F:$I,3,FALSE)</f>
        <v>8.3 LÍNEA ESTRATÉGICA SALUD PARA TODOS</v>
      </c>
      <c r="I117" s="2" t="str">
        <f>+VLOOKUP(F117,Hoja2!$F:$I,4,FALSE)</f>
        <v>8.3.7 SEXUALIDAD, DERECHOS SEXUALES Y REPRODUCTIVOS</v>
      </c>
      <c r="J117" t="s">
        <v>640</v>
      </c>
      <c r="K117" t="str">
        <f>"170"</f>
        <v>170</v>
      </c>
      <c r="L117" t="s">
        <v>634</v>
      </c>
      <c r="M117" t="s">
        <v>26</v>
      </c>
      <c r="N117" t="s">
        <v>27</v>
      </c>
      <c r="O117" t="s">
        <v>641</v>
      </c>
      <c r="P117" t="str">
        <f t="shared" si="11"/>
        <v>2020130010070 PREVENCION DE LA MORTALIDAD MATERNA Y PERINATAL  CARTAGENA DE INDIAS</v>
      </c>
      <c r="Q117" t="str">
        <f t="shared" si="8"/>
        <v>06</v>
      </c>
      <c r="R117" t="str">
        <f t="shared" si="9"/>
        <v>00</v>
      </c>
      <c r="S117" s="1">
        <v>260000000</v>
      </c>
      <c r="T117" s="1">
        <v>0</v>
      </c>
      <c r="U117" s="1">
        <v>260000000</v>
      </c>
      <c r="V117" s="1">
        <v>252800000</v>
      </c>
      <c r="W117" s="1">
        <v>7200000</v>
      </c>
      <c r="X117" s="1">
        <v>245600000</v>
      </c>
      <c r="Y117" s="1">
        <v>94.46</v>
      </c>
      <c r="Z117" s="1">
        <v>88000000</v>
      </c>
      <c r="AA117" s="1">
        <v>33.85</v>
      </c>
      <c r="AB117" s="1">
        <v>14400000</v>
      </c>
      <c r="AC117" s="1">
        <v>58000000</v>
      </c>
    </row>
    <row r="118" spans="1:29" x14ac:dyDescent="0.3">
      <c r="A118">
        <v>2022</v>
      </c>
      <c r="B118">
        <v>100</v>
      </c>
      <c r="C118" t="str">
        <f>"01"</f>
        <v>01</v>
      </c>
      <c r="D118" t="s">
        <v>23</v>
      </c>
      <c r="E118" t="str">
        <f t="shared" si="10"/>
        <v>01 DESPACHO DEL ALCALDE</v>
      </c>
      <c r="F118" s="2">
        <v>2020130010071</v>
      </c>
      <c r="G118" s="2" t="str">
        <f>+VLOOKUP(F118,Hoja2!$F:$I,2,FALSE)</f>
        <v>08. PILAR CARTAGENA INCLUYENTE</v>
      </c>
      <c r="H118" s="2" t="str">
        <f>+VLOOKUP(F118,Hoja2!$F:$I,3,FALSE)</f>
        <v>8.1 LÍNEA ESTRATÉGICA: SUPERACIÓN DE LA POBREZA Y DESIGUALDAD.</v>
      </c>
      <c r="I118" s="2" t="str">
        <f>+VLOOKUP(F118,Hoja2!$F:$I,4,FALSE)</f>
        <v>8.1.7 PROGRAMA: DINÁMICA FAMILIAR PARA LA SUPERACIÓN DE LA POBREZA EXTREMA</v>
      </c>
      <c r="J118" t="s">
        <v>67</v>
      </c>
      <c r="K118" t="str">
        <f>"827"</f>
        <v>827</v>
      </c>
      <c r="L118" t="s">
        <v>68</v>
      </c>
      <c r="M118" t="s">
        <v>26</v>
      </c>
      <c r="N118" t="s">
        <v>27</v>
      </c>
      <c r="O118" t="s">
        <v>69</v>
      </c>
      <c r="P118" t="str">
        <f t="shared" si="11"/>
        <v xml:space="preserve">2020130010071 APOYO DINAMICA FAMILIAR PARA SUPERACION DE LA POBREZA Y DESIGUALDAD </v>
      </c>
      <c r="Q118" t="str">
        <f t="shared" si="8"/>
        <v>06</v>
      </c>
      <c r="R118" t="str">
        <f t="shared" si="9"/>
        <v>00</v>
      </c>
      <c r="S118" s="1">
        <v>0</v>
      </c>
      <c r="T118" s="1">
        <v>117198.39999999999</v>
      </c>
      <c r="U118" s="1">
        <v>117198.39999999999</v>
      </c>
      <c r="V118" s="1">
        <v>0</v>
      </c>
      <c r="W118" s="1">
        <v>117198.39999999999</v>
      </c>
      <c r="X118" s="1">
        <v>0</v>
      </c>
      <c r="Y118" s="1">
        <v>0</v>
      </c>
      <c r="Z118" s="1">
        <v>0</v>
      </c>
      <c r="AA118" s="1">
        <v>0</v>
      </c>
      <c r="AB118" s="1">
        <v>117198.39999999999</v>
      </c>
      <c r="AC118" s="1">
        <v>0</v>
      </c>
    </row>
    <row r="119" spans="1:29" x14ac:dyDescent="0.3">
      <c r="A119">
        <v>2022</v>
      </c>
      <c r="B119">
        <v>100</v>
      </c>
      <c r="C119" t="str">
        <f>"01"</f>
        <v>01</v>
      </c>
      <c r="D119" t="s">
        <v>23</v>
      </c>
      <c r="E119" t="str">
        <f t="shared" si="10"/>
        <v>01 DESPACHO DEL ALCALDE</v>
      </c>
      <c r="F119" s="2">
        <v>2020130010071</v>
      </c>
      <c r="G119" s="2" t="str">
        <f>+VLOOKUP(F119,Hoja2!$F:$I,2,FALSE)</f>
        <v>08. PILAR CARTAGENA INCLUYENTE</v>
      </c>
      <c r="H119" s="2" t="str">
        <f>+VLOOKUP(F119,Hoja2!$F:$I,3,FALSE)</f>
        <v>8.1 LÍNEA ESTRATÉGICA: SUPERACIÓN DE LA POBREZA Y DESIGUALDAD.</v>
      </c>
      <c r="I119" s="2" t="str">
        <f>+VLOOKUP(F119,Hoja2!$F:$I,4,FALSE)</f>
        <v>8.1.7 PROGRAMA: DINÁMICA FAMILIAR PARA LA SUPERACIÓN DE LA POBREZA EXTREMA</v>
      </c>
      <c r="J119" t="s">
        <v>67</v>
      </c>
      <c r="K119" t="str">
        <f>"828"</f>
        <v>828</v>
      </c>
      <c r="L119" t="s">
        <v>70</v>
      </c>
      <c r="M119" t="s">
        <v>26</v>
      </c>
      <c r="N119" t="s">
        <v>27</v>
      </c>
      <c r="O119" t="s">
        <v>69</v>
      </c>
      <c r="P119" t="str">
        <f t="shared" si="11"/>
        <v xml:space="preserve">2020130010071 APOYO DINAMICA FAMILIAR PARA SUPERACION DE LA POBREZA Y DESIGUALDAD </v>
      </c>
      <c r="Q119" t="str">
        <f t="shared" si="8"/>
        <v>06</v>
      </c>
      <c r="R119" t="str">
        <f t="shared" si="9"/>
        <v>00</v>
      </c>
      <c r="S119" s="1">
        <v>0</v>
      </c>
      <c r="T119" s="1">
        <v>43190006</v>
      </c>
      <c r="U119" s="1">
        <v>43190006</v>
      </c>
      <c r="V119" s="1">
        <v>43140000</v>
      </c>
      <c r="W119" s="1">
        <v>50006</v>
      </c>
      <c r="X119" s="1">
        <v>31800000</v>
      </c>
      <c r="Y119" s="1">
        <v>73.63</v>
      </c>
      <c r="Z119" s="1">
        <v>27800000</v>
      </c>
      <c r="AA119" s="1">
        <v>64.37</v>
      </c>
      <c r="AB119" s="1">
        <v>11390006</v>
      </c>
      <c r="AC119" s="1">
        <v>27800000</v>
      </c>
    </row>
    <row r="120" spans="1:29" x14ac:dyDescent="0.3">
      <c r="A120">
        <v>2022</v>
      </c>
      <c r="B120">
        <v>100</v>
      </c>
      <c r="C120" t="str">
        <f>"01"</f>
        <v>01</v>
      </c>
      <c r="D120" t="s">
        <v>23</v>
      </c>
      <c r="E120" t="str">
        <f t="shared" si="10"/>
        <v>01 DESPACHO DEL ALCALDE</v>
      </c>
      <c r="F120" s="2">
        <v>2020130010071</v>
      </c>
      <c r="G120" s="2" t="str">
        <f>+VLOOKUP(F120,Hoja2!$F:$I,2,FALSE)</f>
        <v>08. PILAR CARTAGENA INCLUYENTE</v>
      </c>
      <c r="H120" s="2" t="str">
        <f>+VLOOKUP(F120,Hoja2!$F:$I,3,FALSE)</f>
        <v>8.1 LÍNEA ESTRATÉGICA: SUPERACIÓN DE LA POBREZA Y DESIGUALDAD.</v>
      </c>
      <c r="I120" s="2" t="str">
        <f>+VLOOKUP(F120,Hoja2!$F:$I,4,FALSE)</f>
        <v>8.1.7 PROGRAMA: DINÁMICA FAMILIAR PARA LA SUPERACIÓN DE LA POBREZA EXTREMA</v>
      </c>
      <c r="J120" t="s">
        <v>67</v>
      </c>
      <c r="K120" t="str">
        <f>"001"</f>
        <v>001</v>
      </c>
      <c r="L120" t="s">
        <v>25</v>
      </c>
      <c r="M120" t="s">
        <v>26</v>
      </c>
      <c r="N120" t="s">
        <v>27</v>
      </c>
      <c r="O120" t="s">
        <v>69</v>
      </c>
      <c r="P120" t="str">
        <f t="shared" si="11"/>
        <v xml:space="preserve">2020130010071 APOYO DINAMICA FAMILIAR PARA SUPERACION DE LA POBREZA Y DESIGUALDAD </v>
      </c>
      <c r="Q120" t="str">
        <f t="shared" si="8"/>
        <v>06</v>
      </c>
      <c r="R120" t="str">
        <f t="shared" si="9"/>
        <v>00</v>
      </c>
      <c r="S120" s="1">
        <v>400000000</v>
      </c>
      <c r="T120" s="1">
        <v>0</v>
      </c>
      <c r="U120" s="1">
        <v>400000000</v>
      </c>
      <c r="V120" s="1">
        <v>176641500</v>
      </c>
      <c r="W120" s="1">
        <v>223358500</v>
      </c>
      <c r="X120" s="1">
        <v>77400000</v>
      </c>
      <c r="Y120" s="1">
        <v>19.350000000000001</v>
      </c>
      <c r="Z120" s="1">
        <v>77400000</v>
      </c>
      <c r="AA120" s="1">
        <v>19.350000000000001</v>
      </c>
      <c r="AB120" s="1">
        <v>322600000</v>
      </c>
      <c r="AC120" s="1">
        <v>77400000</v>
      </c>
    </row>
    <row r="121" spans="1:29" x14ac:dyDescent="0.3">
      <c r="A121">
        <v>2022</v>
      </c>
      <c r="B121">
        <v>100</v>
      </c>
      <c r="C121" t="str">
        <f>"10"</f>
        <v>10</v>
      </c>
      <c r="D121" t="s">
        <v>601</v>
      </c>
      <c r="E121" t="str">
        <f t="shared" si="10"/>
        <v>10 DEPARTAMENTO ADMINISTRATIVO DE SALUD</v>
      </c>
      <c r="F121" s="2">
        <v>2020130010072</v>
      </c>
      <c r="G121" s="2" t="str">
        <f>+VLOOKUP(F121,Hoja2!$F:$I,2,FALSE)</f>
        <v>08. PILAR CARTAGENA INCLUYENTE</v>
      </c>
      <c r="H121" s="2" t="str">
        <f>+VLOOKUP(F121,Hoja2!$F:$I,3,FALSE)</f>
        <v>8.3 LÍNEA ESTRATÉGICA SALUD PARA TODOS</v>
      </c>
      <c r="I121" s="2" t="str">
        <f>+VLOOKUP(F121,Hoja2!$F:$I,4,FALSE)</f>
        <v>8.3.6 NUTRICIÓN E INOCUIDAD DE ALIMENTOS</v>
      </c>
      <c r="J121" t="s">
        <v>642</v>
      </c>
      <c r="K121" t="str">
        <f>"170"</f>
        <v>170</v>
      </c>
      <c r="L121" t="s">
        <v>634</v>
      </c>
      <c r="M121" t="s">
        <v>26</v>
      </c>
      <c r="N121" t="s">
        <v>27</v>
      </c>
      <c r="O121" t="s">
        <v>643</v>
      </c>
      <c r="P121" t="str">
        <f t="shared" si="11"/>
        <v>2020130010072 FORTALECIMIENTO DE LA NUTRICION, CONSUMO Y APROVECHAMIENTO DE ALIMENTOS DE LA POBLACION DEL DISTRITO DE  CARTAGENA DE INDIAS</v>
      </c>
      <c r="Q121" t="str">
        <f t="shared" si="8"/>
        <v>06</v>
      </c>
      <c r="R121" t="str">
        <f t="shared" si="9"/>
        <v>00</v>
      </c>
      <c r="S121" s="1">
        <v>304000000</v>
      </c>
      <c r="T121" s="1">
        <v>0</v>
      </c>
      <c r="U121" s="1">
        <v>304000000</v>
      </c>
      <c r="V121" s="1">
        <v>304000000</v>
      </c>
      <c r="W121" s="1">
        <v>0</v>
      </c>
      <c r="X121" s="1">
        <v>304000000</v>
      </c>
      <c r="Y121" s="1">
        <v>100</v>
      </c>
      <c r="Z121" s="1">
        <v>220000000</v>
      </c>
      <c r="AA121" s="1">
        <v>72.37</v>
      </c>
      <c r="AB121" s="1">
        <v>0</v>
      </c>
      <c r="AC121" s="1">
        <v>220000000</v>
      </c>
    </row>
    <row r="122" spans="1:29" x14ac:dyDescent="0.3">
      <c r="A122">
        <v>2022</v>
      </c>
      <c r="B122">
        <v>100</v>
      </c>
      <c r="C122" t="str">
        <f>"01"</f>
        <v>01</v>
      </c>
      <c r="D122" t="s">
        <v>23</v>
      </c>
      <c r="E122" t="str">
        <f t="shared" si="10"/>
        <v>01 DESPACHO DEL ALCALDE</v>
      </c>
      <c r="F122" s="2">
        <v>2020130010075</v>
      </c>
      <c r="G122" s="2" t="str">
        <f>+VLOOKUP(F122,Hoja2!$F:$I,2,FALSE)</f>
        <v>07. PILAR CARTAGENA RESILIENTE</v>
      </c>
      <c r="H122" s="2" t="str">
        <f>+VLOOKUP(F122,Hoja2!$F:$I,3,FALSE)</f>
        <v>7.2 LÍNEA ESTRATÉGICA ESPACIO PÚBLICO, MOVILIDAD Y TRANSPORTE RESILIENTE</v>
      </c>
      <c r="I122" s="2" t="str">
        <f>+VLOOKUP(F122,Hoja2!$F:$I,4,FALSE)</f>
        <v>7.2.5 TRANSPORTE PARA TODOS</v>
      </c>
      <c r="J122" t="s">
        <v>41</v>
      </c>
      <c r="K122" t="str">
        <f>"001"</f>
        <v>001</v>
      </c>
      <c r="L122" t="s">
        <v>25</v>
      </c>
      <c r="M122" t="s">
        <v>26</v>
      </c>
      <c r="N122" t="s">
        <v>27</v>
      </c>
      <c r="O122" t="s">
        <v>42</v>
      </c>
      <c r="P122" t="str">
        <f t="shared" si="11"/>
        <v>2020130010075 FORTALECIMIENTO FORTALECIMIENTO OPERACIONAL DEL SISTEMA INTEGRADO DE TRANSPORTE MASIVO DE CARTAGENA DE INDIAS  TRANSCARIBE  CARTAGENA DE INDIAS</v>
      </c>
      <c r="Q122" t="str">
        <f t="shared" si="8"/>
        <v>06</v>
      </c>
      <c r="R122" t="str">
        <f t="shared" si="9"/>
        <v>00</v>
      </c>
      <c r="S122" s="1">
        <v>13314321832</v>
      </c>
      <c r="T122" s="1">
        <v>49700000000</v>
      </c>
      <c r="U122" s="1">
        <v>63014321832</v>
      </c>
      <c r="V122" s="1">
        <v>63014321832</v>
      </c>
      <c r="W122" s="1">
        <v>0</v>
      </c>
      <c r="X122" s="1">
        <v>63014321832</v>
      </c>
      <c r="Y122" s="1">
        <v>100</v>
      </c>
      <c r="Z122" s="1">
        <v>63014321832</v>
      </c>
      <c r="AA122" s="1">
        <v>100</v>
      </c>
      <c r="AB122" s="1">
        <v>0</v>
      </c>
      <c r="AC122" s="1">
        <v>63014321832</v>
      </c>
    </row>
    <row r="123" spans="1:29" x14ac:dyDescent="0.3">
      <c r="A123">
        <v>2022</v>
      </c>
      <c r="B123">
        <v>100</v>
      </c>
      <c r="C123" t="str">
        <f>"01"</f>
        <v>01</v>
      </c>
      <c r="D123" t="s">
        <v>23</v>
      </c>
      <c r="E123" t="str">
        <f t="shared" si="10"/>
        <v>01 DESPACHO DEL ALCALDE</v>
      </c>
      <c r="F123" s="2">
        <v>2020130010079</v>
      </c>
      <c r="G123" s="2" t="str">
        <f>+VLOOKUP(F123,Hoja2!$F:$I,2,FALSE)</f>
        <v>08. PILAR CARTAGENA INCLUYENTE</v>
      </c>
      <c r="H123" s="2" t="str">
        <f>+VLOOKUP(F123,Hoja2!$F:$I,3,FALSE)</f>
        <v>8.1 LÍNEA ESTRATÉGICA: SUPERACIÓN DE LA POBREZA Y DESIGUALDAD.</v>
      </c>
      <c r="I123" s="2" t="str">
        <f>+VLOOKUP(F123,Hoja2!$F:$I,4,FALSE)</f>
        <v>8.1.3 PROGRAMA: EDUCACIÓN PARA LA SUPERACIÓN DE LA POBREZA EXTREMA Y LA DESIGUALDAD</v>
      </c>
      <c r="J123" t="s">
        <v>102</v>
      </c>
      <c r="K123" t="str">
        <f>"001"</f>
        <v>001</v>
      </c>
      <c r="L123" t="s">
        <v>25</v>
      </c>
      <c r="M123" t="s">
        <v>26</v>
      </c>
      <c r="N123" t="s">
        <v>27</v>
      </c>
      <c r="O123" t="s">
        <v>103</v>
      </c>
      <c r="P123" t="str">
        <f t="shared" si="11"/>
        <v>2020130010079 APOYO EDUCACION PARA LA SUPERACION DE LA POBREZA Y LA DESIGUALDAD-0INCREMENTAR EL ACCESO A LOS DIFERENTES NIVELES EDUCATIVOS DE NI?OS NI?AS ADOLESCENTES JOVENES Y ADULTOS EN CONDICION DE POBREZA EXTREMA DE  CARTAGENA DE INDIAS</v>
      </c>
      <c r="Q123" t="str">
        <f t="shared" si="8"/>
        <v>06</v>
      </c>
      <c r="R123" t="str">
        <f t="shared" si="9"/>
        <v>00</v>
      </c>
      <c r="S123" s="1">
        <v>205168000</v>
      </c>
      <c r="T123" s="1">
        <v>0</v>
      </c>
      <c r="U123" s="1">
        <v>205168000</v>
      </c>
      <c r="V123" s="1">
        <v>204950000</v>
      </c>
      <c r="W123" s="1">
        <v>218000</v>
      </c>
      <c r="X123" s="1">
        <v>179828200</v>
      </c>
      <c r="Y123" s="1">
        <v>87.65</v>
      </c>
      <c r="Z123" s="1">
        <v>179822250</v>
      </c>
      <c r="AA123" s="1">
        <v>87.65</v>
      </c>
      <c r="AB123" s="1">
        <v>25339800</v>
      </c>
      <c r="AC123" s="1">
        <v>175122250</v>
      </c>
    </row>
    <row r="124" spans="1:29" x14ac:dyDescent="0.3">
      <c r="A124">
        <v>2022</v>
      </c>
      <c r="B124">
        <v>100</v>
      </c>
      <c r="C124" t="str">
        <f>"07"</f>
        <v>07</v>
      </c>
      <c r="D124" t="s">
        <v>399</v>
      </c>
      <c r="E124" t="str">
        <f t="shared" si="10"/>
        <v>07 SECRETARIA DE EDUCACION</v>
      </c>
      <c r="F124" s="2">
        <v>2020130010082</v>
      </c>
      <c r="G124" s="2" t="str">
        <f>+VLOOKUP(F124,Hoja2!$F:$I,2,FALSE)</f>
        <v>08. PILAR CARTAGENA INCLUYENTE</v>
      </c>
      <c r="H124" s="2" t="str">
        <f>+VLOOKUP(F124,Hoja2!$F:$I,3,FALSE)</f>
        <v>8.2 LÍNEA ESTRATEGICA DE EDUCACION: CULTURA DE LA FORMACION "CON LA EDUCACION PARA TODOS Y TODAS SALVAMOS JUNTOS A CARTAGENA"</v>
      </c>
      <c r="I124" s="2" t="str">
        <f>+VLOOKUP(F124,Hoja2!$F:$I,4,FALSE)</f>
        <v>8.2.1 PROGRAMA: ACOGIDA “ATENCIÓN A POBLACIONES Y ESTRATEGIAS DE ACCESO Y PERMANENCIA”</v>
      </c>
      <c r="J124" t="s">
        <v>429</v>
      </c>
      <c r="K124" t="str">
        <f>"171"</f>
        <v>171</v>
      </c>
      <c r="L124" t="s">
        <v>423</v>
      </c>
      <c r="M124" t="s">
        <v>26</v>
      </c>
      <c r="N124" t="s">
        <v>27</v>
      </c>
      <c r="O124" t="s">
        <v>430</v>
      </c>
      <c r="P124" t="str">
        <f t="shared" si="11"/>
        <v>2020130010082 IMPLEMENTACION DE LA ESTRATEGIA PERMANECER : MI ESCUELA, MI LUGAR FAVORITO, TRANSPORTE Y OTRAS ESTRATEGIAS DE PERMANENCIA EN CARTAGENA DE INDIAS</v>
      </c>
      <c r="Q124" t="str">
        <f t="shared" si="8"/>
        <v>06</v>
      </c>
      <c r="R124" t="str">
        <f t="shared" si="9"/>
        <v>00</v>
      </c>
      <c r="S124" s="1">
        <v>0</v>
      </c>
      <c r="T124" s="1">
        <v>2429850000</v>
      </c>
      <c r="U124" s="1">
        <v>2429850000</v>
      </c>
      <c r="V124" s="1">
        <v>1838295996.05</v>
      </c>
      <c r="W124" s="1">
        <v>591554003.95000005</v>
      </c>
      <c r="X124" s="1">
        <v>1838295951.6500001</v>
      </c>
      <c r="Y124" s="1">
        <v>75.650000000000006</v>
      </c>
      <c r="Z124" s="1">
        <v>1744635616.6700001</v>
      </c>
      <c r="AA124" s="1">
        <v>71.8</v>
      </c>
      <c r="AB124" s="1">
        <v>591554048.35000002</v>
      </c>
      <c r="AC124" s="1">
        <v>0</v>
      </c>
    </row>
    <row r="125" spans="1:29" x14ac:dyDescent="0.3">
      <c r="A125">
        <v>2022</v>
      </c>
      <c r="B125">
        <v>100</v>
      </c>
      <c r="C125" t="str">
        <f>"07"</f>
        <v>07</v>
      </c>
      <c r="D125" t="s">
        <v>399</v>
      </c>
      <c r="E125" t="str">
        <f t="shared" si="10"/>
        <v>07 SECRETARIA DE EDUCACION</v>
      </c>
      <c r="F125" s="2">
        <v>2020130010082</v>
      </c>
      <c r="G125" s="2" t="str">
        <f>+VLOOKUP(F125,Hoja2!$F:$I,2,FALSE)</f>
        <v>08. PILAR CARTAGENA INCLUYENTE</v>
      </c>
      <c r="H125" s="2" t="str">
        <f>+VLOOKUP(F125,Hoja2!$F:$I,3,FALSE)</f>
        <v>8.2 LÍNEA ESTRATEGICA DE EDUCACION: CULTURA DE LA FORMACION "CON LA EDUCACION PARA TODOS Y TODAS SALVAMOS JUNTOS A CARTAGENA"</v>
      </c>
      <c r="I125" s="2" t="str">
        <f>+VLOOKUP(F125,Hoja2!$F:$I,4,FALSE)</f>
        <v>8.2.1 PROGRAMA: ACOGIDA “ATENCIÓN A POBLACIONES Y ESTRATEGIAS DE ACCESO Y PERMANENCIA”</v>
      </c>
      <c r="J125" t="s">
        <v>429</v>
      </c>
      <c r="K125" t="str">
        <f>"001"</f>
        <v>001</v>
      </c>
      <c r="L125" t="s">
        <v>25</v>
      </c>
      <c r="M125" t="s">
        <v>26</v>
      </c>
      <c r="N125" t="s">
        <v>27</v>
      </c>
      <c r="O125" t="s">
        <v>457</v>
      </c>
      <c r="P125" t="str">
        <f t="shared" si="11"/>
        <v>2020130010082 IMPLEMENTACION DE LA ESTRATEGIA PERMANECER: MI ESCUELA, MI LUGARFAVORITO, TRANSPORTE Y OTRAS ESTRATEGIAS DE PERMANENCIA EN  CARTAGENA DE INDIAS</v>
      </c>
      <c r="Q125" t="str">
        <f t="shared" si="8"/>
        <v>06</v>
      </c>
      <c r="R125" t="str">
        <f t="shared" si="9"/>
        <v>00</v>
      </c>
      <c r="S125" s="1">
        <v>3853744496</v>
      </c>
      <c r="T125" s="1">
        <v>697434819.48000002</v>
      </c>
      <c r="U125" s="1">
        <v>4551179315.4799995</v>
      </c>
      <c r="V125" s="1">
        <v>4551179315.4799995</v>
      </c>
      <c r="W125" s="1">
        <v>0</v>
      </c>
      <c r="X125" s="1">
        <v>4551179271.0799999</v>
      </c>
      <c r="Y125" s="1">
        <v>100</v>
      </c>
      <c r="Z125" s="1">
        <v>3848801767.3299999</v>
      </c>
      <c r="AA125" s="1">
        <v>84.57</v>
      </c>
      <c r="AB125" s="1">
        <v>44.4</v>
      </c>
      <c r="AC125" s="1">
        <v>3519283701</v>
      </c>
    </row>
    <row r="126" spans="1:29" x14ac:dyDescent="0.3">
      <c r="A126">
        <v>2022</v>
      </c>
      <c r="B126">
        <v>100</v>
      </c>
      <c r="C126" t="str">
        <f>"02"</f>
        <v>02</v>
      </c>
      <c r="D126" t="s">
        <v>106</v>
      </c>
      <c r="E126" t="str">
        <f t="shared" si="10"/>
        <v>02 SECRETARIA DEL INTERIOR Y CONVIVENCIA CIUDADANAL</v>
      </c>
      <c r="F126" s="2">
        <v>2020130010084</v>
      </c>
      <c r="G126" s="2" t="str">
        <f>+VLOOKUP(F126,Hoja2!$F:$I,2,FALSE)</f>
        <v>10. PILAR: CARTAGENA TRANSPARENTE</v>
      </c>
      <c r="H126" s="2" t="str">
        <f>+VLOOKUP(F126,Hoja2!$F:$I,3,FALSE)</f>
        <v>10.3 LÍNEA ESTRATÉGICA: CONVIVENCIA Y SEGURIDAD PARA LA GOBERNABILIDAD</v>
      </c>
      <c r="I126" s="2" t="str">
        <f>+VLOOKUP(F126,Hoja2!$F:$I,4,FALSE)</f>
        <v>10.3.6 PROGRAMA: ASISTENCIA Y ATENCIÓN INTEGRAL A LOS NIÑOS, NIÑAS, ADOLESCENTES Y JÓVENES EN RIESGO DE VINCULARSE A ACTIVIDADES DELICTIVAS</v>
      </c>
      <c r="J126" t="s">
        <v>107</v>
      </c>
      <c r="K126" t="str">
        <f>"869"</f>
        <v>869</v>
      </c>
      <c r="L126" t="s">
        <v>55</v>
      </c>
      <c r="M126" t="s">
        <v>26</v>
      </c>
      <c r="N126" t="s">
        <v>27</v>
      </c>
      <c r="O126" t="s">
        <v>108</v>
      </c>
      <c r="P126" t="str">
        <f t="shared" si="11"/>
        <v>2020130010084 ASISTENCIA Y ATENCION INTEGRAL A LOS NI?OS Y NI?AS,  JOVENES  Y ADOLESCENTES EN RIESGO DE VINCULACION A  ACTIVIDADES DELICTIVAS Y  AQUELLOS EN CONFLICTO CON LA LEY PENAL EN EL DISTRITO DE   CARTAGENA DE INDIAS</v>
      </c>
      <c r="Q126" t="str">
        <f t="shared" si="8"/>
        <v>06</v>
      </c>
      <c r="R126" t="str">
        <f t="shared" si="9"/>
        <v>00</v>
      </c>
      <c r="S126" s="1">
        <v>0</v>
      </c>
      <c r="T126" s="1">
        <v>206200000</v>
      </c>
      <c r="U126" s="1">
        <v>206200000</v>
      </c>
      <c r="V126" s="1">
        <v>200000000</v>
      </c>
      <c r="W126" s="1">
        <v>6200000</v>
      </c>
      <c r="X126" s="1">
        <v>200000000</v>
      </c>
      <c r="Y126" s="1">
        <v>96.99</v>
      </c>
      <c r="Z126" s="1">
        <v>52881150</v>
      </c>
      <c r="AA126" s="1">
        <v>25.65</v>
      </c>
      <c r="AB126" s="1">
        <v>6200000</v>
      </c>
      <c r="AC126" s="1">
        <v>0</v>
      </c>
    </row>
    <row r="127" spans="1:29" x14ac:dyDescent="0.3">
      <c r="A127">
        <v>2022</v>
      </c>
      <c r="B127">
        <v>100</v>
      </c>
      <c r="C127" t="str">
        <f>"02"</f>
        <v>02</v>
      </c>
      <c r="D127" t="s">
        <v>106</v>
      </c>
      <c r="E127" t="str">
        <f t="shared" si="10"/>
        <v>02 SECRETARIA DEL INTERIOR Y CONVIVENCIA CIUDADANAL</v>
      </c>
      <c r="F127" s="2">
        <v>2020130010084</v>
      </c>
      <c r="G127" s="2" t="str">
        <f>+VLOOKUP(F127,Hoja2!$F:$I,2,FALSE)</f>
        <v>10. PILAR: CARTAGENA TRANSPARENTE</v>
      </c>
      <c r="H127" s="2" t="str">
        <f>+VLOOKUP(F127,Hoja2!$F:$I,3,FALSE)</f>
        <v>10.3 LÍNEA ESTRATÉGICA: CONVIVENCIA Y SEGURIDAD PARA LA GOBERNABILIDAD</v>
      </c>
      <c r="I127" s="2" t="str">
        <f>+VLOOKUP(F127,Hoja2!$F:$I,4,FALSE)</f>
        <v>10.3.6 PROGRAMA: ASISTENCIA Y ATENCIÓN INTEGRAL A LOS NIÑOS, NIÑAS, ADOLESCENTES Y JÓVENES EN RIESGO DE VINCULARSE A ACTIVIDADES DELICTIVAS</v>
      </c>
      <c r="J127" t="s">
        <v>107</v>
      </c>
      <c r="K127" t="str">
        <f>"001"</f>
        <v>001</v>
      </c>
      <c r="L127" t="s">
        <v>25</v>
      </c>
      <c r="M127" t="s">
        <v>26</v>
      </c>
      <c r="N127" t="s">
        <v>27</v>
      </c>
      <c r="O127" t="s">
        <v>163</v>
      </c>
      <c r="P127" t="str">
        <f t="shared" si="11"/>
        <v>2020130010084 ASISTENCIA Y ATENCION INTEGRAL A LOS NI?OS, NI?AS,  JOVENES  Y ADOLESCENTES EN RIESGO DE VINCULACION A  ACTIVIDADES DELICTIVAS Y  AQUELLOS EN CONFLICTO CON LA LEY PENAL EN EL DISTRITO DE   CARTAGENA DE INDIAS</v>
      </c>
      <c r="Q127" t="str">
        <f t="shared" si="8"/>
        <v>06</v>
      </c>
      <c r="R127" t="str">
        <f t="shared" si="9"/>
        <v>00</v>
      </c>
      <c r="S127" s="1">
        <v>363729577</v>
      </c>
      <c r="T127" s="1">
        <v>0</v>
      </c>
      <c r="U127" s="1">
        <v>363729577</v>
      </c>
      <c r="V127" s="1">
        <v>330374074</v>
      </c>
      <c r="W127" s="1">
        <v>33355503</v>
      </c>
      <c r="X127" s="1">
        <v>294210300.37</v>
      </c>
      <c r="Y127" s="1">
        <v>80.89</v>
      </c>
      <c r="Z127" s="1">
        <v>265610300.37</v>
      </c>
      <c r="AA127" s="1">
        <v>73.02</v>
      </c>
      <c r="AB127" s="1">
        <v>69519276.629999995</v>
      </c>
      <c r="AC127" s="1">
        <v>204645550.37</v>
      </c>
    </row>
    <row r="128" spans="1:29" x14ac:dyDescent="0.3">
      <c r="A128">
        <v>2022</v>
      </c>
      <c r="B128">
        <v>100</v>
      </c>
      <c r="C128" t="str">
        <f>"07"</f>
        <v>07</v>
      </c>
      <c r="D128" t="s">
        <v>399</v>
      </c>
      <c r="E128" t="str">
        <f t="shared" si="10"/>
        <v>07 SECRETARIA DE EDUCACION</v>
      </c>
      <c r="F128" s="2">
        <v>2020130010085</v>
      </c>
      <c r="G128" s="2" t="str">
        <f>+VLOOKUP(F128,Hoja2!$F:$I,2,FALSE)</f>
        <v>08. PILAR CARTAGENA INCLUYENTE</v>
      </c>
      <c r="H128" s="2" t="str">
        <f>+VLOOKUP(F128,Hoja2!$F:$I,3,FALSE)</f>
        <v>8.2 LÍNEA ESTRATEGICA DE EDUCACION: CULTURA DE LA FORMACION "CON LA EDUCACION PARA TODOS Y TODAS SALVAMOS JUNTOS A CARTAGENA"</v>
      </c>
      <c r="I128" s="2" t="str">
        <f>+VLOOKUP(F128,Hoja2!$F:$I,4,FALSE)</f>
        <v>8.2.1 PROGRAMA: ACOGIDA “ATENCIÓN A POBLACIONES Y ESTRATEGIAS DE ACCESO Y PERMANENCIA”</v>
      </c>
      <c r="J128" t="s">
        <v>448</v>
      </c>
      <c r="K128" t="str">
        <f>"071"</f>
        <v>071</v>
      </c>
      <c r="L128" t="s">
        <v>449</v>
      </c>
      <c r="M128" t="s">
        <v>26</v>
      </c>
      <c r="N128" t="s">
        <v>27</v>
      </c>
      <c r="O128" t="s">
        <v>450</v>
      </c>
      <c r="P128" t="str">
        <f t="shared" si="11"/>
        <v>2020130010085 IMPLEMENTACION DE LA ESTRATEGIA ESCUELA DINAMICA: YO TAMBIEN LLEGO , ATENCION A POBLACION CON EXTRAEDAD EN EL  DISTRITO DE CARTAGENA DE INDIAS</v>
      </c>
      <c r="Q128" t="str">
        <f t="shared" si="8"/>
        <v>06</v>
      </c>
      <c r="R128" t="str">
        <f t="shared" si="9"/>
        <v>00</v>
      </c>
      <c r="S128" s="1">
        <v>0</v>
      </c>
      <c r="T128" s="1">
        <v>9734352</v>
      </c>
      <c r="U128" s="1">
        <v>9734352</v>
      </c>
      <c r="V128" s="1">
        <v>6057084</v>
      </c>
      <c r="W128" s="1">
        <v>3677268</v>
      </c>
      <c r="X128" s="1">
        <v>6057084</v>
      </c>
      <c r="Y128" s="1">
        <v>62.22</v>
      </c>
      <c r="Z128" s="1">
        <v>6057084</v>
      </c>
      <c r="AA128" s="1">
        <v>62.22</v>
      </c>
      <c r="AB128" s="1">
        <v>3677268</v>
      </c>
      <c r="AC128" s="1">
        <v>6057084</v>
      </c>
    </row>
    <row r="129" spans="1:29" x14ac:dyDescent="0.3">
      <c r="A129">
        <v>2022</v>
      </c>
      <c r="B129">
        <v>100</v>
      </c>
      <c r="C129" t="str">
        <f>"07"</f>
        <v>07</v>
      </c>
      <c r="D129" t="s">
        <v>399</v>
      </c>
      <c r="E129" t="str">
        <f t="shared" si="10"/>
        <v>07 SECRETARIA DE EDUCACION</v>
      </c>
      <c r="F129" s="2">
        <v>2020130010085</v>
      </c>
      <c r="G129" s="2" t="str">
        <f>+VLOOKUP(F129,Hoja2!$F:$I,2,FALSE)</f>
        <v>08. PILAR CARTAGENA INCLUYENTE</v>
      </c>
      <c r="H129" s="2" t="str">
        <f>+VLOOKUP(F129,Hoja2!$F:$I,3,FALSE)</f>
        <v>8.2 LÍNEA ESTRATEGICA DE EDUCACION: CULTURA DE LA FORMACION "CON LA EDUCACION PARA TODOS Y TODAS SALVAMOS JUNTOS A CARTAGENA"</v>
      </c>
      <c r="I129" s="2" t="str">
        <f>+VLOOKUP(F129,Hoja2!$F:$I,4,FALSE)</f>
        <v>8.2.1 PROGRAMA: ACOGIDA “ATENCIÓN A POBLACIONES Y ESTRATEGIAS DE ACCESO Y PERMANENCIA”</v>
      </c>
      <c r="J129" t="s">
        <v>448</v>
      </c>
      <c r="K129" t="str">
        <f>"001"</f>
        <v>001</v>
      </c>
      <c r="L129" t="s">
        <v>25</v>
      </c>
      <c r="M129" t="s">
        <v>26</v>
      </c>
      <c r="N129" t="s">
        <v>27</v>
      </c>
      <c r="O129" t="s">
        <v>458</v>
      </c>
      <c r="P129" t="str">
        <f t="shared" si="11"/>
        <v>2020130010085 IMPLEMENTACION DE LA ESTRATEGIA ESCUELA DINAMICA: YO TAMBIEN LLEGO, ATENCION A POBLACION CON EXTRAEDAD EN EL DISTRITO DE  CARTAGENA DE INDIAS</v>
      </c>
      <c r="Q129" t="str">
        <f t="shared" si="8"/>
        <v>06</v>
      </c>
      <c r="R129" t="str">
        <f t="shared" si="9"/>
        <v>00</v>
      </c>
      <c r="S129" s="1">
        <v>1638009053</v>
      </c>
      <c r="T129" s="1">
        <v>0</v>
      </c>
      <c r="U129" s="1">
        <v>1638009053</v>
      </c>
      <c r="V129" s="1">
        <v>1479631323.48</v>
      </c>
      <c r="W129" s="1">
        <v>158377729.52000001</v>
      </c>
      <c r="X129" s="1">
        <v>1479631323.48</v>
      </c>
      <c r="Y129" s="1">
        <v>90.33</v>
      </c>
      <c r="Z129" s="1">
        <v>1466858649.48</v>
      </c>
      <c r="AA129" s="1">
        <v>89.55</v>
      </c>
      <c r="AB129" s="1">
        <v>158377729.52000001</v>
      </c>
      <c r="AC129" s="1">
        <v>1466814449.48</v>
      </c>
    </row>
    <row r="130" spans="1:29" x14ac:dyDescent="0.3">
      <c r="A130">
        <v>2022</v>
      </c>
      <c r="B130">
        <v>100</v>
      </c>
      <c r="C130" t="str">
        <f>"07"</f>
        <v>07</v>
      </c>
      <c r="D130" t="s">
        <v>399</v>
      </c>
      <c r="E130" t="str">
        <f t="shared" si="10"/>
        <v>07 SECRETARIA DE EDUCACION</v>
      </c>
      <c r="F130" s="2">
        <v>2020130010094</v>
      </c>
      <c r="G130" s="2" t="str">
        <f>+VLOOKUP(F130,Hoja2!$F:$I,2,FALSE)</f>
        <v>08. PILAR CARTAGENA INCLUYENTE</v>
      </c>
      <c r="H130" s="2" t="str">
        <f>+VLOOKUP(F130,Hoja2!$F:$I,3,FALSE)</f>
        <v>8.2 LÍNEA ESTRATEGICA DE EDUCACION: CULTURA DE LA FORMACION "CON LA EDUCACION PARA TODOS Y TODAS SALVAMOS JUNTOS A CARTAGENA"</v>
      </c>
      <c r="I130" s="2" t="str">
        <f>+VLOOKUP(F130,Hoja2!$F:$I,4,FALSE)</f>
        <v>8.2.1 PROGRAMA: ACOGIDA “ATENCIÓN A POBLACIONES Y ESTRATEGIAS DE ACCESO Y PERMANENCIA”</v>
      </c>
      <c r="J130" t="s">
        <v>431</v>
      </c>
      <c r="K130" t="str">
        <f>"171"</f>
        <v>171</v>
      </c>
      <c r="L130" t="s">
        <v>423</v>
      </c>
      <c r="M130" t="s">
        <v>26</v>
      </c>
      <c r="N130" t="s">
        <v>27</v>
      </c>
      <c r="O130" t="s">
        <v>432</v>
      </c>
      <c r="P130" t="str">
        <f t="shared" si="11"/>
        <v>2020130010094 FORTALECIMIENTO DE LOS AMBIENTES DE APRENDIZAJE DE LAS SEDES DE LAS INSTITUCIONES EDUCATIVAS DE  CARTAGENA DE INDIAS</v>
      </c>
      <c r="Q130" t="str">
        <f t="shared" ref="Q130:Q193" si="15">"06"</f>
        <v>06</v>
      </c>
      <c r="R130" t="str">
        <f t="shared" ref="R130:R193" si="16">"00"</f>
        <v>00</v>
      </c>
      <c r="S130" s="1">
        <v>3700000000</v>
      </c>
      <c r="T130" s="1">
        <v>0</v>
      </c>
      <c r="U130" s="1">
        <v>3700000000</v>
      </c>
      <c r="V130" s="1">
        <v>3642916002.25</v>
      </c>
      <c r="W130" s="1">
        <v>57083997.75</v>
      </c>
      <c r="X130" s="1">
        <v>3642916001.9499998</v>
      </c>
      <c r="Y130" s="1">
        <v>98.46</v>
      </c>
      <c r="Z130" s="1">
        <v>2627980849.1300001</v>
      </c>
      <c r="AA130" s="1">
        <v>71.03</v>
      </c>
      <c r="AB130" s="1">
        <v>57083998.049999997</v>
      </c>
      <c r="AC130" s="1">
        <v>2523656007.4099998</v>
      </c>
    </row>
    <row r="131" spans="1:29" x14ac:dyDescent="0.3">
      <c r="A131">
        <v>2022</v>
      </c>
      <c r="B131">
        <v>100</v>
      </c>
      <c r="C131" t="str">
        <f>"07"</f>
        <v>07</v>
      </c>
      <c r="D131" t="s">
        <v>399</v>
      </c>
      <c r="E131" t="str">
        <f t="shared" ref="E131:E194" si="17">+CONCATENATE(C131," ",D131)</f>
        <v>07 SECRETARIA DE EDUCACION</v>
      </c>
      <c r="F131" s="2">
        <v>2020130010094</v>
      </c>
      <c r="G131" s="2" t="str">
        <f>+VLOOKUP(F131,Hoja2!$F:$I,2,FALSE)</f>
        <v>08. PILAR CARTAGENA INCLUYENTE</v>
      </c>
      <c r="H131" s="2" t="str">
        <f>+VLOOKUP(F131,Hoja2!$F:$I,3,FALSE)</f>
        <v>8.2 LÍNEA ESTRATEGICA DE EDUCACION: CULTURA DE LA FORMACION "CON LA EDUCACION PARA TODOS Y TODAS SALVAMOS JUNTOS A CARTAGENA"</v>
      </c>
      <c r="I131" s="2" t="str">
        <f>+VLOOKUP(F131,Hoja2!$F:$I,4,FALSE)</f>
        <v>8.2.1 PROGRAMA: ACOGIDA “ATENCIÓN A POBLACIONES Y ESTRATEGIAS DE ACCESO Y PERMANENCIA”</v>
      </c>
      <c r="J131" t="s">
        <v>431</v>
      </c>
      <c r="K131" t="str">
        <f>"901"</f>
        <v>901</v>
      </c>
      <c r="L131" t="s">
        <v>435</v>
      </c>
      <c r="M131" t="s">
        <v>26</v>
      </c>
      <c r="N131" t="s">
        <v>27</v>
      </c>
      <c r="O131" t="s">
        <v>432</v>
      </c>
      <c r="P131" t="str">
        <f t="shared" ref="P131:P194" si="18">+CONCATENATE(F131," ",O131)</f>
        <v>2020130010094 FORTALECIMIENTO DE LOS AMBIENTES DE APRENDIZAJE DE LAS SEDES DE LAS INSTITUCIONES EDUCATIVAS DE  CARTAGENA DE INDIAS</v>
      </c>
      <c r="Q131" t="str">
        <f t="shared" si="15"/>
        <v>06</v>
      </c>
      <c r="R131" t="str">
        <f t="shared" si="16"/>
        <v>00</v>
      </c>
      <c r="S131" s="1">
        <v>0</v>
      </c>
      <c r="T131" s="1">
        <v>3748657.69</v>
      </c>
      <c r="U131" s="1">
        <v>3748657.69</v>
      </c>
      <c r="V131" s="1">
        <v>3748657</v>
      </c>
      <c r="W131" s="1">
        <v>0.69</v>
      </c>
      <c r="X131" s="1">
        <v>3748657</v>
      </c>
      <c r="Y131" s="1">
        <v>100</v>
      </c>
      <c r="Z131" s="1">
        <v>3748657</v>
      </c>
      <c r="AA131" s="1">
        <v>100</v>
      </c>
      <c r="AB131" s="1">
        <v>0.69</v>
      </c>
      <c r="AC131" s="1">
        <v>3748657</v>
      </c>
    </row>
    <row r="132" spans="1:29" x14ac:dyDescent="0.3">
      <c r="A132">
        <v>2022</v>
      </c>
      <c r="B132">
        <v>100</v>
      </c>
      <c r="C132" t="str">
        <f>"07"</f>
        <v>07</v>
      </c>
      <c r="D132" t="s">
        <v>399</v>
      </c>
      <c r="E132" t="str">
        <f t="shared" si="17"/>
        <v>07 SECRETARIA DE EDUCACION</v>
      </c>
      <c r="F132" s="2">
        <v>2020130010094</v>
      </c>
      <c r="G132" s="2" t="str">
        <f>+VLOOKUP(F132,Hoja2!$F:$I,2,FALSE)</f>
        <v>08. PILAR CARTAGENA INCLUYENTE</v>
      </c>
      <c r="H132" s="2" t="str">
        <f>+VLOOKUP(F132,Hoja2!$F:$I,3,FALSE)</f>
        <v>8.2 LÍNEA ESTRATEGICA DE EDUCACION: CULTURA DE LA FORMACION "CON LA EDUCACION PARA TODOS Y TODAS SALVAMOS JUNTOS A CARTAGENA"</v>
      </c>
      <c r="I132" s="2" t="str">
        <f>+VLOOKUP(F132,Hoja2!$F:$I,4,FALSE)</f>
        <v>8.2.1 PROGRAMA: ACOGIDA “ATENCIÓN A POBLACIONES Y ESTRATEGIAS DE ACCESO Y PERMANENCIA”</v>
      </c>
      <c r="J132" t="s">
        <v>431</v>
      </c>
      <c r="K132" t="str">
        <f t="shared" ref="K132:K137" si="19">"001"</f>
        <v>001</v>
      </c>
      <c r="L132" t="s">
        <v>25</v>
      </c>
      <c r="M132" t="s">
        <v>26</v>
      </c>
      <c r="N132" t="s">
        <v>27</v>
      </c>
      <c r="O132" t="s">
        <v>432</v>
      </c>
      <c r="P132" t="str">
        <f t="shared" si="18"/>
        <v>2020130010094 FORTALECIMIENTO DE LOS AMBIENTES DE APRENDIZAJE DE LAS SEDES DE LAS INSTITUCIONES EDUCATIVAS DE  CARTAGENA DE INDIAS</v>
      </c>
      <c r="Q132" t="str">
        <f t="shared" si="15"/>
        <v>06</v>
      </c>
      <c r="R132" t="str">
        <f t="shared" si="16"/>
        <v>00</v>
      </c>
      <c r="S132" s="1">
        <v>2361600000</v>
      </c>
      <c r="T132" s="1">
        <v>774086963.40999997</v>
      </c>
      <c r="U132" s="1">
        <v>3135686963.4099998</v>
      </c>
      <c r="V132" s="1">
        <v>3114590937.8600001</v>
      </c>
      <c r="W132" s="1">
        <v>21096025.550000001</v>
      </c>
      <c r="X132" s="1">
        <v>3114590936.9299998</v>
      </c>
      <c r="Y132" s="1">
        <v>99.33</v>
      </c>
      <c r="Z132" s="1">
        <v>2257623427.8600001</v>
      </c>
      <c r="AA132" s="1">
        <v>72</v>
      </c>
      <c r="AB132" s="1">
        <v>21096026.48</v>
      </c>
      <c r="AC132" s="1">
        <v>1483599244.8599999</v>
      </c>
    </row>
    <row r="133" spans="1:29" x14ac:dyDescent="0.3">
      <c r="A133">
        <v>2022</v>
      </c>
      <c r="B133">
        <v>100</v>
      </c>
      <c r="C133" t="str">
        <f>"08"</f>
        <v>08</v>
      </c>
      <c r="D133" t="s">
        <v>479</v>
      </c>
      <c r="E133" t="str">
        <f t="shared" si="17"/>
        <v>08 SECRETARIA DE PARTICIPACION Y DESARROLLO SOCIAL</v>
      </c>
      <c r="F133" s="2">
        <v>2020130010101</v>
      </c>
      <c r="G133" s="2" t="str">
        <f>+VLOOKUP(F133,Hoja2!$F:$I,2,FALSE)</f>
        <v>09. PILAR CARTAGENA CONTINGENTE</v>
      </c>
      <c r="H133" s="2" t="str">
        <f>+VLOOKUP(F133,Hoja2!$F:$I,3,FALSE)</f>
        <v>9.1 LÍNEA ESTRATÉGICA: DESARROLLO ECONÓMICO Y EMPLEABILIDAD</v>
      </c>
      <c r="I133" s="2" t="str">
        <f>+VLOOKUP(F133,Hoja2!$F:$I,4,FALSE)</f>
        <v>9.1.3 PROGRAMA: "EMPLEO INCLUSIVO PARA LOS JÓVENES”</v>
      </c>
      <c r="J133" t="s">
        <v>542</v>
      </c>
      <c r="K133" t="str">
        <f t="shared" si="19"/>
        <v>001</v>
      </c>
      <c r="L133" t="s">
        <v>25</v>
      </c>
      <c r="M133" t="s">
        <v>26</v>
      </c>
      <c r="N133" t="s">
        <v>27</v>
      </c>
      <c r="O133" t="s">
        <v>543</v>
      </c>
      <c r="P133" t="str">
        <f t="shared" si="18"/>
        <v>2020130010101 FORTALECIMIENTO EMPLEO INCLUSIVO PARA LOS JOVENES-0  CARTAGENA DE INDIAS</v>
      </c>
      <c r="Q133" t="str">
        <f t="shared" si="15"/>
        <v>06</v>
      </c>
      <c r="R133" t="str">
        <f t="shared" si="16"/>
        <v>00</v>
      </c>
      <c r="S133" s="1">
        <v>80000000</v>
      </c>
      <c r="T133" s="1">
        <v>0</v>
      </c>
      <c r="U133" s="1">
        <v>80000000</v>
      </c>
      <c r="V133" s="1">
        <v>79320000</v>
      </c>
      <c r="W133" s="1">
        <v>680000</v>
      </c>
      <c r="X133" s="1">
        <v>79299677.599999994</v>
      </c>
      <c r="Y133" s="1">
        <v>99.12</v>
      </c>
      <c r="Z133" s="1">
        <v>24400000</v>
      </c>
      <c r="AA133" s="1">
        <v>30.5</v>
      </c>
      <c r="AB133" s="1">
        <v>700322.4</v>
      </c>
      <c r="AC133" s="1">
        <v>24400000</v>
      </c>
    </row>
    <row r="134" spans="1:29" x14ac:dyDescent="0.3">
      <c r="A134">
        <v>2022</v>
      </c>
      <c r="B134">
        <v>100</v>
      </c>
      <c r="C134" t="str">
        <f>"08"</f>
        <v>08</v>
      </c>
      <c r="D134" t="s">
        <v>479</v>
      </c>
      <c r="E134" t="str">
        <f t="shared" si="17"/>
        <v>08 SECRETARIA DE PARTICIPACION Y DESARROLLO SOCIAL</v>
      </c>
      <c r="F134" s="2">
        <v>2020130010102</v>
      </c>
      <c r="G134" s="2" t="str">
        <f>+VLOOKUP(F134,Hoja2!$F:$I,2,FALSE)</f>
        <v>09. PILAR CARTAGENA CONTINGENTE</v>
      </c>
      <c r="H134" s="2" t="str">
        <f>+VLOOKUP(F134,Hoja2!$F:$I,3,FALSE)</f>
        <v>9.1 LÍNEA ESTRATÉGICA: DESARROLLO ECONÓMICO Y EMPLEABILIDAD</v>
      </c>
      <c r="I134" s="2" t="str">
        <f>+VLOOKUP(F134,Hoja2!$F:$I,4,FALSE)</f>
        <v>9.1.2 PROGRAMA: MUJERES CON AUTONOMÍA ECONÓMICA</v>
      </c>
      <c r="J134" t="s">
        <v>544</v>
      </c>
      <c r="K134" t="str">
        <f t="shared" si="19"/>
        <v>001</v>
      </c>
      <c r="L134" t="s">
        <v>25</v>
      </c>
      <c r="M134" t="s">
        <v>26</v>
      </c>
      <c r="N134" t="s">
        <v>27</v>
      </c>
      <c r="O134" t="s">
        <v>545</v>
      </c>
      <c r="P134" t="str">
        <f t="shared" si="18"/>
        <v>2020130010102 FORTALECIMIENTO MUJERES CON AUTONOMIA ECONOMICA  CARTAGENA DE INDIAS</v>
      </c>
      <c r="Q134" t="str">
        <f t="shared" si="15"/>
        <v>06</v>
      </c>
      <c r="R134" t="str">
        <f t="shared" si="16"/>
        <v>00</v>
      </c>
      <c r="S134" s="1">
        <v>95000000</v>
      </c>
      <c r="T134" s="1">
        <v>-18000000</v>
      </c>
      <c r="U134" s="1">
        <v>77000000</v>
      </c>
      <c r="V134" s="1">
        <v>77000000</v>
      </c>
      <c r="W134" s="1">
        <v>0</v>
      </c>
      <c r="X134" s="1">
        <v>76900000</v>
      </c>
      <c r="Y134" s="1">
        <v>99.87</v>
      </c>
      <c r="Z134" s="1">
        <v>72883333</v>
      </c>
      <c r="AA134" s="1">
        <v>94.65</v>
      </c>
      <c r="AB134" s="1">
        <v>100000</v>
      </c>
      <c r="AC134" s="1">
        <v>72883333</v>
      </c>
    </row>
    <row r="135" spans="1:29" x14ac:dyDescent="0.3">
      <c r="A135">
        <v>2022</v>
      </c>
      <c r="B135">
        <v>100</v>
      </c>
      <c r="C135" t="str">
        <f>"08"</f>
        <v>08</v>
      </c>
      <c r="D135" t="s">
        <v>479</v>
      </c>
      <c r="E135" t="str">
        <f t="shared" si="17"/>
        <v>08 SECRETARIA DE PARTICIPACION Y DESARROLLO SOCIAL</v>
      </c>
      <c r="F135" s="2">
        <v>2020130010103</v>
      </c>
      <c r="G135" s="2" t="str">
        <f>+VLOOKUP(F135,Hoja2!$F:$I,2,FALSE)</f>
        <v>09. PILAR CARTAGENA CONTINGENTE</v>
      </c>
      <c r="H135" s="2" t="str">
        <f>+VLOOKUP(F135,Hoja2!$F:$I,3,FALSE)</f>
        <v>9.1 LÍNEA ESTRATÉGICA: DESARROLLO ECONÓMICO Y EMPLEABILIDAD</v>
      </c>
      <c r="I135" s="2" t="str">
        <f>+VLOOKUP(F135,Hoja2!$F:$I,4,FALSE)</f>
        <v>9.1.1 PROGRAMA: CENTROS PARA EL EMPRENDIMIENTO Y LA GESTIÓN DE LA EMPLEABILIDAD EN CARTAGENA DE INDIAS</v>
      </c>
      <c r="J135" t="s">
        <v>546</v>
      </c>
      <c r="K135" t="str">
        <f t="shared" si="19"/>
        <v>001</v>
      </c>
      <c r="L135" t="s">
        <v>25</v>
      </c>
      <c r="M135" t="s">
        <v>26</v>
      </c>
      <c r="N135" t="s">
        <v>27</v>
      </c>
      <c r="O135" t="s">
        <v>547</v>
      </c>
      <c r="P135" t="str">
        <f t="shared" si="18"/>
        <v>2020130010103 IMPLEMENTACION ESTRATEGIAS DE EMPRENDIMIENTO Y EMPRESARISMO PARA LA INCLUSION PRODUCTIVA Y LA VINCULACION LABORAL EN EL DISTRITO DE CARTAGENA:  CENTROS PARA EL EMPRENDIMIENTO Y LA GESTION DE LA EMPLEABILIDAD  CARTAGENA DE INDIAS</v>
      </c>
      <c r="Q135" t="str">
        <f t="shared" si="15"/>
        <v>06</v>
      </c>
      <c r="R135" t="str">
        <f t="shared" si="16"/>
        <v>00</v>
      </c>
      <c r="S135" s="1">
        <v>460000000</v>
      </c>
      <c r="T135" s="1">
        <v>0</v>
      </c>
      <c r="U135" s="1">
        <v>460000000</v>
      </c>
      <c r="V135" s="1">
        <v>459049865</v>
      </c>
      <c r="W135" s="1">
        <v>950135</v>
      </c>
      <c r="X135" s="1">
        <v>450204681</v>
      </c>
      <c r="Y135" s="1">
        <v>97.87</v>
      </c>
      <c r="Z135" s="1">
        <v>138300000</v>
      </c>
      <c r="AA135" s="1">
        <v>30.07</v>
      </c>
      <c r="AB135" s="1">
        <v>9795319</v>
      </c>
      <c r="AC135" s="1">
        <v>131700000</v>
      </c>
    </row>
    <row r="136" spans="1:29" x14ac:dyDescent="0.3">
      <c r="A136">
        <v>2022</v>
      </c>
      <c r="B136">
        <v>100</v>
      </c>
      <c r="C136" t="str">
        <f>"08"</f>
        <v>08</v>
      </c>
      <c r="D136" t="s">
        <v>479</v>
      </c>
      <c r="E136" t="str">
        <f t="shared" si="17"/>
        <v>08 SECRETARIA DE PARTICIPACION Y DESARROLLO SOCIAL</v>
      </c>
      <c r="F136" s="2">
        <v>2020130010110</v>
      </c>
      <c r="G136" s="2" t="str">
        <f>+VLOOKUP(F136,Hoja2!$F:$I,2,FALSE)</f>
        <v>11. EJE TRANSVERSAL: CARTAGENA CON ATENCION Y GARANTIA DE DERECHOS A POBLACION DIFERENCIAL.</v>
      </c>
      <c r="H136" s="2" t="str">
        <f>+VLOOKUP(F136,Hoja2!$F:$I,3,FALSE)</f>
        <v>11.3 LÍNEA ESTRATÉGICA: INCLUSIÓN Y OPORTUNIDAD PARA NIÑOS, NIÑAS Y ADOLESCENTES Y FAMILIAS.</v>
      </c>
      <c r="I136" s="2" t="str">
        <f>+VLOOKUP(F136,Hoja2!$F:$I,4,FALSE)</f>
        <v>11.3.4 PROGRAMA: FORTALECIMIENTO FAMILIAR.</v>
      </c>
      <c r="J136" t="s">
        <v>536</v>
      </c>
      <c r="K136" t="str">
        <f t="shared" si="19"/>
        <v>001</v>
      </c>
      <c r="L136" t="s">
        <v>25</v>
      </c>
      <c r="M136" t="s">
        <v>26</v>
      </c>
      <c r="N136" t="s">
        <v>27</v>
      </c>
      <c r="O136" t="s">
        <v>537</v>
      </c>
      <c r="P136" t="str">
        <f t="shared" si="18"/>
        <v>2020130010110 FORTALECIMIENTO FAMILIAR  CARTAGENA DE INDIAS</v>
      </c>
      <c r="Q136" t="str">
        <f t="shared" si="15"/>
        <v>06</v>
      </c>
      <c r="R136" t="str">
        <f t="shared" si="16"/>
        <v>00</v>
      </c>
      <c r="S136" s="1">
        <v>70000000</v>
      </c>
      <c r="T136" s="1">
        <v>0</v>
      </c>
      <c r="U136" s="1">
        <v>70000000</v>
      </c>
      <c r="V136" s="1">
        <v>61359997</v>
      </c>
      <c r="W136" s="1">
        <v>8640003</v>
      </c>
      <c r="X136" s="1">
        <v>53709997</v>
      </c>
      <c r="Y136" s="1">
        <v>76.73</v>
      </c>
      <c r="Z136" s="1">
        <v>46209997</v>
      </c>
      <c r="AA136" s="1">
        <v>66.010000000000005</v>
      </c>
      <c r="AB136" s="1">
        <v>16290003</v>
      </c>
      <c r="AC136" s="1">
        <v>10000000</v>
      </c>
    </row>
    <row r="137" spans="1:29" x14ac:dyDescent="0.3">
      <c r="A137">
        <v>2022</v>
      </c>
      <c r="B137">
        <v>100</v>
      </c>
      <c r="C137" t="str">
        <f>"08"</f>
        <v>08</v>
      </c>
      <c r="D137" t="s">
        <v>479</v>
      </c>
      <c r="E137" t="str">
        <f t="shared" si="17"/>
        <v>08 SECRETARIA DE PARTICIPACION Y DESARROLLO SOCIAL</v>
      </c>
      <c r="F137" s="2">
        <v>2020130010112</v>
      </c>
      <c r="G137" s="2" t="str">
        <f>+VLOOKUP(F137,Hoja2!$F:$I,2,FALSE)</f>
        <v>11. EJE TRANSVERSAL: CARTAGENA CON ATENCION Y GARANTIA DE DERECHOS A POBLACION DIFERENCIAL.</v>
      </c>
      <c r="H137" s="2" t="str">
        <f>+VLOOKUP(F137,Hoja2!$F:$I,3,FALSE)</f>
        <v>11.3 LÍNEA ESTRATÉGICA: INCLUSIÓN Y OPORTUNIDAD PARA NIÑOS, NIÑAS Y ADOLESCENTES Y FAMILIAS.</v>
      </c>
      <c r="I137" s="2" t="str">
        <f>+VLOOKUP(F137,Hoja2!$F:$I,4,FALSE)</f>
        <v>11.3.2 PROTECCIÓN DE LA INFANCIA Y LA ADOLESCENCIA PARA LA PREVENCIÓN Y ATENCIÓN DE VIOLENCIAS</v>
      </c>
      <c r="J137" t="s">
        <v>538</v>
      </c>
      <c r="K137" t="str">
        <f t="shared" si="19"/>
        <v>001</v>
      </c>
      <c r="L137" t="s">
        <v>25</v>
      </c>
      <c r="M137" t="s">
        <v>26</v>
      </c>
      <c r="N137" t="s">
        <v>27</v>
      </c>
      <c r="O137" t="s">
        <v>539</v>
      </c>
      <c r="P137" t="str">
        <f t="shared" si="18"/>
        <v>2020130010112 PROTECCION DE LA INFANCIA Y LA ADOLESCENCIA PARA LA PREVENCION Y ATENCION DE VIOLENCIAS EN EL DISTRITO DE  CARTAGENA DE INDIAS</v>
      </c>
      <c r="Q137" t="str">
        <f t="shared" si="15"/>
        <v>06</v>
      </c>
      <c r="R137" t="str">
        <f t="shared" si="16"/>
        <v>00</v>
      </c>
      <c r="S137" s="1">
        <v>500000000</v>
      </c>
      <c r="T137" s="1">
        <v>0</v>
      </c>
      <c r="U137" s="1">
        <v>500000000</v>
      </c>
      <c r="V137" s="1">
        <v>499996999.80000001</v>
      </c>
      <c r="W137" s="1">
        <v>3000.2</v>
      </c>
      <c r="X137" s="1">
        <v>462311755.80000001</v>
      </c>
      <c r="Y137" s="1">
        <v>92.46</v>
      </c>
      <c r="Z137" s="1">
        <v>256608159</v>
      </c>
      <c r="AA137" s="1">
        <v>51.32</v>
      </c>
      <c r="AB137" s="1">
        <v>37688244.200000003</v>
      </c>
      <c r="AC137" s="1">
        <v>143370000</v>
      </c>
    </row>
    <row r="138" spans="1:29" x14ac:dyDescent="0.3">
      <c r="A138">
        <v>2022</v>
      </c>
      <c r="B138">
        <v>100</v>
      </c>
      <c r="C138" t="str">
        <f>"07"</f>
        <v>07</v>
      </c>
      <c r="D138" t="s">
        <v>399</v>
      </c>
      <c r="E138" t="str">
        <f t="shared" si="17"/>
        <v>07 SECRETARIA DE EDUCACION</v>
      </c>
      <c r="F138" s="2">
        <v>2020130010117</v>
      </c>
      <c r="G138" s="2" t="str">
        <f>+VLOOKUP(F138,Hoja2!$F:$I,2,FALSE)</f>
        <v>08. PILAR CARTAGENA INCLUYENTE</v>
      </c>
      <c r="H138" s="2" t="str">
        <f>+VLOOKUP(F138,Hoja2!$F:$I,3,FALSE)</f>
        <v>8.2 LÍNEA ESTRATEGICA DE EDUCACION: CULTURA DE LA FORMACION "CON LA EDUCACION PARA TODOS Y TODAS SALVAMOS JUNTOS A CARTAGENA"</v>
      </c>
      <c r="I138" s="2" t="str">
        <f>+VLOOKUP(F138,Hoja2!$F:$I,4,FALSE)</f>
        <v>8.2.1 PROGRAMA: ACOGIDA “ATENCIÓN A POBLACIONES Y ESTRATEGIAS DE ACCESO Y PERMANENCIA”</v>
      </c>
      <c r="J138" t="s">
        <v>405</v>
      </c>
      <c r="K138" t="str">
        <f>"908"</f>
        <v>908</v>
      </c>
      <c r="L138" t="s">
        <v>403</v>
      </c>
      <c r="M138" t="s">
        <v>26</v>
      </c>
      <c r="N138" t="s">
        <v>27</v>
      </c>
      <c r="O138" t="s">
        <v>406</v>
      </c>
      <c r="P138" t="str">
        <f t="shared" si="18"/>
        <v>2020130010117 IMPLEMENTACION DE LA ESTRATEGIA UNICOS E INAGOTABLES PARA LA ATENCION A POBLACION DIVERSA: UNA ESCUELA DE Y PARA TODAS Y TODOS, EN  CARTAGENA DE INDIAS</v>
      </c>
      <c r="Q138" t="str">
        <f t="shared" si="15"/>
        <v>06</v>
      </c>
      <c r="R138" t="str">
        <f t="shared" si="16"/>
        <v>00</v>
      </c>
      <c r="S138" s="1">
        <v>0</v>
      </c>
      <c r="T138" s="1">
        <v>0</v>
      </c>
      <c r="U138" s="1">
        <v>0</v>
      </c>
      <c r="V138" s="1">
        <v>0</v>
      </c>
      <c r="W138" s="1">
        <v>0</v>
      </c>
      <c r="X138" s="1">
        <v>0</v>
      </c>
      <c r="Y138" s="1">
        <v>0</v>
      </c>
      <c r="Z138" s="1">
        <v>0</v>
      </c>
      <c r="AA138" s="1">
        <v>0</v>
      </c>
      <c r="AB138" s="1">
        <v>0</v>
      </c>
      <c r="AC138" s="1">
        <v>0</v>
      </c>
    </row>
    <row r="139" spans="1:29" x14ac:dyDescent="0.3">
      <c r="A139">
        <v>2022</v>
      </c>
      <c r="B139">
        <v>100</v>
      </c>
      <c r="C139" t="str">
        <f>"07"</f>
        <v>07</v>
      </c>
      <c r="D139" t="s">
        <v>399</v>
      </c>
      <c r="E139" t="str">
        <f t="shared" si="17"/>
        <v>07 SECRETARIA DE EDUCACION</v>
      </c>
      <c r="F139" s="2">
        <v>2020130010117</v>
      </c>
      <c r="G139" s="2" t="str">
        <f>+VLOOKUP(F139,Hoja2!$F:$I,2,FALSE)</f>
        <v>08. PILAR CARTAGENA INCLUYENTE</v>
      </c>
      <c r="H139" s="2" t="str">
        <f>+VLOOKUP(F139,Hoja2!$F:$I,3,FALSE)</f>
        <v>8.2 LÍNEA ESTRATEGICA DE EDUCACION: CULTURA DE LA FORMACION "CON LA EDUCACION PARA TODOS Y TODAS SALVAMOS JUNTOS A CARTAGENA"</v>
      </c>
      <c r="I139" s="2" t="str">
        <f>+VLOOKUP(F139,Hoja2!$F:$I,4,FALSE)</f>
        <v>8.2.1 PROGRAMA: ACOGIDA “ATENCIÓN A POBLACIONES Y ESTRATEGIAS DE ACCESO Y PERMANENCIA”</v>
      </c>
      <c r="J139" t="s">
        <v>405</v>
      </c>
      <c r="K139" t="str">
        <f>"071"</f>
        <v>071</v>
      </c>
      <c r="L139" t="s">
        <v>449</v>
      </c>
      <c r="M139" t="s">
        <v>26</v>
      </c>
      <c r="N139" t="s">
        <v>27</v>
      </c>
      <c r="O139" t="s">
        <v>406</v>
      </c>
      <c r="P139" t="str">
        <f t="shared" si="18"/>
        <v>2020130010117 IMPLEMENTACION DE LA ESTRATEGIA UNICOS E INAGOTABLES PARA LA ATENCION A POBLACION DIVERSA: UNA ESCUELA DE Y PARA TODAS Y TODOS, EN  CARTAGENA DE INDIAS</v>
      </c>
      <c r="Q139" t="str">
        <f t="shared" si="15"/>
        <v>06</v>
      </c>
      <c r="R139" t="str">
        <f t="shared" si="16"/>
        <v>00</v>
      </c>
      <c r="S139" s="1">
        <v>2754707448</v>
      </c>
      <c r="T139" s="1">
        <v>-1130734771.2</v>
      </c>
      <c r="U139" s="1">
        <v>1623972676.8</v>
      </c>
      <c r="V139" s="1">
        <v>1623972676.8</v>
      </c>
      <c r="W139" s="1">
        <v>0</v>
      </c>
      <c r="X139" s="1">
        <v>1623972676</v>
      </c>
      <c r="Y139" s="1">
        <v>100</v>
      </c>
      <c r="Z139" s="1">
        <v>1608123351</v>
      </c>
      <c r="AA139" s="1">
        <v>99.02</v>
      </c>
      <c r="AB139" s="1">
        <v>0.8</v>
      </c>
      <c r="AC139" s="1">
        <v>1584808878</v>
      </c>
    </row>
    <row r="140" spans="1:29" x14ac:dyDescent="0.3">
      <c r="A140">
        <v>2022</v>
      </c>
      <c r="B140">
        <v>100</v>
      </c>
      <c r="C140" t="str">
        <f>"07"</f>
        <v>07</v>
      </c>
      <c r="D140" t="s">
        <v>399</v>
      </c>
      <c r="E140" t="str">
        <f t="shared" si="17"/>
        <v>07 SECRETARIA DE EDUCACION</v>
      </c>
      <c r="F140" s="2">
        <v>2020130010117</v>
      </c>
      <c r="G140" s="2" t="str">
        <f>+VLOOKUP(F140,Hoja2!$F:$I,2,FALSE)</f>
        <v>08. PILAR CARTAGENA INCLUYENTE</v>
      </c>
      <c r="H140" s="2" t="str">
        <f>+VLOOKUP(F140,Hoja2!$F:$I,3,FALSE)</f>
        <v>8.2 LÍNEA ESTRATEGICA DE EDUCACION: CULTURA DE LA FORMACION "CON LA EDUCACION PARA TODOS Y TODAS SALVAMOS JUNTOS A CARTAGENA"</v>
      </c>
      <c r="I140" s="2" t="str">
        <f>+VLOOKUP(F140,Hoja2!$F:$I,4,FALSE)</f>
        <v>8.2.1 PROGRAMA: ACOGIDA “ATENCIÓN A POBLACIONES Y ESTRATEGIAS DE ACCESO Y PERMANENCIA”</v>
      </c>
      <c r="J140" t="s">
        <v>405</v>
      </c>
      <c r="K140" t="str">
        <f>"001"</f>
        <v>001</v>
      </c>
      <c r="L140" t="s">
        <v>25</v>
      </c>
      <c r="M140" t="s">
        <v>26</v>
      </c>
      <c r="N140" t="s">
        <v>27</v>
      </c>
      <c r="O140" t="s">
        <v>406</v>
      </c>
      <c r="P140" t="str">
        <f t="shared" si="18"/>
        <v>2020130010117 IMPLEMENTACION DE LA ESTRATEGIA UNICOS E INAGOTABLES PARA LA ATENCION A POBLACION DIVERSA: UNA ESCUELA DE Y PARA TODAS Y TODOS, EN  CARTAGENA DE INDIAS</v>
      </c>
      <c r="Q140" t="str">
        <f t="shared" si="15"/>
        <v>06</v>
      </c>
      <c r="R140" t="str">
        <f t="shared" si="16"/>
        <v>00</v>
      </c>
      <c r="S140" s="1">
        <v>86525385</v>
      </c>
      <c r="T140" s="1">
        <v>-10172893</v>
      </c>
      <c r="U140" s="1">
        <v>76352492</v>
      </c>
      <c r="V140" s="1">
        <v>76352492</v>
      </c>
      <c r="W140" s="1">
        <v>0</v>
      </c>
      <c r="X140" s="1">
        <v>76352491.989999995</v>
      </c>
      <c r="Y140" s="1">
        <v>100</v>
      </c>
      <c r="Z140" s="1">
        <v>76352491.989999995</v>
      </c>
      <c r="AA140" s="1">
        <v>100</v>
      </c>
      <c r="AB140" s="1">
        <v>0.01</v>
      </c>
      <c r="AC140" s="1">
        <v>69550051.659999996</v>
      </c>
    </row>
    <row r="141" spans="1:29" x14ac:dyDescent="0.3">
      <c r="A141">
        <v>2022</v>
      </c>
      <c r="B141">
        <v>100</v>
      </c>
      <c r="C141" t="str">
        <f t="shared" ref="C141:C146" si="20">"08"</f>
        <v>08</v>
      </c>
      <c r="D141" t="s">
        <v>479</v>
      </c>
      <c r="E141" t="str">
        <f t="shared" si="17"/>
        <v>08 SECRETARIA DE PARTICIPACION Y DESARROLLO SOCIAL</v>
      </c>
      <c r="F141" s="2">
        <v>2020130010119</v>
      </c>
      <c r="G141" s="2" t="str">
        <f>+VLOOKUP(F141,Hoja2!$F:$I,2,FALSE)</f>
        <v>11. EJE TRANSVERSAL: CARTAGENA CON ATENCION Y GARANTIA DE DERECHOS A POBLACION DIFERENCIAL.</v>
      </c>
      <c r="H141" s="2" t="str">
        <f>+VLOOKUP(F141,Hoja2!$F:$I,3,FALSE)</f>
        <v>11.3 LÍNEA ESTRATÉGICA: INCLUSIÓN Y OPORTUNIDAD PARA NIÑOS, NIÑAS Y ADOLESCENTES Y FAMILIAS.</v>
      </c>
      <c r="I141" s="2" t="str">
        <f>+VLOOKUP(F141,Hoja2!$F:$I,4,FALSE)</f>
        <v>11.3.1 PROGRAMA: COMPROMETIDOS CON LA SALVACIÓN DE NUESTRA PRIMERA INFANCIA</v>
      </c>
      <c r="J141" t="s">
        <v>480</v>
      </c>
      <c r="K141" t="str">
        <f>"924"</f>
        <v>924</v>
      </c>
      <c r="L141" t="s">
        <v>481</v>
      </c>
      <c r="M141" t="s">
        <v>26</v>
      </c>
      <c r="N141" t="s">
        <v>27</v>
      </c>
      <c r="O141" t="s">
        <v>482</v>
      </c>
      <c r="P141" t="str">
        <f t="shared" si="18"/>
        <v>2020130010119 COMPROMISO CON LA SALVACION DE NUESTRA PRIMERA INFANCIA EN EL DISTRITO DE CARTAGENA DE INDIAS</v>
      </c>
      <c r="Q141" t="str">
        <f t="shared" si="15"/>
        <v>06</v>
      </c>
      <c r="R141" t="str">
        <f t="shared" si="16"/>
        <v>00</v>
      </c>
      <c r="S141" s="1">
        <v>0</v>
      </c>
      <c r="T141" s="1">
        <v>839280606.97000003</v>
      </c>
      <c r="U141" s="1">
        <v>839280606.97000003</v>
      </c>
      <c r="V141" s="1">
        <v>600222928.65999997</v>
      </c>
      <c r="W141" s="1">
        <v>239057678.31</v>
      </c>
      <c r="X141" s="1">
        <v>125969716.31999999</v>
      </c>
      <c r="Y141" s="1">
        <v>15.01</v>
      </c>
      <c r="Z141" s="1">
        <v>0</v>
      </c>
      <c r="AA141" s="1">
        <v>0</v>
      </c>
      <c r="AB141" s="1">
        <v>713310890.64999998</v>
      </c>
      <c r="AC141" s="1">
        <v>0</v>
      </c>
    </row>
    <row r="142" spans="1:29" x14ac:dyDescent="0.3">
      <c r="A142">
        <v>2022</v>
      </c>
      <c r="B142">
        <v>100</v>
      </c>
      <c r="C142" t="str">
        <f t="shared" si="20"/>
        <v>08</v>
      </c>
      <c r="D142" t="s">
        <v>479</v>
      </c>
      <c r="E142" t="str">
        <f t="shared" si="17"/>
        <v>08 SECRETARIA DE PARTICIPACION Y DESARROLLO SOCIAL</v>
      </c>
      <c r="F142" s="2">
        <v>2020130010119</v>
      </c>
      <c r="G142" s="2" t="str">
        <f>+VLOOKUP(F142,Hoja2!$F:$I,2,FALSE)</f>
        <v>11. EJE TRANSVERSAL: CARTAGENA CON ATENCION Y GARANTIA DE DERECHOS A POBLACION DIFERENCIAL.</v>
      </c>
      <c r="H142" s="2" t="str">
        <f>+VLOOKUP(F142,Hoja2!$F:$I,3,FALSE)</f>
        <v>11.3 LÍNEA ESTRATÉGICA: INCLUSIÓN Y OPORTUNIDAD PARA NIÑOS, NIÑAS Y ADOLESCENTES Y FAMILIAS.</v>
      </c>
      <c r="I142" s="2" t="str">
        <f>+VLOOKUP(F142,Hoja2!$F:$I,4,FALSE)</f>
        <v>11.3.1 PROGRAMA: COMPROMETIDOS CON LA SALVACIÓN DE NUESTRA PRIMERA INFANCIA</v>
      </c>
      <c r="J142" t="s">
        <v>480</v>
      </c>
      <c r="K142" t="str">
        <f>"926"</f>
        <v>926</v>
      </c>
      <c r="L142" t="s">
        <v>485</v>
      </c>
      <c r="M142" t="s">
        <v>26</v>
      </c>
      <c r="N142" t="s">
        <v>27</v>
      </c>
      <c r="O142" t="s">
        <v>482</v>
      </c>
      <c r="P142" t="str">
        <f t="shared" si="18"/>
        <v>2020130010119 COMPROMISO CON LA SALVACION DE NUESTRA PRIMERA INFANCIA EN EL DISTRITO DE CARTAGENA DE INDIAS</v>
      </c>
      <c r="Q142" t="str">
        <f t="shared" si="15"/>
        <v>06</v>
      </c>
      <c r="R142" t="str">
        <f t="shared" si="16"/>
        <v>00</v>
      </c>
      <c r="S142" s="1">
        <v>0</v>
      </c>
      <c r="T142" s="1">
        <v>159738854.62</v>
      </c>
      <c r="U142" s="1">
        <v>159738854.62</v>
      </c>
      <c r="V142" s="1">
        <v>159738854.16999999</v>
      </c>
      <c r="W142" s="1">
        <v>0.45</v>
      </c>
      <c r="X142" s="1">
        <v>159738854.16999999</v>
      </c>
      <c r="Y142" s="1">
        <v>100</v>
      </c>
      <c r="Z142" s="1">
        <v>148236385.16999999</v>
      </c>
      <c r="AA142" s="1">
        <v>92.8</v>
      </c>
      <c r="AB142" s="1">
        <v>0.45</v>
      </c>
      <c r="AC142" s="1">
        <v>0</v>
      </c>
    </row>
    <row r="143" spans="1:29" x14ac:dyDescent="0.3">
      <c r="A143">
        <v>2022</v>
      </c>
      <c r="B143">
        <v>100</v>
      </c>
      <c r="C143" t="str">
        <f t="shared" si="20"/>
        <v>08</v>
      </c>
      <c r="D143" t="s">
        <v>479</v>
      </c>
      <c r="E143" t="str">
        <f t="shared" si="17"/>
        <v>08 SECRETARIA DE PARTICIPACION Y DESARROLLO SOCIAL</v>
      </c>
      <c r="F143" s="2">
        <v>2020130010119</v>
      </c>
      <c r="G143" s="2" t="str">
        <f>+VLOOKUP(F143,Hoja2!$F:$I,2,FALSE)</f>
        <v>11. EJE TRANSVERSAL: CARTAGENA CON ATENCION Y GARANTIA DE DERECHOS A POBLACION DIFERENCIAL.</v>
      </c>
      <c r="H143" s="2" t="str">
        <f>+VLOOKUP(F143,Hoja2!$F:$I,3,FALSE)</f>
        <v>11.3 LÍNEA ESTRATÉGICA: INCLUSIÓN Y OPORTUNIDAD PARA NIÑOS, NIÑAS Y ADOLESCENTES Y FAMILIAS.</v>
      </c>
      <c r="I143" s="2" t="str">
        <f>+VLOOKUP(F143,Hoja2!$F:$I,4,FALSE)</f>
        <v>11.3.1 PROGRAMA: COMPROMETIDOS CON LA SALVACIÓN DE NUESTRA PRIMERA INFANCIA</v>
      </c>
      <c r="J143" t="s">
        <v>480</v>
      </c>
      <c r="K143" t="str">
        <f>"065"</f>
        <v>065</v>
      </c>
      <c r="L143" t="s">
        <v>491</v>
      </c>
      <c r="M143" t="s">
        <v>26</v>
      </c>
      <c r="N143" t="s">
        <v>27</v>
      </c>
      <c r="O143" t="s">
        <v>492</v>
      </c>
      <c r="P143" t="str">
        <f t="shared" si="18"/>
        <v>2020130010119 COMPROMISO CON LA SALVACION DE  NUESTRA PRIMERA INFANCIA EN EL DISTRITO DE  CARTAGENA DE INDIAS</v>
      </c>
      <c r="Q143" t="str">
        <f t="shared" si="15"/>
        <v>06</v>
      </c>
      <c r="R143" t="str">
        <f t="shared" si="16"/>
        <v>00</v>
      </c>
      <c r="S143" s="1">
        <v>1</v>
      </c>
      <c r="T143" s="1">
        <v>0</v>
      </c>
      <c r="U143" s="1">
        <v>1</v>
      </c>
      <c r="V143" s="1">
        <v>0</v>
      </c>
      <c r="W143" s="1">
        <v>1</v>
      </c>
      <c r="X143" s="1">
        <v>0</v>
      </c>
      <c r="Y143" s="1">
        <v>0</v>
      </c>
      <c r="Z143" s="1">
        <v>0</v>
      </c>
      <c r="AA143" s="1">
        <v>0</v>
      </c>
      <c r="AB143" s="1">
        <v>1</v>
      </c>
      <c r="AC143" s="1">
        <v>0</v>
      </c>
    </row>
    <row r="144" spans="1:29" x14ac:dyDescent="0.3">
      <c r="A144">
        <v>2022</v>
      </c>
      <c r="B144">
        <v>100</v>
      </c>
      <c r="C144" t="str">
        <f t="shared" si="20"/>
        <v>08</v>
      </c>
      <c r="D144" t="s">
        <v>479</v>
      </c>
      <c r="E144" t="str">
        <f t="shared" si="17"/>
        <v>08 SECRETARIA DE PARTICIPACION Y DESARROLLO SOCIAL</v>
      </c>
      <c r="F144" s="2">
        <v>2020130010119</v>
      </c>
      <c r="G144" s="2" t="str">
        <f>+VLOOKUP(F144,Hoja2!$F:$I,2,FALSE)</f>
        <v>11. EJE TRANSVERSAL: CARTAGENA CON ATENCION Y GARANTIA DE DERECHOS A POBLACION DIFERENCIAL.</v>
      </c>
      <c r="H144" s="2" t="str">
        <f>+VLOOKUP(F144,Hoja2!$F:$I,3,FALSE)</f>
        <v>11.3 LÍNEA ESTRATÉGICA: INCLUSIÓN Y OPORTUNIDAD PARA NIÑOS, NIÑAS Y ADOLESCENTES Y FAMILIAS.</v>
      </c>
      <c r="I144" s="2" t="str">
        <f>+VLOOKUP(F144,Hoja2!$F:$I,4,FALSE)</f>
        <v>11.3.1 PROGRAMA: COMPROMETIDOS CON LA SALVACIÓN DE NUESTRA PRIMERA INFANCIA</v>
      </c>
      <c r="J144" t="s">
        <v>480</v>
      </c>
      <c r="K144" t="str">
        <f>"001"</f>
        <v>001</v>
      </c>
      <c r="L144" t="s">
        <v>25</v>
      </c>
      <c r="M144" t="s">
        <v>26</v>
      </c>
      <c r="N144" t="s">
        <v>27</v>
      </c>
      <c r="O144" t="s">
        <v>492</v>
      </c>
      <c r="P144" t="str">
        <f t="shared" si="18"/>
        <v>2020130010119 COMPROMISO CON LA SALVACION DE  NUESTRA PRIMERA INFANCIA EN EL DISTRITO DE  CARTAGENA DE INDIAS</v>
      </c>
      <c r="Q144" t="str">
        <f t="shared" si="15"/>
        <v>06</v>
      </c>
      <c r="R144" t="str">
        <f t="shared" si="16"/>
        <v>00</v>
      </c>
      <c r="S144" s="1">
        <v>1335000000</v>
      </c>
      <c r="T144" s="1">
        <v>-120000000</v>
      </c>
      <c r="U144" s="1">
        <v>1215000000</v>
      </c>
      <c r="V144" s="1">
        <v>1214881741</v>
      </c>
      <c r="W144" s="1">
        <v>118259</v>
      </c>
      <c r="X144" s="1">
        <v>1134308739.95</v>
      </c>
      <c r="Y144" s="1">
        <v>93.36</v>
      </c>
      <c r="Z144" s="1">
        <v>966834479</v>
      </c>
      <c r="AA144" s="1">
        <v>79.569999999999993</v>
      </c>
      <c r="AB144" s="1">
        <v>80691260.049999997</v>
      </c>
      <c r="AC144" s="1">
        <v>885137243</v>
      </c>
    </row>
    <row r="145" spans="1:29" x14ac:dyDescent="0.3">
      <c r="A145">
        <v>2022</v>
      </c>
      <c r="B145">
        <v>100</v>
      </c>
      <c r="C145" t="str">
        <f t="shared" si="20"/>
        <v>08</v>
      </c>
      <c r="D145" t="s">
        <v>479</v>
      </c>
      <c r="E145" t="str">
        <f t="shared" si="17"/>
        <v>08 SECRETARIA DE PARTICIPACION Y DESARROLLO SOCIAL</v>
      </c>
      <c r="F145" s="2">
        <v>2020130010119</v>
      </c>
      <c r="G145" s="2" t="str">
        <f>+VLOOKUP(F145,Hoja2!$F:$I,2,FALSE)</f>
        <v>11. EJE TRANSVERSAL: CARTAGENA CON ATENCION Y GARANTIA DE DERECHOS A POBLACION DIFERENCIAL.</v>
      </c>
      <c r="H145" s="2" t="str">
        <f>+VLOOKUP(F145,Hoja2!$F:$I,3,FALSE)</f>
        <v>11.3 LÍNEA ESTRATÉGICA: INCLUSIÓN Y OPORTUNIDAD PARA NIÑOS, NIÑAS Y ADOLESCENTES Y FAMILIAS.</v>
      </c>
      <c r="I145" s="2" t="str">
        <f>+VLOOKUP(F145,Hoja2!$F:$I,4,FALSE)</f>
        <v>11.3.1 PROGRAMA: COMPROMETIDOS CON LA SALVACIÓN DE NUESTRA PRIMERA INFANCIA</v>
      </c>
      <c r="J145" t="s">
        <v>480</v>
      </c>
      <c r="K145" t="str">
        <f>"925"</f>
        <v>925</v>
      </c>
      <c r="L145" t="s">
        <v>558</v>
      </c>
      <c r="M145" t="s">
        <v>26</v>
      </c>
      <c r="N145" t="s">
        <v>27</v>
      </c>
      <c r="O145" t="s">
        <v>482</v>
      </c>
      <c r="P145" t="str">
        <f t="shared" si="18"/>
        <v>2020130010119 COMPROMISO CON LA SALVACION DE NUESTRA PRIMERA INFANCIA EN EL DISTRITO DE CARTAGENA DE INDIAS</v>
      </c>
      <c r="Q145" t="str">
        <f t="shared" si="15"/>
        <v>06</v>
      </c>
      <c r="R145" t="str">
        <f t="shared" si="16"/>
        <v>00</v>
      </c>
      <c r="S145" s="1">
        <v>0</v>
      </c>
      <c r="T145" s="1">
        <v>16455153.369999999</v>
      </c>
      <c r="U145" s="1">
        <v>16455153.369999999</v>
      </c>
      <c r="V145" s="1">
        <v>16455153</v>
      </c>
      <c r="W145" s="1">
        <v>0.37</v>
      </c>
      <c r="X145" s="1">
        <v>16455153</v>
      </c>
      <c r="Y145" s="1">
        <v>100</v>
      </c>
      <c r="Z145" s="1">
        <v>0</v>
      </c>
      <c r="AA145" s="1">
        <v>0</v>
      </c>
      <c r="AB145" s="1">
        <v>0.37</v>
      </c>
      <c r="AC145" s="1">
        <v>0</v>
      </c>
    </row>
    <row r="146" spans="1:29" x14ac:dyDescent="0.3">
      <c r="A146">
        <v>2022</v>
      </c>
      <c r="B146">
        <v>100</v>
      </c>
      <c r="C146" t="str">
        <f t="shared" si="20"/>
        <v>08</v>
      </c>
      <c r="D146" t="s">
        <v>479</v>
      </c>
      <c r="E146" t="str">
        <f t="shared" si="17"/>
        <v>08 SECRETARIA DE PARTICIPACION Y DESARROLLO SOCIAL</v>
      </c>
      <c r="F146" s="2">
        <v>2020130010120</v>
      </c>
      <c r="G146" s="2" t="str">
        <f>+VLOOKUP(F146,Hoja2!$F:$I,2,FALSE)</f>
        <v>11. EJE TRANSVERSAL: CARTAGENA CON ATENCION Y GARANTIA DE DERECHOS A POBLACION DIFERENCIAL.</v>
      </c>
      <c r="H146" s="2" t="str">
        <f>+VLOOKUP(F146,Hoja2!$F:$I,3,FALSE)</f>
        <v>11.3 LÍNEA ESTRATÉGICA: INCLUSIÓN Y OPORTUNIDAD PARA NIÑOS, NIÑAS Y ADOLESCENTES Y FAMILIAS.</v>
      </c>
      <c r="I146" s="2" t="str">
        <f>+VLOOKUP(F146,Hoja2!$F:$I,4,FALSE)</f>
        <v>11.3.3 PROGRAMA: LOS NIÑOS, LAS NIÑAS Y ADOLESCENTES DE CARTAGENA PARTICIPAN Y DISFRUTAN SUS DERECHOS.</v>
      </c>
      <c r="J146" t="s">
        <v>540</v>
      </c>
      <c r="K146" t="str">
        <f>"001"</f>
        <v>001</v>
      </c>
      <c r="L146" t="s">
        <v>25</v>
      </c>
      <c r="M146" t="s">
        <v>26</v>
      </c>
      <c r="N146" t="s">
        <v>27</v>
      </c>
      <c r="O146" t="s">
        <v>541</v>
      </c>
      <c r="P146" t="str">
        <f t="shared" si="18"/>
        <v xml:space="preserve">2020130010120 LOS NINOS, LAS NINAS Y ADOLESCENTES DE CARTAGENA PARTICIPAN Y DISFRUTAN SUS DERECHOS </v>
      </c>
      <c r="Q146" t="str">
        <f t="shared" si="15"/>
        <v>06</v>
      </c>
      <c r="R146" t="str">
        <f t="shared" si="16"/>
        <v>00</v>
      </c>
      <c r="S146" s="1">
        <v>100000000</v>
      </c>
      <c r="T146" s="1">
        <v>120000000</v>
      </c>
      <c r="U146" s="1">
        <v>220000000</v>
      </c>
      <c r="V146" s="1">
        <v>219999556</v>
      </c>
      <c r="W146" s="1">
        <v>444</v>
      </c>
      <c r="X146" s="1">
        <v>174375284</v>
      </c>
      <c r="Y146" s="1">
        <v>79.260000000000005</v>
      </c>
      <c r="Z146" s="1">
        <v>54376600</v>
      </c>
      <c r="AA146" s="1">
        <v>24.72</v>
      </c>
      <c r="AB146" s="1">
        <v>45624716</v>
      </c>
      <c r="AC146" s="1">
        <v>47700000</v>
      </c>
    </row>
    <row r="147" spans="1:29" x14ac:dyDescent="0.3">
      <c r="A147">
        <v>2022</v>
      </c>
      <c r="B147">
        <v>100</v>
      </c>
      <c r="C147" t="str">
        <f t="shared" ref="C147:C158" si="21">"10"</f>
        <v>10</v>
      </c>
      <c r="D147" t="s">
        <v>601</v>
      </c>
      <c r="E147" t="str">
        <f t="shared" si="17"/>
        <v>10 DEPARTAMENTO ADMINISTRATIVO DE SALUD</v>
      </c>
      <c r="F147" s="2">
        <v>2020130010124</v>
      </c>
      <c r="G147" s="2" t="str">
        <f>+VLOOKUP(F147,Hoja2!$F:$I,2,FALSE)</f>
        <v>08. PILAR CARTAGENA INCLUYENTE</v>
      </c>
      <c r="H147" s="2" t="str">
        <f>+VLOOKUP(F147,Hoja2!$F:$I,3,FALSE)</f>
        <v>8.3 LÍNEA ESTRATÉGICA SALUD PARA TODOS</v>
      </c>
      <c r="I147" s="2" t="str">
        <f>+VLOOKUP(F147,Hoja2!$F:$I,4,FALSE)</f>
        <v>8.3.8 VIDA SALUDABLE Y ENFERMEDADES TRANSMISIBLES</v>
      </c>
      <c r="J147" t="s">
        <v>644</v>
      </c>
      <c r="K147" t="str">
        <f>"170"</f>
        <v>170</v>
      </c>
      <c r="L147" t="s">
        <v>634</v>
      </c>
      <c r="M147" t="s">
        <v>26</v>
      </c>
      <c r="N147" t="s">
        <v>27</v>
      </c>
      <c r="O147" t="s">
        <v>645</v>
      </c>
      <c r="P147" t="str">
        <f t="shared" si="18"/>
        <v>2020130010124 PREVENCION Y CONTROL DE LAS ENFERMEDADES INMUNOPREVENIBLES EN EL DISTRITO DE  CARTAGENA DE INDIAS</v>
      </c>
      <c r="Q147" t="str">
        <f t="shared" si="15"/>
        <v>06</v>
      </c>
      <c r="R147" t="str">
        <f t="shared" si="16"/>
        <v>00</v>
      </c>
      <c r="S147" s="1">
        <v>540800000</v>
      </c>
      <c r="T147" s="1">
        <v>0</v>
      </c>
      <c r="U147" s="1">
        <v>540800000</v>
      </c>
      <c r="V147" s="1">
        <v>540800000</v>
      </c>
      <c r="W147" s="1">
        <v>0</v>
      </c>
      <c r="X147" s="1">
        <v>527673333</v>
      </c>
      <c r="Y147" s="1">
        <v>97.57</v>
      </c>
      <c r="Z147" s="1">
        <v>454673333</v>
      </c>
      <c r="AA147" s="1">
        <v>84.07</v>
      </c>
      <c r="AB147" s="1">
        <v>13126667</v>
      </c>
      <c r="AC147" s="1">
        <v>454673333</v>
      </c>
    </row>
    <row r="148" spans="1:29" x14ac:dyDescent="0.3">
      <c r="A148">
        <v>2022</v>
      </c>
      <c r="B148">
        <v>100</v>
      </c>
      <c r="C148" t="str">
        <f t="shared" si="21"/>
        <v>10</v>
      </c>
      <c r="D148" t="s">
        <v>601</v>
      </c>
      <c r="E148" t="str">
        <f t="shared" si="17"/>
        <v>10 DEPARTAMENTO ADMINISTRATIVO DE SALUD</v>
      </c>
      <c r="F148" s="2">
        <v>2020130010124</v>
      </c>
      <c r="G148" s="2" t="str">
        <f>+VLOOKUP(F148,Hoja2!$F:$I,2,FALSE)</f>
        <v>08. PILAR CARTAGENA INCLUYENTE</v>
      </c>
      <c r="H148" s="2" t="str">
        <f>+VLOOKUP(F148,Hoja2!$F:$I,3,FALSE)</f>
        <v>8.3 LÍNEA ESTRATÉGICA SALUD PARA TODOS</v>
      </c>
      <c r="I148" s="2" t="str">
        <f>+VLOOKUP(F148,Hoja2!$F:$I,4,FALSE)</f>
        <v>8.3.8 VIDA SALUDABLE Y ENFERMEDADES TRANSMISIBLES</v>
      </c>
      <c r="J148" t="s">
        <v>644</v>
      </c>
      <c r="K148" t="str">
        <f>"916"</f>
        <v>916</v>
      </c>
      <c r="L148" t="s">
        <v>689</v>
      </c>
      <c r="M148" t="s">
        <v>26</v>
      </c>
      <c r="N148" t="s">
        <v>27</v>
      </c>
      <c r="O148" t="s">
        <v>645</v>
      </c>
      <c r="P148" t="str">
        <f t="shared" si="18"/>
        <v>2020130010124 PREVENCION Y CONTROL DE LAS ENFERMEDADES INMUNOPREVENIBLES EN EL DISTRITO DE  CARTAGENA DE INDIAS</v>
      </c>
      <c r="Q148" t="str">
        <f t="shared" si="15"/>
        <v>06</v>
      </c>
      <c r="R148" t="str">
        <f t="shared" si="16"/>
        <v>00</v>
      </c>
      <c r="S148" s="1">
        <v>0</v>
      </c>
      <c r="T148" s="1">
        <v>1065100000</v>
      </c>
      <c r="U148" s="1">
        <v>1065100000</v>
      </c>
      <c r="V148" s="1">
        <v>977493332</v>
      </c>
      <c r="W148" s="1">
        <v>87606668</v>
      </c>
      <c r="X148" s="1">
        <v>863226662</v>
      </c>
      <c r="Y148" s="1">
        <v>81.05</v>
      </c>
      <c r="Z148" s="1">
        <v>686226662</v>
      </c>
      <c r="AA148" s="1">
        <v>64.430000000000007</v>
      </c>
      <c r="AB148" s="1">
        <v>201873338</v>
      </c>
      <c r="AC148" s="1">
        <v>405800000</v>
      </c>
    </row>
    <row r="149" spans="1:29" x14ac:dyDescent="0.3">
      <c r="A149">
        <v>2022</v>
      </c>
      <c r="B149">
        <v>100</v>
      </c>
      <c r="C149" t="str">
        <f t="shared" si="21"/>
        <v>10</v>
      </c>
      <c r="D149" t="s">
        <v>601</v>
      </c>
      <c r="E149" t="str">
        <f t="shared" si="17"/>
        <v>10 DEPARTAMENTO ADMINISTRATIVO DE SALUD</v>
      </c>
      <c r="F149" s="2">
        <v>2020130010129</v>
      </c>
      <c r="G149" s="2" t="str">
        <f>+VLOOKUP(F149,Hoja2!$F:$I,2,FALSE)</f>
        <v>08. PILAR CARTAGENA INCLUYENTE</v>
      </c>
      <c r="H149" s="2" t="str">
        <f>+VLOOKUP(F149,Hoja2!$F:$I,3,FALSE)</f>
        <v>8.3 LÍNEA ESTRATÉGICA SALUD PARA TODOS</v>
      </c>
      <c r="I149" s="2" t="str">
        <f>+VLOOKUP(F149,Hoja2!$F:$I,4,FALSE)</f>
        <v>8.3.10 SALUD Y ÁMBITO LABORAL</v>
      </c>
      <c r="J149" t="s">
        <v>646</v>
      </c>
      <c r="K149" t="str">
        <f>"170"</f>
        <v>170</v>
      </c>
      <c r="L149" t="s">
        <v>634</v>
      </c>
      <c r="M149" t="s">
        <v>26</v>
      </c>
      <c r="N149" t="s">
        <v>27</v>
      </c>
      <c r="O149" t="s">
        <v>647</v>
      </c>
      <c r="P149" t="str">
        <f t="shared" si="18"/>
        <v>2020130010129 FORTALECIMIENTO DE LA PROMOCION DE LA SALUD Y SEGURIDAD EN EL ENTORNO LABORAL DE LA ECONOMIA FORMAL E INFORMAL DEL DISTRITO DE  CARTAGENA DE INDIAS</v>
      </c>
      <c r="Q149" t="str">
        <f t="shared" si="15"/>
        <v>06</v>
      </c>
      <c r="R149" t="str">
        <f t="shared" si="16"/>
        <v>00</v>
      </c>
      <c r="S149" s="1">
        <v>382058179</v>
      </c>
      <c r="T149" s="1">
        <v>0</v>
      </c>
      <c r="U149" s="1">
        <v>382058179</v>
      </c>
      <c r="V149" s="1">
        <v>382058179</v>
      </c>
      <c r="W149" s="1">
        <v>0</v>
      </c>
      <c r="X149" s="1">
        <v>382058179</v>
      </c>
      <c r="Y149" s="1">
        <v>100</v>
      </c>
      <c r="Z149" s="1">
        <v>263400000</v>
      </c>
      <c r="AA149" s="1">
        <v>68.94</v>
      </c>
      <c r="AB149" s="1">
        <v>0</v>
      </c>
      <c r="AC149" s="1">
        <v>263400000</v>
      </c>
    </row>
    <row r="150" spans="1:29" x14ac:dyDescent="0.3">
      <c r="A150">
        <v>2022</v>
      </c>
      <c r="B150">
        <v>100</v>
      </c>
      <c r="C150" t="str">
        <f t="shared" si="21"/>
        <v>10</v>
      </c>
      <c r="D150" t="s">
        <v>601</v>
      </c>
      <c r="E150" t="str">
        <f t="shared" si="17"/>
        <v>10 DEPARTAMENTO ADMINISTRATIVO DE SALUD</v>
      </c>
      <c r="F150" s="2">
        <v>2020130010130</v>
      </c>
      <c r="G150" s="2" t="str">
        <f>+VLOOKUP(F150,Hoja2!$F:$I,2,FALSE)</f>
        <v>08. PILAR CARTAGENA INCLUYENTE</v>
      </c>
      <c r="H150" s="2" t="str">
        <f>+VLOOKUP(F150,Hoja2!$F:$I,3,FALSE)</f>
        <v>8.3 LÍNEA ESTRATÉGICA SALUD PARA TODOS</v>
      </c>
      <c r="I150" s="2" t="str">
        <f>+VLOOKUP(F150,Hoja2!$F:$I,4,FALSE)</f>
        <v>8.3.4 VIDA SALUDABLE Y CONDICIONES NO TRANSMISIBLES</v>
      </c>
      <c r="J150" t="s">
        <v>648</v>
      </c>
      <c r="K150" t="str">
        <f>"170"</f>
        <v>170</v>
      </c>
      <c r="L150" t="s">
        <v>634</v>
      </c>
      <c r="M150" t="s">
        <v>26</v>
      </c>
      <c r="N150" t="s">
        <v>27</v>
      </c>
      <c r="O150" t="s">
        <v>649</v>
      </c>
      <c r="P150" t="str">
        <f t="shared" si="18"/>
        <v>2020130010130 FORTALECIMIENTO DE VIDA SALUDABLE Y ATENCION DE CONDICIONES CRONICAS NO TRANSMISIBLES EN EL DISTRITO DE  CARTAGENA DE INDIAS</v>
      </c>
      <c r="Q150" t="str">
        <f t="shared" si="15"/>
        <v>06</v>
      </c>
      <c r="R150" t="str">
        <f t="shared" si="16"/>
        <v>00</v>
      </c>
      <c r="S150" s="1">
        <v>418157605</v>
      </c>
      <c r="T150" s="1">
        <v>0</v>
      </c>
      <c r="U150" s="1">
        <v>418157605</v>
      </c>
      <c r="V150" s="1">
        <v>418157605</v>
      </c>
      <c r="W150" s="1">
        <v>0</v>
      </c>
      <c r="X150" s="1">
        <v>418157605</v>
      </c>
      <c r="Y150" s="1">
        <v>100</v>
      </c>
      <c r="Z150" s="1">
        <v>280800000</v>
      </c>
      <c r="AA150" s="1">
        <v>67.150000000000006</v>
      </c>
      <c r="AB150" s="1">
        <v>0</v>
      </c>
      <c r="AC150" s="1">
        <v>277000000</v>
      </c>
    </row>
    <row r="151" spans="1:29" x14ac:dyDescent="0.3">
      <c r="A151">
        <v>2022</v>
      </c>
      <c r="B151">
        <v>100</v>
      </c>
      <c r="C151" t="str">
        <f t="shared" si="21"/>
        <v>10</v>
      </c>
      <c r="D151" t="s">
        <v>601</v>
      </c>
      <c r="E151" t="str">
        <f t="shared" si="17"/>
        <v>10 DEPARTAMENTO ADMINISTRATIVO DE SALUD</v>
      </c>
      <c r="F151" s="2">
        <v>2020130010132</v>
      </c>
      <c r="G151" s="2" t="str">
        <f>+VLOOKUP(F151,Hoja2!$F:$I,2,FALSE)</f>
        <v>08. PILAR CARTAGENA INCLUYENTE</v>
      </c>
      <c r="H151" s="2" t="str">
        <f>+VLOOKUP(F151,Hoja2!$F:$I,3,FALSE)</f>
        <v>8.3 LÍNEA ESTRATÉGICA SALUD PARA TODOS</v>
      </c>
      <c r="I151" s="2" t="str">
        <f>+VLOOKUP(F151,Hoja2!$F:$I,4,FALSE)</f>
        <v>8.3.1 PROGRAMA: FORTALECIMIENTO DE LA AUTORIDAD SANITARIA</v>
      </c>
      <c r="J151" t="s">
        <v>604</v>
      </c>
      <c r="K151" t="str">
        <f>"001"</f>
        <v>001</v>
      </c>
      <c r="L151" t="s">
        <v>25</v>
      </c>
      <c r="M151" t="s">
        <v>26</v>
      </c>
      <c r="N151" t="s">
        <v>27</v>
      </c>
      <c r="O151" t="s">
        <v>605</v>
      </c>
      <c r="P151" t="str">
        <f t="shared" si="18"/>
        <v>2020130010132 DESARROLLO INSTITUCIONAL DEL DEPARTAMENTO ADMINISTRATIVO DISTRITAL DE SALUD DE  CARTAGENA DE INDIAS</v>
      </c>
      <c r="Q151" t="str">
        <f t="shared" si="15"/>
        <v>06</v>
      </c>
      <c r="R151" t="str">
        <f t="shared" si="16"/>
        <v>00</v>
      </c>
      <c r="S151" s="1">
        <v>1125000000</v>
      </c>
      <c r="T151" s="1">
        <v>0</v>
      </c>
      <c r="U151" s="1">
        <v>1125000000</v>
      </c>
      <c r="V151" s="1">
        <v>1115880000</v>
      </c>
      <c r="W151" s="1">
        <v>9120000</v>
      </c>
      <c r="X151" s="1">
        <v>1114906666</v>
      </c>
      <c r="Y151" s="1">
        <v>99.1</v>
      </c>
      <c r="Z151" s="1">
        <v>1114906666</v>
      </c>
      <c r="AA151" s="1">
        <v>99.1</v>
      </c>
      <c r="AB151" s="1">
        <v>10093334</v>
      </c>
      <c r="AC151" s="1">
        <v>1093200000</v>
      </c>
    </row>
    <row r="152" spans="1:29" x14ac:dyDescent="0.3">
      <c r="A152">
        <v>2022</v>
      </c>
      <c r="B152">
        <v>100</v>
      </c>
      <c r="C152" t="str">
        <f t="shared" si="21"/>
        <v>10</v>
      </c>
      <c r="D152" t="s">
        <v>601</v>
      </c>
      <c r="E152" t="str">
        <f t="shared" si="17"/>
        <v>10 DEPARTAMENTO ADMINISTRATIVO DE SALUD</v>
      </c>
      <c r="F152" s="2">
        <v>2020130010132</v>
      </c>
      <c r="G152" s="2" t="str">
        <f>+VLOOKUP(F152,Hoja2!$F:$I,2,FALSE)</f>
        <v>08. PILAR CARTAGENA INCLUYENTE</v>
      </c>
      <c r="H152" s="2" t="str">
        <f>+VLOOKUP(F152,Hoja2!$F:$I,3,FALSE)</f>
        <v>8.3 LÍNEA ESTRATÉGICA SALUD PARA TODOS</v>
      </c>
      <c r="I152" s="2" t="str">
        <f>+VLOOKUP(F152,Hoja2!$F:$I,4,FALSE)</f>
        <v>8.3.1 PROGRAMA: FORTALECIMIENTO DE LA AUTORIDAD SANITARIA</v>
      </c>
      <c r="J152" t="s">
        <v>604</v>
      </c>
      <c r="K152" t="str">
        <f>"015"</f>
        <v>015</v>
      </c>
      <c r="L152" t="s">
        <v>618</v>
      </c>
      <c r="M152" t="s">
        <v>26</v>
      </c>
      <c r="N152" t="s">
        <v>27</v>
      </c>
      <c r="O152" t="s">
        <v>605</v>
      </c>
      <c r="P152" t="str">
        <f t="shared" si="18"/>
        <v>2020130010132 DESARROLLO INSTITUCIONAL DEL DEPARTAMENTO ADMINISTRATIVO DISTRITAL DE SALUD DE  CARTAGENA DE INDIAS</v>
      </c>
      <c r="Q152" t="str">
        <f t="shared" si="15"/>
        <v>06</v>
      </c>
      <c r="R152" t="str">
        <f t="shared" si="16"/>
        <v>00</v>
      </c>
      <c r="S152" s="1">
        <v>780000000</v>
      </c>
      <c r="T152" s="1">
        <v>0</v>
      </c>
      <c r="U152" s="1">
        <v>780000000</v>
      </c>
      <c r="V152" s="1">
        <v>683561392</v>
      </c>
      <c r="W152" s="1">
        <v>96438608</v>
      </c>
      <c r="X152" s="1">
        <v>664101391</v>
      </c>
      <c r="Y152" s="1">
        <v>85.14</v>
      </c>
      <c r="Z152" s="1">
        <v>653601391</v>
      </c>
      <c r="AA152" s="1">
        <v>83.8</v>
      </c>
      <c r="AB152" s="1">
        <v>115898609</v>
      </c>
      <c r="AC152" s="1">
        <v>506100000</v>
      </c>
    </row>
    <row r="153" spans="1:29" x14ac:dyDescent="0.3">
      <c r="A153">
        <v>2022</v>
      </c>
      <c r="B153">
        <v>100</v>
      </c>
      <c r="C153" t="str">
        <f t="shared" si="21"/>
        <v>10</v>
      </c>
      <c r="D153" t="s">
        <v>601</v>
      </c>
      <c r="E153" t="str">
        <f t="shared" si="17"/>
        <v>10 DEPARTAMENTO ADMINISTRATIVO DE SALUD</v>
      </c>
      <c r="F153" s="2">
        <v>2020130010132</v>
      </c>
      <c r="G153" s="2" t="str">
        <f>+VLOOKUP(F153,Hoja2!$F:$I,2,FALSE)</f>
        <v>08. PILAR CARTAGENA INCLUYENTE</v>
      </c>
      <c r="H153" s="2" t="str">
        <f>+VLOOKUP(F153,Hoja2!$F:$I,3,FALSE)</f>
        <v>8.3 LÍNEA ESTRATÉGICA SALUD PARA TODOS</v>
      </c>
      <c r="I153" s="2" t="str">
        <f>+VLOOKUP(F153,Hoja2!$F:$I,4,FALSE)</f>
        <v>8.3.1 PROGRAMA: FORTALECIMIENTO DE LA AUTORIDAD SANITARIA</v>
      </c>
      <c r="J153" t="s">
        <v>604</v>
      </c>
      <c r="K153" t="str">
        <f>"017"</f>
        <v>017</v>
      </c>
      <c r="L153" t="s">
        <v>627</v>
      </c>
      <c r="M153" t="s">
        <v>26</v>
      </c>
      <c r="N153" t="s">
        <v>27</v>
      </c>
      <c r="O153" t="s">
        <v>605</v>
      </c>
      <c r="P153" t="str">
        <f t="shared" si="18"/>
        <v>2020130010132 DESARROLLO INSTITUCIONAL DEL DEPARTAMENTO ADMINISTRATIVO DISTRITAL DE SALUD DE  CARTAGENA DE INDIAS</v>
      </c>
      <c r="Q153" t="str">
        <f t="shared" si="15"/>
        <v>06</v>
      </c>
      <c r="R153" t="str">
        <f t="shared" si="16"/>
        <v>00</v>
      </c>
      <c r="S153" s="1">
        <v>200000000</v>
      </c>
      <c r="T153" s="1">
        <v>0</v>
      </c>
      <c r="U153" s="1">
        <v>200000000</v>
      </c>
      <c r="V153" s="1">
        <v>48800000</v>
      </c>
      <c r="W153" s="1">
        <v>151200000</v>
      </c>
      <c r="X153" s="1">
        <v>48800000</v>
      </c>
      <c r="Y153" s="1">
        <v>24.4</v>
      </c>
      <c r="Z153" s="1">
        <v>48800000</v>
      </c>
      <c r="AA153" s="1">
        <v>24.4</v>
      </c>
      <c r="AB153" s="1">
        <v>151200000</v>
      </c>
      <c r="AC153" s="1">
        <v>48800000</v>
      </c>
    </row>
    <row r="154" spans="1:29" x14ac:dyDescent="0.3">
      <c r="A154">
        <v>2022</v>
      </c>
      <c r="B154">
        <v>100</v>
      </c>
      <c r="C154" t="str">
        <f t="shared" si="21"/>
        <v>10</v>
      </c>
      <c r="D154" t="s">
        <v>601</v>
      </c>
      <c r="E154" t="str">
        <f t="shared" si="17"/>
        <v>10 DEPARTAMENTO ADMINISTRATIVO DE SALUD</v>
      </c>
      <c r="F154" s="2">
        <v>2020130010132</v>
      </c>
      <c r="G154" s="2" t="str">
        <f>+VLOOKUP(F154,Hoja2!$F:$I,2,FALSE)</f>
        <v>08. PILAR CARTAGENA INCLUYENTE</v>
      </c>
      <c r="H154" s="2" t="str">
        <f>+VLOOKUP(F154,Hoja2!$F:$I,3,FALSE)</f>
        <v>8.3 LÍNEA ESTRATÉGICA SALUD PARA TODOS</v>
      </c>
      <c r="I154" s="2" t="str">
        <f>+VLOOKUP(F154,Hoja2!$F:$I,4,FALSE)</f>
        <v>8.3.1 PROGRAMA: FORTALECIMIENTO DE LA AUTORIDAD SANITARIA</v>
      </c>
      <c r="J154" t="s">
        <v>604</v>
      </c>
      <c r="K154" t="str">
        <f>"889"</f>
        <v>889</v>
      </c>
      <c r="L154" t="s">
        <v>672</v>
      </c>
      <c r="M154" t="s">
        <v>26</v>
      </c>
      <c r="N154" t="s">
        <v>27</v>
      </c>
      <c r="O154" t="s">
        <v>605</v>
      </c>
      <c r="P154" t="str">
        <f t="shared" si="18"/>
        <v>2020130010132 DESARROLLO INSTITUCIONAL DEL DEPARTAMENTO ADMINISTRATIVO DISTRITAL DE SALUD DE  CARTAGENA DE INDIAS</v>
      </c>
      <c r="Q154" t="str">
        <f t="shared" si="15"/>
        <v>06</v>
      </c>
      <c r="R154" t="str">
        <f t="shared" si="16"/>
        <v>00</v>
      </c>
      <c r="S154" s="1">
        <v>0</v>
      </c>
      <c r="T154" s="1">
        <v>288662340</v>
      </c>
      <c r="U154" s="1">
        <v>288662340</v>
      </c>
      <c r="V154" s="1">
        <v>288662340</v>
      </c>
      <c r="W154" s="1">
        <v>0</v>
      </c>
      <c r="X154" s="1">
        <v>283405672</v>
      </c>
      <c r="Y154" s="1">
        <v>98.18</v>
      </c>
      <c r="Z154" s="1">
        <v>283405672</v>
      </c>
      <c r="AA154" s="1">
        <v>98.18</v>
      </c>
      <c r="AB154" s="1">
        <v>5256668</v>
      </c>
      <c r="AC154" s="1">
        <v>179100000</v>
      </c>
    </row>
    <row r="155" spans="1:29" x14ac:dyDescent="0.3">
      <c r="A155">
        <v>2022</v>
      </c>
      <c r="B155">
        <v>100</v>
      </c>
      <c r="C155" t="str">
        <f t="shared" si="21"/>
        <v>10</v>
      </c>
      <c r="D155" t="s">
        <v>601</v>
      </c>
      <c r="E155" t="str">
        <f t="shared" si="17"/>
        <v>10 DEPARTAMENTO ADMINISTRATIVO DE SALUD</v>
      </c>
      <c r="F155" s="2">
        <v>2020130010132</v>
      </c>
      <c r="G155" s="2" t="str">
        <f>+VLOOKUP(F155,Hoja2!$F:$I,2,FALSE)</f>
        <v>08. PILAR CARTAGENA INCLUYENTE</v>
      </c>
      <c r="H155" s="2" t="str">
        <f>+VLOOKUP(F155,Hoja2!$F:$I,3,FALSE)</f>
        <v>8.3 LÍNEA ESTRATÉGICA SALUD PARA TODOS</v>
      </c>
      <c r="I155" s="2" t="str">
        <f>+VLOOKUP(F155,Hoja2!$F:$I,4,FALSE)</f>
        <v>8.3.1 PROGRAMA: FORTALECIMIENTO DE LA AUTORIDAD SANITARIA</v>
      </c>
      <c r="J155" t="s">
        <v>604</v>
      </c>
      <c r="K155" t="str">
        <f>"890"</f>
        <v>890</v>
      </c>
      <c r="L155" t="s">
        <v>675</v>
      </c>
      <c r="M155" t="s">
        <v>26</v>
      </c>
      <c r="N155" t="s">
        <v>27</v>
      </c>
      <c r="O155" t="s">
        <v>605</v>
      </c>
      <c r="P155" t="str">
        <f t="shared" si="18"/>
        <v>2020130010132 DESARROLLO INSTITUCIONAL DEL DEPARTAMENTO ADMINISTRATIVO DISTRITAL DE SALUD DE  CARTAGENA DE INDIAS</v>
      </c>
      <c r="Q155" t="str">
        <f t="shared" si="15"/>
        <v>06</v>
      </c>
      <c r="R155" t="str">
        <f t="shared" si="16"/>
        <v>00</v>
      </c>
      <c r="S155" s="1">
        <v>0</v>
      </c>
      <c r="T155" s="1">
        <v>225328248</v>
      </c>
      <c r="U155" s="1">
        <v>225328248</v>
      </c>
      <c r="V155" s="1">
        <v>0</v>
      </c>
      <c r="W155" s="1">
        <v>225328248</v>
      </c>
      <c r="X155" s="1">
        <v>0</v>
      </c>
      <c r="Y155" s="1">
        <v>0</v>
      </c>
      <c r="Z155" s="1">
        <v>0</v>
      </c>
      <c r="AA155" s="1">
        <v>0</v>
      </c>
      <c r="AB155" s="1">
        <v>225328248</v>
      </c>
      <c r="AC155" s="1">
        <v>0</v>
      </c>
    </row>
    <row r="156" spans="1:29" x14ac:dyDescent="0.3">
      <c r="A156">
        <v>2022</v>
      </c>
      <c r="B156">
        <v>100</v>
      </c>
      <c r="C156" t="str">
        <f t="shared" si="21"/>
        <v>10</v>
      </c>
      <c r="D156" t="s">
        <v>601</v>
      </c>
      <c r="E156" t="str">
        <f t="shared" si="17"/>
        <v>10 DEPARTAMENTO ADMINISTRATIVO DE SALUD</v>
      </c>
      <c r="F156" s="2">
        <v>2020130010132</v>
      </c>
      <c r="G156" s="2" t="str">
        <f>+VLOOKUP(F156,Hoja2!$F:$I,2,FALSE)</f>
        <v>08. PILAR CARTAGENA INCLUYENTE</v>
      </c>
      <c r="H156" s="2" t="str">
        <f>+VLOOKUP(F156,Hoja2!$F:$I,3,FALSE)</f>
        <v>8.3 LÍNEA ESTRATÉGICA SALUD PARA TODOS</v>
      </c>
      <c r="I156" s="2" t="str">
        <f>+VLOOKUP(F156,Hoja2!$F:$I,4,FALSE)</f>
        <v>8.3.1 PROGRAMA: FORTALECIMIENTO DE LA AUTORIDAD SANITARIA</v>
      </c>
      <c r="J156" t="s">
        <v>604</v>
      </c>
      <c r="K156" t="str">
        <f>"893"</f>
        <v>893</v>
      </c>
      <c r="L156" t="s">
        <v>679</v>
      </c>
      <c r="M156" t="s">
        <v>26</v>
      </c>
      <c r="N156" t="s">
        <v>27</v>
      </c>
      <c r="O156" t="s">
        <v>605</v>
      </c>
      <c r="P156" t="str">
        <f t="shared" si="18"/>
        <v>2020130010132 DESARROLLO INSTITUCIONAL DEL DEPARTAMENTO ADMINISTRATIVO DISTRITAL DE SALUD DE  CARTAGENA DE INDIAS</v>
      </c>
      <c r="Q156" t="str">
        <f t="shared" si="15"/>
        <v>06</v>
      </c>
      <c r="R156" t="str">
        <f t="shared" si="16"/>
        <v>00</v>
      </c>
      <c r="S156" s="1">
        <v>0</v>
      </c>
      <c r="T156" s="1">
        <v>421076084</v>
      </c>
      <c r="U156" s="1">
        <v>421076084</v>
      </c>
      <c r="V156" s="1">
        <v>400296666</v>
      </c>
      <c r="W156" s="1">
        <v>20779418</v>
      </c>
      <c r="X156" s="1">
        <v>397296666</v>
      </c>
      <c r="Y156" s="1">
        <v>94.35</v>
      </c>
      <c r="Z156" s="1">
        <v>397296666</v>
      </c>
      <c r="AA156" s="1">
        <v>94.35</v>
      </c>
      <c r="AB156" s="1">
        <v>23779418</v>
      </c>
      <c r="AC156" s="1">
        <v>332700000</v>
      </c>
    </row>
    <row r="157" spans="1:29" x14ac:dyDescent="0.3">
      <c r="A157">
        <v>2022</v>
      </c>
      <c r="B157">
        <v>100</v>
      </c>
      <c r="C157" t="str">
        <f t="shared" si="21"/>
        <v>10</v>
      </c>
      <c r="D157" t="s">
        <v>601</v>
      </c>
      <c r="E157" t="str">
        <f t="shared" si="17"/>
        <v>10 DEPARTAMENTO ADMINISTRATIVO DE SALUD</v>
      </c>
      <c r="F157" s="2">
        <v>2020130010132</v>
      </c>
      <c r="G157" s="2" t="str">
        <f>+VLOOKUP(F157,Hoja2!$F:$I,2,FALSE)</f>
        <v>08. PILAR CARTAGENA INCLUYENTE</v>
      </c>
      <c r="H157" s="2" t="str">
        <f>+VLOOKUP(F157,Hoja2!$F:$I,3,FALSE)</f>
        <v>8.3 LÍNEA ESTRATÉGICA SALUD PARA TODOS</v>
      </c>
      <c r="I157" s="2" t="str">
        <f>+VLOOKUP(F157,Hoja2!$F:$I,4,FALSE)</f>
        <v>8.3.1 PROGRAMA: FORTALECIMIENTO DE LA AUTORIDAD SANITARIA</v>
      </c>
      <c r="J157" t="s">
        <v>604</v>
      </c>
      <c r="K157" t="str">
        <f>"895"</f>
        <v>895</v>
      </c>
      <c r="L157" t="s">
        <v>681</v>
      </c>
      <c r="M157" t="s">
        <v>26</v>
      </c>
      <c r="N157" t="s">
        <v>27</v>
      </c>
      <c r="O157" t="s">
        <v>605</v>
      </c>
      <c r="P157" t="str">
        <f t="shared" si="18"/>
        <v>2020130010132 DESARROLLO INSTITUCIONAL DEL DEPARTAMENTO ADMINISTRATIVO DISTRITAL DE SALUD DE  CARTAGENA DE INDIAS</v>
      </c>
      <c r="Q157" t="str">
        <f t="shared" si="15"/>
        <v>06</v>
      </c>
      <c r="R157" t="str">
        <f t="shared" si="16"/>
        <v>00</v>
      </c>
      <c r="S157" s="1">
        <v>0</v>
      </c>
      <c r="T157" s="1">
        <v>151857129</v>
      </c>
      <c r="U157" s="1">
        <v>151857129</v>
      </c>
      <c r="V157" s="1">
        <v>28999999</v>
      </c>
      <c r="W157" s="1">
        <v>122857130</v>
      </c>
      <c r="X157" s="1">
        <v>28999999</v>
      </c>
      <c r="Y157" s="1">
        <v>19.100000000000001</v>
      </c>
      <c r="Z157" s="1">
        <v>26833333</v>
      </c>
      <c r="AA157" s="1">
        <v>17.670000000000002</v>
      </c>
      <c r="AB157" s="1">
        <v>122857130</v>
      </c>
      <c r="AC157" s="1">
        <v>0</v>
      </c>
    </row>
    <row r="158" spans="1:29" x14ac:dyDescent="0.3">
      <c r="A158">
        <v>2022</v>
      </c>
      <c r="B158">
        <v>100</v>
      </c>
      <c r="C158" t="str">
        <f t="shared" si="21"/>
        <v>10</v>
      </c>
      <c r="D158" t="s">
        <v>601</v>
      </c>
      <c r="E158" t="str">
        <f t="shared" si="17"/>
        <v>10 DEPARTAMENTO ADMINISTRATIVO DE SALUD</v>
      </c>
      <c r="F158" s="2">
        <v>2020130010132</v>
      </c>
      <c r="G158" s="2" t="str">
        <f>+VLOOKUP(F158,Hoja2!$F:$I,2,FALSE)</f>
        <v>08. PILAR CARTAGENA INCLUYENTE</v>
      </c>
      <c r="H158" s="2" t="str">
        <f>+VLOOKUP(F158,Hoja2!$F:$I,3,FALSE)</f>
        <v>8.3 LÍNEA ESTRATÉGICA SALUD PARA TODOS</v>
      </c>
      <c r="I158" s="2" t="str">
        <f>+VLOOKUP(F158,Hoja2!$F:$I,4,FALSE)</f>
        <v>8.3.1 PROGRAMA: FORTALECIMIENTO DE LA AUTORIDAD SANITARIA</v>
      </c>
      <c r="J158" t="s">
        <v>604</v>
      </c>
      <c r="K158" t="str">
        <f>"896"</f>
        <v>896</v>
      </c>
      <c r="L158" t="s">
        <v>682</v>
      </c>
      <c r="M158" t="s">
        <v>26</v>
      </c>
      <c r="N158" t="s">
        <v>27</v>
      </c>
      <c r="O158" t="s">
        <v>605</v>
      </c>
      <c r="P158" t="str">
        <f t="shared" si="18"/>
        <v>2020130010132 DESARROLLO INSTITUCIONAL DEL DEPARTAMENTO ADMINISTRATIVO DISTRITAL DE SALUD DE  CARTAGENA DE INDIAS</v>
      </c>
      <c r="Q158" t="str">
        <f t="shared" si="15"/>
        <v>06</v>
      </c>
      <c r="R158" t="str">
        <f t="shared" si="16"/>
        <v>00</v>
      </c>
      <c r="S158" s="1">
        <v>0</v>
      </c>
      <c r="T158" s="1">
        <v>134400</v>
      </c>
      <c r="U158" s="1">
        <v>134400</v>
      </c>
      <c r="V158" s="1">
        <v>0</v>
      </c>
      <c r="W158" s="1">
        <v>134400</v>
      </c>
      <c r="X158" s="1">
        <v>0</v>
      </c>
      <c r="Y158" s="1">
        <v>0</v>
      </c>
      <c r="Z158" s="1">
        <v>0</v>
      </c>
      <c r="AA158" s="1">
        <v>0</v>
      </c>
      <c r="AB158" s="1">
        <v>134400</v>
      </c>
      <c r="AC158" s="1">
        <v>0</v>
      </c>
    </row>
    <row r="159" spans="1:29" x14ac:dyDescent="0.3">
      <c r="A159">
        <v>2022</v>
      </c>
      <c r="B159">
        <v>100</v>
      </c>
      <c r="C159" t="str">
        <f>"08"</f>
        <v>08</v>
      </c>
      <c r="D159" t="s">
        <v>479</v>
      </c>
      <c r="E159" t="str">
        <f t="shared" si="17"/>
        <v>08 SECRETARIA DE PARTICIPACION Y DESARROLLO SOCIAL</v>
      </c>
      <c r="F159" s="2">
        <v>2020130010133</v>
      </c>
      <c r="G159" s="2" t="str">
        <f>+VLOOKUP(F159,Hoja2!$F:$I,2,FALSE)</f>
        <v>11. EJE TRANSVERSAL: CARTAGENA CON ATENCION Y GARANTIA DE DERECHOS A POBLACION DIFERENCIAL.</v>
      </c>
      <c r="H159" s="2" t="str">
        <f>+VLOOKUP(F159,Hoja2!$F:$I,3,FALSE)</f>
        <v>11.5 LÍNEA ESTRATÉGICA EN CARTAGENA SALVAMOS NUESTROS ADULTOS MAYORES</v>
      </c>
      <c r="I159" s="2" t="str">
        <f>+VLOOKUP(F159,Hoja2!$F:$I,4,FALSE)</f>
        <v>11.5.1 PROGRAMA: ATENCION INTEGRAL PARA MANTENER A SALVO LOS ADULTOS MAYORES</v>
      </c>
      <c r="J159" t="s">
        <v>486</v>
      </c>
      <c r="K159" t="str">
        <f>"850"</f>
        <v>850</v>
      </c>
      <c r="L159" t="s">
        <v>487</v>
      </c>
      <c r="M159" t="s">
        <v>26</v>
      </c>
      <c r="N159" t="s">
        <v>27</v>
      </c>
      <c r="O159" t="s">
        <v>488</v>
      </c>
      <c r="P159" t="str">
        <f t="shared" si="18"/>
        <v>2020130010133 APOYO PARA LA ATENCION INTEGRAL A LOS ADULTOS MAYORES EN CENTROS DE VIDA Y GRUPOS ORGANIZADOS EN EL DISTRITO DE CARTAGENA DE INDIAS</v>
      </c>
      <c r="Q159" t="str">
        <f t="shared" si="15"/>
        <v>06</v>
      </c>
      <c r="R159" t="str">
        <f t="shared" si="16"/>
        <v>00</v>
      </c>
      <c r="S159" s="1">
        <v>0</v>
      </c>
      <c r="T159" s="1">
        <v>2800000000</v>
      </c>
      <c r="U159" s="1">
        <v>2800000000</v>
      </c>
      <c r="V159" s="1">
        <v>1402732717.1199999</v>
      </c>
      <c r="W159" s="1">
        <v>1397267282.8800001</v>
      </c>
      <c r="X159" s="1">
        <v>1397947454.3299999</v>
      </c>
      <c r="Y159" s="1">
        <v>49.93</v>
      </c>
      <c r="Z159" s="1">
        <v>1353749424.3299999</v>
      </c>
      <c r="AA159" s="1">
        <v>48.35</v>
      </c>
      <c r="AB159" s="1">
        <v>1402052545.6700001</v>
      </c>
      <c r="AC159" s="1">
        <v>1353749424.3299999</v>
      </c>
    </row>
    <row r="160" spans="1:29" x14ac:dyDescent="0.3">
      <c r="A160">
        <v>2022</v>
      </c>
      <c r="B160">
        <v>100</v>
      </c>
      <c r="C160" t="str">
        <f>"08"</f>
        <v>08</v>
      </c>
      <c r="D160" t="s">
        <v>479</v>
      </c>
      <c r="E160" t="str">
        <f t="shared" si="17"/>
        <v>08 SECRETARIA DE PARTICIPACION Y DESARROLLO SOCIAL</v>
      </c>
      <c r="F160" s="2">
        <v>2020130010133</v>
      </c>
      <c r="G160" s="2" t="str">
        <f>+VLOOKUP(F160,Hoja2!$F:$I,2,FALSE)</f>
        <v>11. EJE TRANSVERSAL: CARTAGENA CON ATENCION Y GARANTIA DE DERECHOS A POBLACION DIFERENCIAL.</v>
      </c>
      <c r="H160" s="2" t="str">
        <f>+VLOOKUP(F160,Hoja2!$F:$I,3,FALSE)</f>
        <v>11.5 LÍNEA ESTRATÉGICA EN CARTAGENA SALVAMOS NUESTROS ADULTOS MAYORES</v>
      </c>
      <c r="I160" s="2" t="str">
        <f>+VLOOKUP(F160,Hoja2!$F:$I,4,FALSE)</f>
        <v>11.5.1 PROGRAMA: ATENCION INTEGRAL PARA MANTENER A SALVO LOS ADULTOS MAYORES</v>
      </c>
      <c r="J160" t="s">
        <v>486</v>
      </c>
      <c r="K160" t="str">
        <f>"854"</f>
        <v>854</v>
      </c>
      <c r="L160" t="s">
        <v>489</v>
      </c>
      <c r="M160" t="s">
        <v>26</v>
      </c>
      <c r="N160" t="s">
        <v>27</v>
      </c>
      <c r="O160" t="s">
        <v>488</v>
      </c>
      <c r="P160" t="str">
        <f t="shared" si="18"/>
        <v>2020130010133 APOYO PARA LA ATENCION INTEGRAL A LOS ADULTOS MAYORES EN CENTROS DE VIDA Y GRUPOS ORGANIZADOS EN EL DISTRITO DE CARTAGENA DE INDIAS</v>
      </c>
      <c r="Q160" t="str">
        <f t="shared" si="15"/>
        <v>06</v>
      </c>
      <c r="R160" t="str">
        <f t="shared" si="16"/>
        <v>00</v>
      </c>
      <c r="S160" s="1">
        <v>0</v>
      </c>
      <c r="T160" s="1">
        <v>4051990392.46</v>
      </c>
      <c r="U160" s="1">
        <v>4051990392.46</v>
      </c>
      <c r="V160" s="1">
        <v>3378883303</v>
      </c>
      <c r="W160" s="1">
        <v>673107089.46000004</v>
      </c>
      <c r="X160" s="1">
        <v>1506572089</v>
      </c>
      <c r="Y160" s="1">
        <v>37.18</v>
      </c>
      <c r="Z160" s="1">
        <v>85321659</v>
      </c>
      <c r="AA160" s="1">
        <v>2.11</v>
      </c>
      <c r="AB160" s="1">
        <v>2545418303.46</v>
      </c>
      <c r="AC160" s="1">
        <v>41400000</v>
      </c>
    </row>
    <row r="161" spans="1:29" x14ac:dyDescent="0.3">
      <c r="A161">
        <v>2022</v>
      </c>
      <c r="B161">
        <v>100</v>
      </c>
      <c r="C161" t="str">
        <f>"08"</f>
        <v>08</v>
      </c>
      <c r="D161" t="s">
        <v>479</v>
      </c>
      <c r="E161" t="str">
        <f t="shared" si="17"/>
        <v>08 SECRETARIA DE PARTICIPACION Y DESARROLLO SOCIAL</v>
      </c>
      <c r="F161" s="2">
        <v>2020130010133</v>
      </c>
      <c r="G161" s="2" t="str">
        <f>+VLOOKUP(F161,Hoja2!$F:$I,2,FALSE)</f>
        <v>11. EJE TRANSVERSAL: CARTAGENA CON ATENCION Y GARANTIA DE DERECHOS A POBLACION DIFERENCIAL.</v>
      </c>
      <c r="H161" s="2" t="str">
        <f>+VLOOKUP(F161,Hoja2!$F:$I,3,FALSE)</f>
        <v>11.5 LÍNEA ESTRATÉGICA EN CARTAGENA SALVAMOS NUESTROS ADULTOS MAYORES</v>
      </c>
      <c r="I161" s="2" t="str">
        <f>+VLOOKUP(F161,Hoja2!$F:$I,4,FALSE)</f>
        <v>11.5.1 PROGRAMA: ATENCION INTEGRAL PARA MANTENER A SALVO LOS ADULTOS MAYORES</v>
      </c>
      <c r="J161" t="s">
        <v>486</v>
      </c>
      <c r="K161" t="str">
        <f>"855"</f>
        <v>855</v>
      </c>
      <c r="L161" t="s">
        <v>490</v>
      </c>
      <c r="M161" t="s">
        <v>26</v>
      </c>
      <c r="N161" t="s">
        <v>27</v>
      </c>
      <c r="O161" t="s">
        <v>488</v>
      </c>
      <c r="P161" t="str">
        <f t="shared" si="18"/>
        <v>2020130010133 APOYO PARA LA ATENCION INTEGRAL A LOS ADULTOS MAYORES EN CENTROS DE VIDA Y GRUPOS ORGANIZADOS EN EL DISTRITO DE CARTAGENA DE INDIAS</v>
      </c>
      <c r="Q161" t="str">
        <f t="shared" si="15"/>
        <v>06</v>
      </c>
      <c r="R161" t="str">
        <f t="shared" si="16"/>
        <v>00</v>
      </c>
      <c r="S161" s="1">
        <v>0</v>
      </c>
      <c r="T161" s="1">
        <v>156090887.47999999</v>
      </c>
      <c r="U161" s="1">
        <v>156090887.47999999</v>
      </c>
      <c r="V161" s="1">
        <v>156090887</v>
      </c>
      <c r="W161" s="1">
        <v>0.48</v>
      </c>
      <c r="X161" s="1">
        <v>0</v>
      </c>
      <c r="Y161" s="1">
        <v>0</v>
      </c>
      <c r="Z161" s="1">
        <v>0</v>
      </c>
      <c r="AA161" s="1">
        <v>0</v>
      </c>
      <c r="AB161" s="1">
        <v>156090887.47999999</v>
      </c>
      <c r="AC161" s="1">
        <v>0</v>
      </c>
    </row>
    <row r="162" spans="1:29" x14ac:dyDescent="0.3">
      <c r="A162">
        <v>2022</v>
      </c>
      <c r="B162">
        <v>100</v>
      </c>
      <c r="C162" t="str">
        <f>"08"</f>
        <v>08</v>
      </c>
      <c r="D162" t="s">
        <v>479</v>
      </c>
      <c r="E162" t="str">
        <f t="shared" si="17"/>
        <v>08 SECRETARIA DE PARTICIPACION Y DESARROLLO SOCIAL</v>
      </c>
      <c r="F162" s="2">
        <v>2020130010133</v>
      </c>
      <c r="G162" s="2" t="str">
        <f>+VLOOKUP(F162,Hoja2!$F:$I,2,FALSE)</f>
        <v>11. EJE TRANSVERSAL: CARTAGENA CON ATENCION Y GARANTIA DE DERECHOS A POBLACION DIFERENCIAL.</v>
      </c>
      <c r="H162" s="2" t="str">
        <f>+VLOOKUP(F162,Hoja2!$F:$I,3,FALSE)</f>
        <v>11.5 LÍNEA ESTRATÉGICA EN CARTAGENA SALVAMOS NUESTROS ADULTOS MAYORES</v>
      </c>
      <c r="I162" s="2" t="str">
        <f>+VLOOKUP(F162,Hoja2!$F:$I,4,FALSE)</f>
        <v>11.5.1 PROGRAMA: ATENCION INTEGRAL PARA MANTENER A SALVO LOS ADULTOS MAYORES</v>
      </c>
      <c r="J162" t="s">
        <v>486</v>
      </c>
      <c r="K162" t="str">
        <f>"088"</f>
        <v>088</v>
      </c>
      <c r="L162" t="s">
        <v>493</v>
      </c>
      <c r="M162" t="s">
        <v>26</v>
      </c>
      <c r="N162" t="s">
        <v>27</v>
      </c>
      <c r="O162" t="s">
        <v>494</v>
      </c>
      <c r="P162" t="str">
        <f t="shared" si="18"/>
        <v>2020130010133 APOYO PARA LA ATENCION INTEGRAL A LOS ADULTOS MAYORES EN CENTROS DE VIDA Y GRUPOS ORGANIZADOS EN EL DISTRITO DE  CARTAGENA DE INDIAS</v>
      </c>
      <c r="Q162" t="str">
        <f t="shared" si="15"/>
        <v>06</v>
      </c>
      <c r="R162" t="str">
        <f t="shared" si="16"/>
        <v>00</v>
      </c>
      <c r="S162" s="1">
        <v>7765042425</v>
      </c>
      <c r="T162" s="1">
        <v>0</v>
      </c>
      <c r="U162" s="1">
        <v>7765042425</v>
      </c>
      <c r="V162" s="1">
        <v>7355480561</v>
      </c>
      <c r="W162" s="1">
        <v>409561864</v>
      </c>
      <c r="X162" s="1">
        <v>6511595707.6599998</v>
      </c>
      <c r="Y162" s="1">
        <v>83.86</v>
      </c>
      <c r="Z162" s="1">
        <v>6260162879.3299999</v>
      </c>
      <c r="AA162" s="1">
        <v>80.62</v>
      </c>
      <c r="AB162" s="1">
        <v>1253446717.3399999</v>
      </c>
      <c r="AC162" s="1">
        <v>4585633674</v>
      </c>
    </row>
    <row r="163" spans="1:29" x14ac:dyDescent="0.3">
      <c r="A163">
        <v>2022</v>
      </c>
      <c r="B163">
        <v>100</v>
      </c>
      <c r="C163" t="str">
        <f>"08"</f>
        <v>08</v>
      </c>
      <c r="D163" t="s">
        <v>479</v>
      </c>
      <c r="E163" t="str">
        <f t="shared" si="17"/>
        <v>08 SECRETARIA DE PARTICIPACION Y DESARROLLO SOCIAL</v>
      </c>
      <c r="F163" s="2">
        <v>2020130010133</v>
      </c>
      <c r="G163" s="2" t="str">
        <f>+VLOOKUP(F163,Hoja2!$F:$I,2,FALSE)</f>
        <v>11. EJE TRANSVERSAL: CARTAGENA CON ATENCION Y GARANTIA DE DERECHOS A POBLACION DIFERENCIAL.</v>
      </c>
      <c r="H163" s="2" t="str">
        <f>+VLOOKUP(F163,Hoja2!$F:$I,3,FALSE)</f>
        <v>11.5 LÍNEA ESTRATÉGICA EN CARTAGENA SALVAMOS NUESTROS ADULTOS MAYORES</v>
      </c>
      <c r="I163" s="2" t="str">
        <f>+VLOOKUP(F163,Hoja2!$F:$I,4,FALSE)</f>
        <v>11.5.1 PROGRAMA: ATENCION INTEGRAL PARA MANTENER A SALVO LOS ADULTOS MAYORES</v>
      </c>
      <c r="J163" t="s">
        <v>486</v>
      </c>
      <c r="K163" t="str">
        <f>"109"</f>
        <v>109</v>
      </c>
      <c r="L163" t="s">
        <v>497</v>
      </c>
      <c r="M163" t="s">
        <v>26</v>
      </c>
      <c r="N163" t="s">
        <v>27</v>
      </c>
      <c r="O163" t="s">
        <v>494</v>
      </c>
      <c r="P163" t="str">
        <f t="shared" si="18"/>
        <v>2020130010133 APOYO PARA LA ATENCION INTEGRAL A LOS ADULTOS MAYORES EN CENTROS DE VIDA Y GRUPOS ORGANIZADOS EN EL DISTRITO DE  CARTAGENA DE INDIAS</v>
      </c>
      <c r="Q163" t="str">
        <f t="shared" si="15"/>
        <v>06</v>
      </c>
      <c r="R163" t="str">
        <f t="shared" si="16"/>
        <v>00</v>
      </c>
      <c r="S163" s="1">
        <v>1</v>
      </c>
      <c r="T163" s="1">
        <v>0</v>
      </c>
      <c r="U163" s="1">
        <v>1</v>
      </c>
      <c r="V163" s="1">
        <v>0</v>
      </c>
      <c r="W163" s="1">
        <v>1</v>
      </c>
      <c r="X163" s="1">
        <v>0</v>
      </c>
      <c r="Y163" s="1">
        <v>0</v>
      </c>
      <c r="Z163" s="1">
        <v>0</v>
      </c>
      <c r="AA163" s="1">
        <v>0</v>
      </c>
      <c r="AB163" s="1">
        <v>1</v>
      </c>
      <c r="AC163" s="1">
        <v>0</v>
      </c>
    </row>
    <row r="164" spans="1:29" x14ac:dyDescent="0.3">
      <c r="A164">
        <v>2022</v>
      </c>
      <c r="B164">
        <v>100</v>
      </c>
      <c r="C164" t="str">
        <f>"07"</f>
        <v>07</v>
      </c>
      <c r="D164" t="s">
        <v>399</v>
      </c>
      <c r="E164" t="str">
        <f t="shared" si="17"/>
        <v>07 SECRETARIA DE EDUCACION</v>
      </c>
      <c r="F164" s="2">
        <v>2020130010136</v>
      </c>
      <c r="G164" s="2" t="str">
        <f>+VLOOKUP(F164,Hoja2!$F:$I,2,FALSE)</f>
        <v>08. PILAR CARTAGENA INCLUYENTE</v>
      </c>
      <c r="H164" s="2" t="str">
        <f>+VLOOKUP(F164,Hoja2!$F:$I,3,FALSE)</f>
        <v>8.2 LÍNEA ESTRATEGICA DE EDUCACION: CULTURA DE LA FORMACION "CON LA EDUCACION PARA TODOS Y TODAS SALVAMOS JUNTOS A CARTAGENA"</v>
      </c>
      <c r="I164" s="2" t="str">
        <f>+VLOOKUP(F164,Hoja2!$F:$I,4,FALSE)</f>
        <v>8.2.1 PROGRAMA: ACOGIDA “ATENCIÓN A POBLACIONES Y ESTRATEGIAS DE ACCESO Y PERMANENCIA”</v>
      </c>
      <c r="J164" t="s">
        <v>459</v>
      </c>
      <c r="K164" t="str">
        <f>"001"</f>
        <v>001</v>
      </c>
      <c r="L164" t="s">
        <v>25</v>
      </c>
      <c r="M164" t="s">
        <v>26</v>
      </c>
      <c r="N164" t="s">
        <v>27</v>
      </c>
      <c r="O164" t="s">
        <v>460</v>
      </c>
      <c r="P164" t="str">
        <f t="shared" si="18"/>
        <v>2020130010136 IMPLEMENTACION DE LA ESTRATEGIA UNICOS E INAGOTABLES ACOGIDA - ATENCION A JOVENES Y ADULTOS EN EL DISTRITO DE  CARTAGENA DE INDIAS</v>
      </c>
      <c r="Q164" t="str">
        <f t="shared" si="15"/>
        <v>06</v>
      </c>
      <c r="R164" t="str">
        <f t="shared" si="16"/>
        <v>00</v>
      </c>
      <c r="S164" s="1">
        <v>905827769</v>
      </c>
      <c r="T164" s="1">
        <v>-37531119.670000002</v>
      </c>
      <c r="U164" s="1">
        <v>868296649.33000004</v>
      </c>
      <c r="V164" s="1">
        <v>868296649.33000004</v>
      </c>
      <c r="W164" s="1">
        <v>0</v>
      </c>
      <c r="X164" s="1">
        <v>868296649.33000004</v>
      </c>
      <c r="Y164" s="1">
        <v>100</v>
      </c>
      <c r="Z164" s="1">
        <v>864821225.33000004</v>
      </c>
      <c r="AA164" s="1">
        <v>99.6</v>
      </c>
      <c r="AB164" s="1">
        <v>0</v>
      </c>
      <c r="AC164" s="1">
        <v>859473218.33000004</v>
      </c>
    </row>
    <row r="165" spans="1:29" x14ac:dyDescent="0.3">
      <c r="A165">
        <v>2022</v>
      </c>
      <c r="B165">
        <v>100</v>
      </c>
      <c r="C165" t="str">
        <f>"07"</f>
        <v>07</v>
      </c>
      <c r="D165" t="s">
        <v>399</v>
      </c>
      <c r="E165" t="str">
        <f t="shared" si="17"/>
        <v>07 SECRETARIA DE EDUCACION</v>
      </c>
      <c r="F165" s="2">
        <v>2020130010139</v>
      </c>
      <c r="G165" s="2" t="str">
        <f>+VLOOKUP(F165,Hoja2!$F:$I,2,FALSE)</f>
        <v>08. PILAR CARTAGENA INCLUYENTE</v>
      </c>
      <c r="H165" s="2" t="str">
        <f>+VLOOKUP(F165,Hoja2!$F:$I,3,FALSE)</f>
        <v>8.2 LÍNEA ESTRATEGICA DE EDUCACION: CULTURA DE LA FORMACION "CON LA EDUCACION PARA TODOS Y TODAS SALVAMOS JUNTOS A CARTAGENA"</v>
      </c>
      <c r="I165" s="2" t="str">
        <f>+VLOOKUP(F165,Hoja2!$F:$I,4,FALSE)</f>
        <v>8.2.8 PROGRAMA: MOVILIZACIÓN  “POR UNA GESTIÓN EDUCATIVA TRANSPARENTE, PARTICIPATIVA Y EFICIENTE”</v>
      </c>
      <c r="J165" t="s">
        <v>477</v>
      </c>
      <c r="K165" t="str">
        <f>"001"</f>
        <v>001</v>
      </c>
      <c r="L165" t="s">
        <v>25</v>
      </c>
      <c r="M165" t="s">
        <v>26</v>
      </c>
      <c r="N165" t="s">
        <v>27</v>
      </c>
      <c r="O165" t="s">
        <v>478</v>
      </c>
      <c r="P165" t="str">
        <f t="shared" si="18"/>
        <v>2020130010139 MODERNIZACION Y FORTALECIMIENTO DE LA GESTION EDUCATIVA DEL DISTRITO DE   CARTAGENA DE INDIAS</v>
      </c>
      <c r="Q165" t="str">
        <f t="shared" si="15"/>
        <v>06</v>
      </c>
      <c r="R165" t="str">
        <f t="shared" si="16"/>
        <v>00</v>
      </c>
      <c r="S165" s="1">
        <v>421800000</v>
      </c>
      <c r="T165" s="1">
        <v>-63000000</v>
      </c>
      <c r="U165" s="1">
        <v>358800000</v>
      </c>
      <c r="V165" s="1">
        <v>356292028</v>
      </c>
      <c r="W165" s="1">
        <v>2507972</v>
      </c>
      <c r="X165" s="1">
        <v>347786549.12</v>
      </c>
      <c r="Y165" s="1">
        <v>96.93</v>
      </c>
      <c r="Z165" s="1">
        <v>313297176</v>
      </c>
      <c r="AA165" s="1">
        <v>87.32</v>
      </c>
      <c r="AB165" s="1">
        <v>11013450.880000001</v>
      </c>
      <c r="AC165" s="1">
        <v>298897176</v>
      </c>
    </row>
    <row r="166" spans="1:29" x14ac:dyDescent="0.3">
      <c r="A166">
        <v>2022</v>
      </c>
      <c r="B166">
        <v>100</v>
      </c>
      <c r="C166" t="str">
        <f t="shared" ref="C166:C171" si="22">"10"</f>
        <v>10</v>
      </c>
      <c r="D166" t="s">
        <v>601</v>
      </c>
      <c r="E166" t="str">
        <f t="shared" si="17"/>
        <v>10 DEPARTAMENTO ADMINISTRATIVO DE SALUD</v>
      </c>
      <c r="F166" s="2">
        <v>2020130010144</v>
      </c>
      <c r="G166" s="2" t="str">
        <f>+VLOOKUP(F166,Hoja2!$F:$I,2,FALSE)</f>
        <v>08. PILAR CARTAGENA INCLUYENTE</v>
      </c>
      <c r="H166" s="2" t="str">
        <f>+VLOOKUP(F166,Hoja2!$F:$I,3,FALSE)</f>
        <v>8.3 LÍNEA ESTRATÉGICA SALUD PARA TODOS</v>
      </c>
      <c r="I166" s="2" t="str">
        <f>+VLOOKUP(F166,Hoja2!$F:$I,4,FALSE)</f>
        <v>8.3.4 VIDA SALUDABLE Y CONDICIONES NO TRANSMISIBLES</v>
      </c>
      <c r="J166" t="s">
        <v>650</v>
      </c>
      <c r="K166" t="str">
        <f>"170"</f>
        <v>170</v>
      </c>
      <c r="L166" t="s">
        <v>634</v>
      </c>
      <c r="M166" t="s">
        <v>26</v>
      </c>
      <c r="N166" t="s">
        <v>27</v>
      </c>
      <c r="O166" t="s">
        <v>651</v>
      </c>
      <c r="P166" t="str">
        <f t="shared" si="18"/>
        <v>2020130010144 PREVENCION Y CONTROL DE LAS ALTERACIONES DE LA SALUD ORAL  CARTAGENA DE INDIAS</v>
      </c>
      <c r="Q166" t="str">
        <f t="shared" si="15"/>
        <v>06</v>
      </c>
      <c r="R166" t="str">
        <f t="shared" si="16"/>
        <v>00</v>
      </c>
      <c r="S166" s="1">
        <v>304407584</v>
      </c>
      <c r="T166" s="1">
        <v>0</v>
      </c>
      <c r="U166" s="1">
        <v>304407584</v>
      </c>
      <c r="V166" s="1">
        <v>302607584</v>
      </c>
      <c r="W166" s="1">
        <v>1800000</v>
      </c>
      <c r="X166" s="1">
        <v>302607584</v>
      </c>
      <c r="Y166" s="1">
        <v>99.41</v>
      </c>
      <c r="Z166" s="1">
        <v>203600000</v>
      </c>
      <c r="AA166" s="1">
        <v>66.88</v>
      </c>
      <c r="AB166" s="1">
        <v>1800000</v>
      </c>
      <c r="AC166" s="1">
        <v>203600000</v>
      </c>
    </row>
    <row r="167" spans="1:29" x14ac:dyDescent="0.3">
      <c r="A167">
        <v>2022</v>
      </c>
      <c r="B167">
        <v>100</v>
      </c>
      <c r="C167" t="str">
        <f t="shared" si="22"/>
        <v>10</v>
      </c>
      <c r="D167" t="s">
        <v>601</v>
      </c>
      <c r="E167" t="str">
        <f t="shared" si="17"/>
        <v>10 DEPARTAMENTO ADMINISTRATIVO DE SALUD</v>
      </c>
      <c r="F167" s="2">
        <v>2020130010145</v>
      </c>
      <c r="G167" s="2" t="str">
        <f>+VLOOKUP(F167,Hoja2!$F:$I,2,FALSE)</f>
        <v>08. PILAR CARTAGENA INCLUYENTE</v>
      </c>
      <c r="H167" s="2" t="str">
        <f>+VLOOKUP(F167,Hoja2!$F:$I,3,FALSE)</f>
        <v>8.3 LÍNEA ESTRATÉGICA SALUD PARA TODOS</v>
      </c>
      <c r="I167" s="2" t="str">
        <f>+VLOOKUP(F167,Hoja2!$F:$I,4,FALSE)</f>
        <v>8.3.4 VIDA SALUDABLE Y CONDICIONES NO TRANSMISIBLES</v>
      </c>
      <c r="J167" t="s">
        <v>652</v>
      </c>
      <c r="K167" t="str">
        <f>"170"</f>
        <v>170</v>
      </c>
      <c r="L167" t="s">
        <v>634</v>
      </c>
      <c r="M167" t="s">
        <v>26</v>
      </c>
      <c r="N167" t="s">
        <v>27</v>
      </c>
      <c r="O167" t="s">
        <v>653</v>
      </c>
      <c r="P167" t="str">
        <f t="shared" si="18"/>
        <v>2020130010145 PREVENCION Y CONTROL DE LAS ALTERACIONES DE LA SALUD VISUAL  CARTAGENA DE INDIAS</v>
      </c>
      <c r="Q167" t="str">
        <f t="shared" si="15"/>
        <v>06</v>
      </c>
      <c r="R167" t="str">
        <f t="shared" si="16"/>
        <v>00</v>
      </c>
      <c r="S167" s="1">
        <v>200464375</v>
      </c>
      <c r="T167" s="1">
        <v>0</v>
      </c>
      <c r="U167" s="1">
        <v>200464375</v>
      </c>
      <c r="V167" s="1">
        <v>200464375</v>
      </c>
      <c r="W167" s="1">
        <v>0</v>
      </c>
      <c r="X167" s="1">
        <v>188464375</v>
      </c>
      <c r="Y167" s="1">
        <v>94.01</v>
      </c>
      <c r="Z167" s="1">
        <v>121200000</v>
      </c>
      <c r="AA167" s="1">
        <v>60.46</v>
      </c>
      <c r="AB167" s="1">
        <v>12000000</v>
      </c>
      <c r="AC167" s="1">
        <v>121200000</v>
      </c>
    </row>
    <row r="168" spans="1:29" x14ac:dyDescent="0.3">
      <c r="A168">
        <v>2022</v>
      </c>
      <c r="B168">
        <v>100</v>
      </c>
      <c r="C168" t="str">
        <f t="shared" si="22"/>
        <v>10</v>
      </c>
      <c r="D168" t="s">
        <v>601</v>
      </c>
      <c r="E168" t="str">
        <f t="shared" si="17"/>
        <v>10 DEPARTAMENTO ADMINISTRATIVO DE SALUD</v>
      </c>
      <c r="F168" s="2">
        <v>2020130010146</v>
      </c>
      <c r="G168" s="2" t="str">
        <f>+VLOOKUP(F168,Hoja2!$F:$I,2,FALSE)</f>
        <v>08. PILAR CARTAGENA INCLUYENTE</v>
      </c>
      <c r="H168" s="2" t="str">
        <f>+VLOOKUP(F168,Hoja2!$F:$I,3,FALSE)</f>
        <v>8.3 LÍNEA ESTRATÉGICA SALUD PARA TODOS</v>
      </c>
      <c r="I168" s="2" t="str">
        <f>+VLOOKUP(F168,Hoja2!$F:$I,4,FALSE)</f>
        <v>8.3.4 VIDA SALUDABLE Y CONDICIONES NO TRANSMISIBLES</v>
      </c>
      <c r="J168" t="s">
        <v>654</v>
      </c>
      <c r="K168" t="str">
        <f>"170"</f>
        <v>170</v>
      </c>
      <c r="L168" t="s">
        <v>634</v>
      </c>
      <c r="M168" t="s">
        <v>26</v>
      </c>
      <c r="N168" t="s">
        <v>27</v>
      </c>
      <c r="O168" t="s">
        <v>655</v>
      </c>
      <c r="P168" t="str">
        <f t="shared" si="18"/>
        <v>2020130010146 PREVENCION Y CONTROL DE SALUD AUDITIVA  CARTAGENA DE INDIAS</v>
      </c>
      <c r="Q168" t="str">
        <f t="shared" si="15"/>
        <v>06</v>
      </c>
      <c r="R168" t="str">
        <f t="shared" si="16"/>
        <v>00</v>
      </c>
      <c r="S168" s="1">
        <v>159501611</v>
      </c>
      <c r="T168" s="1">
        <v>0</v>
      </c>
      <c r="U168" s="1">
        <v>159501611</v>
      </c>
      <c r="V168" s="1">
        <v>159501611</v>
      </c>
      <c r="W168" s="1">
        <v>0</v>
      </c>
      <c r="X168" s="1">
        <v>159501611</v>
      </c>
      <c r="Y168" s="1">
        <v>100</v>
      </c>
      <c r="Z168" s="1">
        <v>113400000</v>
      </c>
      <c r="AA168" s="1">
        <v>71.099999999999994</v>
      </c>
      <c r="AB168" s="1">
        <v>0</v>
      </c>
      <c r="AC168" s="1">
        <v>113400000</v>
      </c>
    </row>
    <row r="169" spans="1:29" x14ac:dyDescent="0.3">
      <c r="A169">
        <v>2022</v>
      </c>
      <c r="B169">
        <v>100</v>
      </c>
      <c r="C169" t="str">
        <f t="shared" si="22"/>
        <v>10</v>
      </c>
      <c r="D169" t="s">
        <v>601</v>
      </c>
      <c r="E169" t="str">
        <f t="shared" si="17"/>
        <v>10 DEPARTAMENTO ADMINISTRATIVO DE SALUD</v>
      </c>
      <c r="F169" s="2">
        <v>2020130010150</v>
      </c>
      <c r="G169" s="2" t="str">
        <f>+VLOOKUP(F169,Hoja2!$F:$I,2,FALSE)</f>
        <v>08. PILAR CARTAGENA INCLUYENTE</v>
      </c>
      <c r="H169" s="2" t="str">
        <f>+VLOOKUP(F169,Hoja2!$F:$I,3,FALSE)</f>
        <v>8.3 LÍNEA ESTRATÉGICA SALUD PARA TODOS</v>
      </c>
      <c r="I169" s="2" t="str">
        <f>+VLOOKUP(F169,Hoja2!$F:$I,4,FALSE)</f>
        <v>8.3.3 SALUD AMBIENTAL</v>
      </c>
      <c r="J169" t="s">
        <v>656</v>
      </c>
      <c r="K169" t="str">
        <f>"170"</f>
        <v>170</v>
      </c>
      <c r="L169" t="s">
        <v>634</v>
      </c>
      <c r="M169" t="s">
        <v>26</v>
      </c>
      <c r="N169" t="s">
        <v>27</v>
      </c>
      <c r="O169" t="s">
        <v>657</v>
      </c>
      <c r="P169" t="str">
        <f t="shared" si="18"/>
        <v>2020130010150 PREVENCION Y PROMOCION DE LA ZOONOSIS EN EL DISTRITO DE  CARTAGENA DE INDIAS</v>
      </c>
      <c r="Q169" t="str">
        <f t="shared" si="15"/>
        <v>06</v>
      </c>
      <c r="R169" t="str">
        <f t="shared" si="16"/>
        <v>00</v>
      </c>
      <c r="S169" s="1">
        <v>446402915</v>
      </c>
      <c r="T169" s="1">
        <v>-54664989</v>
      </c>
      <c r="U169" s="1">
        <v>391737926</v>
      </c>
      <c r="V169" s="1">
        <v>391737926</v>
      </c>
      <c r="W169" s="1">
        <v>0</v>
      </c>
      <c r="X169" s="1">
        <v>390533572</v>
      </c>
      <c r="Y169" s="1">
        <v>99.69</v>
      </c>
      <c r="Z169" s="1">
        <v>96300000</v>
      </c>
      <c r="AA169" s="1">
        <v>24.58</v>
      </c>
      <c r="AB169" s="1">
        <v>1204354</v>
      </c>
      <c r="AC169" s="1">
        <v>96300000</v>
      </c>
    </row>
    <row r="170" spans="1:29" x14ac:dyDescent="0.3">
      <c r="A170">
        <v>2022</v>
      </c>
      <c r="B170">
        <v>100</v>
      </c>
      <c r="C170" t="str">
        <f t="shared" si="22"/>
        <v>10</v>
      </c>
      <c r="D170" t="s">
        <v>601</v>
      </c>
      <c r="E170" t="str">
        <f t="shared" si="17"/>
        <v>10 DEPARTAMENTO ADMINISTRATIVO DE SALUD</v>
      </c>
      <c r="F170" s="2">
        <v>2020130010150</v>
      </c>
      <c r="G170" s="2" t="str">
        <f>+VLOOKUP(F170,Hoja2!$F:$I,2,FALSE)</f>
        <v>08. PILAR CARTAGENA INCLUYENTE</v>
      </c>
      <c r="H170" s="2" t="str">
        <f>+VLOOKUP(F170,Hoja2!$F:$I,3,FALSE)</f>
        <v>8.3 LÍNEA ESTRATÉGICA SALUD PARA TODOS</v>
      </c>
      <c r="I170" s="2" t="str">
        <f>+VLOOKUP(F170,Hoja2!$F:$I,4,FALSE)</f>
        <v>8.3.3 SALUD AMBIENTAL</v>
      </c>
      <c r="J170" t="s">
        <v>656</v>
      </c>
      <c r="K170" t="str">
        <f>"916"</f>
        <v>916</v>
      </c>
      <c r="L170" t="s">
        <v>689</v>
      </c>
      <c r="M170" t="s">
        <v>26</v>
      </c>
      <c r="N170" t="s">
        <v>27</v>
      </c>
      <c r="O170" t="s">
        <v>657</v>
      </c>
      <c r="P170" t="str">
        <f t="shared" si="18"/>
        <v>2020130010150 PREVENCION Y PROMOCION DE LA ZOONOSIS EN EL DISTRITO DE  CARTAGENA DE INDIAS</v>
      </c>
      <c r="Q170" t="str">
        <f t="shared" si="15"/>
        <v>06</v>
      </c>
      <c r="R170" t="str">
        <f t="shared" si="16"/>
        <v>00</v>
      </c>
      <c r="S170" s="1">
        <v>0</v>
      </c>
      <c r="T170" s="1">
        <v>167800000</v>
      </c>
      <c r="U170" s="1">
        <v>167800000</v>
      </c>
      <c r="V170" s="1">
        <v>156375000</v>
      </c>
      <c r="W170" s="1">
        <v>11425000</v>
      </c>
      <c r="X170" s="1">
        <v>69133333</v>
      </c>
      <c r="Y170" s="1">
        <v>41.2</v>
      </c>
      <c r="Z170" s="1">
        <v>7600000</v>
      </c>
      <c r="AA170" s="1">
        <v>4.53</v>
      </c>
      <c r="AB170" s="1">
        <v>98666667</v>
      </c>
      <c r="AC170" s="1">
        <v>7600000</v>
      </c>
    </row>
    <row r="171" spans="1:29" x14ac:dyDescent="0.3">
      <c r="A171">
        <v>2022</v>
      </c>
      <c r="B171">
        <v>100</v>
      </c>
      <c r="C171" t="str">
        <f t="shared" si="22"/>
        <v>10</v>
      </c>
      <c r="D171" t="s">
        <v>601</v>
      </c>
      <c r="E171" t="str">
        <f t="shared" si="17"/>
        <v>10 DEPARTAMENTO ADMINISTRATIVO DE SALUD</v>
      </c>
      <c r="F171" s="2">
        <v>2020130010151</v>
      </c>
      <c r="G171" s="2" t="str">
        <f>+VLOOKUP(F171,Hoja2!$F:$I,2,FALSE)</f>
        <v>08. PILAR CARTAGENA INCLUYENTE</v>
      </c>
      <c r="H171" s="2" t="str">
        <f>+VLOOKUP(F171,Hoja2!$F:$I,3,FALSE)</f>
        <v>8.3 LÍNEA ESTRATÉGICA SALUD PARA TODOS</v>
      </c>
      <c r="I171" s="2" t="str">
        <f>+VLOOKUP(F171,Hoja2!$F:$I,4,FALSE)</f>
        <v>8.3.1 PROGRAMA: FORTALECIMIENTO DE LA AUTORIDAD SANITARIA</v>
      </c>
      <c r="J171" t="s">
        <v>658</v>
      </c>
      <c r="K171" t="str">
        <f>"170"</f>
        <v>170</v>
      </c>
      <c r="L171" t="s">
        <v>634</v>
      </c>
      <c r="M171" t="s">
        <v>26</v>
      </c>
      <c r="N171" t="s">
        <v>27</v>
      </c>
      <c r="O171" t="s">
        <v>659</v>
      </c>
      <c r="P171" t="str">
        <f t="shared" si="18"/>
        <v>2020130010151 PROGRAMACION DE LA VIGILANCIA EN SALUD PUBLICA EN EL DISTRITO DE  CARTAGENA DE INDIAS</v>
      </c>
      <c r="Q171" t="str">
        <f t="shared" si="15"/>
        <v>06</v>
      </c>
      <c r="R171" t="str">
        <f t="shared" si="16"/>
        <v>00</v>
      </c>
      <c r="S171" s="1">
        <v>1008800000</v>
      </c>
      <c r="T171" s="1">
        <v>0</v>
      </c>
      <c r="U171" s="1">
        <v>1008800000</v>
      </c>
      <c r="V171" s="1">
        <v>1008793620</v>
      </c>
      <c r="W171" s="1">
        <v>6380</v>
      </c>
      <c r="X171" s="1">
        <v>987748360</v>
      </c>
      <c r="Y171" s="1">
        <v>97.91</v>
      </c>
      <c r="Z171" s="1">
        <v>985748360</v>
      </c>
      <c r="AA171" s="1">
        <v>97.71</v>
      </c>
      <c r="AB171" s="1">
        <v>21051640</v>
      </c>
      <c r="AC171" s="1">
        <v>963954740</v>
      </c>
    </row>
    <row r="172" spans="1:29" x14ac:dyDescent="0.3">
      <c r="A172">
        <v>2022</v>
      </c>
      <c r="B172">
        <v>100</v>
      </c>
      <c r="C172" t="str">
        <f t="shared" ref="C172:C178" si="23">"16"</f>
        <v>16</v>
      </c>
      <c r="D172" t="s">
        <v>833</v>
      </c>
      <c r="E172" t="str">
        <f t="shared" si="17"/>
        <v>16 FONDO DE VIVIENDA DE INTERES SOCIAL Y REFORMA URBANA</v>
      </c>
      <c r="F172" s="2">
        <v>2020130010152</v>
      </c>
      <c r="G172" s="2" t="str">
        <f>+VLOOKUP(F172,Hoja2!$F:$I,2,FALSE)</f>
        <v>07. PILAR CARTAGENA RESILIENTE</v>
      </c>
      <c r="H172" s="2" t="str">
        <f>+VLOOKUP(F172,Hoja2!$F:$I,3,FALSE)</f>
        <v>7.5 LÍNEA ESTRATÉGICA VIVIENDA PARA TODOS</v>
      </c>
      <c r="I172" s="2" t="str">
        <f>+VLOOKUP(F172,Hoja2!$F:$I,4,FALSE)</f>
        <v>7.5.1 JUNTOS POR UNA VIVIENDA DIGNA</v>
      </c>
      <c r="J172" t="s">
        <v>834</v>
      </c>
      <c r="K172" t="str">
        <f>"837"</f>
        <v>837</v>
      </c>
      <c r="L172" t="s">
        <v>835</v>
      </c>
      <c r="M172" t="s">
        <v>26</v>
      </c>
      <c r="N172" t="s">
        <v>27</v>
      </c>
      <c r="O172" t="s">
        <v>836</v>
      </c>
      <c r="P172" t="str">
        <f t="shared" si="18"/>
        <v>2020130010152 APLICACION A SUBSIDIOS FAMILIARES DE VIVIENDA PARA LA POBLACION BENEFICIADA DEL PROGRAMA JUNTOS POR UNA VIVIENDA DIGNA DE LA CIUDAD DE CARTAGENA DE INDIAS</v>
      </c>
      <c r="Q172" t="str">
        <f t="shared" si="15"/>
        <v>06</v>
      </c>
      <c r="R172" t="str">
        <f t="shared" si="16"/>
        <v>00</v>
      </c>
      <c r="S172" s="1">
        <v>0</v>
      </c>
      <c r="T172" s="1">
        <v>0</v>
      </c>
      <c r="U172" s="1">
        <v>0</v>
      </c>
      <c r="V172" s="1">
        <v>0</v>
      </c>
      <c r="W172" s="1">
        <v>0</v>
      </c>
      <c r="X172" s="1">
        <v>0</v>
      </c>
      <c r="Y172" s="1">
        <v>0</v>
      </c>
      <c r="Z172" s="1">
        <v>0</v>
      </c>
      <c r="AA172" s="1">
        <v>0</v>
      </c>
      <c r="AB172" s="1">
        <v>0</v>
      </c>
      <c r="AC172" s="1">
        <v>0</v>
      </c>
    </row>
    <row r="173" spans="1:29" x14ac:dyDescent="0.3">
      <c r="A173">
        <v>2022</v>
      </c>
      <c r="B173">
        <v>100</v>
      </c>
      <c r="C173" t="str">
        <f t="shared" si="23"/>
        <v>16</v>
      </c>
      <c r="D173" t="s">
        <v>833</v>
      </c>
      <c r="E173" t="str">
        <f t="shared" si="17"/>
        <v>16 FONDO DE VIVIENDA DE INTERES SOCIAL Y REFORMA URBANA</v>
      </c>
      <c r="F173" s="2">
        <v>2020130010152</v>
      </c>
      <c r="G173" s="2" t="str">
        <f>+VLOOKUP(F173,Hoja2!$F:$I,2,FALSE)</f>
        <v>07. PILAR CARTAGENA RESILIENTE</v>
      </c>
      <c r="H173" s="2" t="str">
        <f>+VLOOKUP(F173,Hoja2!$F:$I,3,FALSE)</f>
        <v>7.5 LÍNEA ESTRATÉGICA VIVIENDA PARA TODOS</v>
      </c>
      <c r="I173" s="2" t="str">
        <f>+VLOOKUP(F173,Hoja2!$F:$I,4,FALSE)</f>
        <v>7.5.1 JUNTOS POR UNA VIVIENDA DIGNA</v>
      </c>
      <c r="J173" t="s">
        <v>834</v>
      </c>
      <c r="K173" t="str">
        <f>"001"</f>
        <v>001</v>
      </c>
      <c r="L173" t="s">
        <v>25</v>
      </c>
      <c r="M173" t="s">
        <v>26</v>
      </c>
      <c r="N173" t="s">
        <v>27</v>
      </c>
      <c r="O173" t="s">
        <v>837</v>
      </c>
      <c r="P173" t="str">
        <f t="shared" si="18"/>
        <v>2020130010152 APLICACION A SUBSIDIOS FAMILIARES DE VIVIENDA PARA LA POBLACION BENEFICIADA DEL PROGRAMA JUNTOS POR UNA VIVIENDA DIGNA DE LA CIUDAD DE  CARTAGENA DE INDIAS</v>
      </c>
      <c r="Q173" t="str">
        <f t="shared" si="15"/>
        <v>06</v>
      </c>
      <c r="R173" t="str">
        <f t="shared" si="16"/>
        <v>00</v>
      </c>
      <c r="S173" s="1">
        <v>3744000000</v>
      </c>
      <c r="T173" s="1">
        <v>0</v>
      </c>
      <c r="U173" s="1">
        <v>3744000000</v>
      </c>
      <c r="V173" s="1">
        <v>3744000000</v>
      </c>
      <c r="W173" s="1">
        <v>0</v>
      </c>
      <c r="X173" s="1">
        <v>3744000000</v>
      </c>
      <c r="Y173" s="1">
        <v>100</v>
      </c>
      <c r="Z173" s="1">
        <v>3744000000</v>
      </c>
      <c r="AA173" s="1">
        <v>100</v>
      </c>
      <c r="AB173" s="1">
        <v>0</v>
      </c>
      <c r="AC173" s="1">
        <v>3744000000</v>
      </c>
    </row>
    <row r="174" spans="1:29" x14ac:dyDescent="0.3">
      <c r="A174">
        <v>2022</v>
      </c>
      <c r="B174">
        <v>100</v>
      </c>
      <c r="C174" t="str">
        <f t="shared" si="23"/>
        <v>16</v>
      </c>
      <c r="D174" t="s">
        <v>833</v>
      </c>
      <c r="E174" t="str">
        <f t="shared" si="17"/>
        <v>16 FONDO DE VIVIENDA DE INTERES SOCIAL Y REFORMA URBANA</v>
      </c>
      <c r="F174" s="2">
        <v>2020130010152</v>
      </c>
      <c r="G174" s="2" t="str">
        <f>+VLOOKUP(F174,Hoja2!$F:$I,2,FALSE)</f>
        <v>07. PILAR CARTAGENA RESILIENTE</v>
      </c>
      <c r="H174" s="2" t="str">
        <f>+VLOOKUP(F174,Hoja2!$F:$I,3,FALSE)</f>
        <v>7.5 LÍNEA ESTRATÉGICA VIVIENDA PARA TODOS</v>
      </c>
      <c r="I174" s="2" t="str">
        <f>+VLOOKUP(F174,Hoja2!$F:$I,4,FALSE)</f>
        <v>7.5.1 JUNTOS POR UNA VIVIENDA DIGNA</v>
      </c>
      <c r="J174" t="s">
        <v>834</v>
      </c>
      <c r="K174" t="str">
        <f>"039"</f>
        <v>039</v>
      </c>
      <c r="L174" t="s">
        <v>839</v>
      </c>
      <c r="M174" t="s">
        <v>26</v>
      </c>
      <c r="N174" t="s">
        <v>27</v>
      </c>
      <c r="O174" t="s">
        <v>837</v>
      </c>
      <c r="P174" t="str">
        <f t="shared" si="18"/>
        <v>2020130010152 APLICACION A SUBSIDIOS FAMILIARES DE VIVIENDA PARA LA POBLACION BENEFICIADA DEL PROGRAMA JUNTOS POR UNA VIVIENDA DIGNA DE LA CIUDAD DE  CARTAGENA DE INDIAS</v>
      </c>
      <c r="Q174" t="str">
        <f t="shared" si="15"/>
        <v>06</v>
      </c>
      <c r="R174" t="str">
        <f t="shared" si="16"/>
        <v>00</v>
      </c>
      <c r="S174" s="1">
        <v>3128788736</v>
      </c>
      <c r="T174" s="1">
        <v>0</v>
      </c>
      <c r="U174" s="1">
        <v>3128788736</v>
      </c>
      <c r="V174" s="1">
        <v>3100962736</v>
      </c>
      <c r="W174" s="1">
        <v>27826000</v>
      </c>
      <c r="X174" s="1">
        <v>3100962736</v>
      </c>
      <c r="Y174" s="1">
        <v>99.11</v>
      </c>
      <c r="Z174" s="1">
        <v>3100962736</v>
      </c>
      <c r="AA174" s="1">
        <v>99.11</v>
      </c>
      <c r="AB174" s="1">
        <v>27826000</v>
      </c>
      <c r="AC174" s="1">
        <v>3100962736</v>
      </c>
    </row>
    <row r="175" spans="1:29" x14ac:dyDescent="0.3">
      <c r="A175">
        <v>2022</v>
      </c>
      <c r="B175">
        <v>100</v>
      </c>
      <c r="C175" t="str">
        <f t="shared" si="23"/>
        <v>16</v>
      </c>
      <c r="D175" t="s">
        <v>833</v>
      </c>
      <c r="E175" t="str">
        <f t="shared" si="17"/>
        <v>16 FONDO DE VIVIENDA DE INTERES SOCIAL Y REFORMA URBANA</v>
      </c>
      <c r="F175" s="2">
        <v>2020130010153</v>
      </c>
      <c r="G175" s="2" t="str">
        <f>+VLOOKUP(F175,Hoja2!$F:$I,2,FALSE)</f>
        <v>07. PILAR CARTAGENA RESILIENTE</v>
      </c>
      <c r="H175" s="2" t="str">
        <f>+VLOOKUP(F175,Hoja2!$F:$I,3,FALSE)</f>
        <v>7.5 LÍNEA ESTRATÉGICA VIVIENDA PARA TODOS</v>
      </c>
      <c r="I175" s="2" t="str">
        <f>+VLOOKUP(F175,Hoja2!$F:$I,4,FALSE)</f>
        <v>7.5.2 MEJORO MI CASA, COMPROMISO DE TODOS</v>
      </c>
      <c r="J175" t="s">
        <v>849</v>
      </c>
      <c r="K175" t="str">
        <f>"039"</f>
        <v>039</v>
      </c>
      <c r="L175" t="s">
        <v>839</v>
      </c>
      <c r="M175" t="s">
        <v>26</v>
      </c>
      <c r="N175" t="s">
        <v>27</v>
      </c>
      <c r="O175" t="s">
        <v>850</v>
      </c>
      <c r="P175" t="str">
        <f t="shared" si="18"/>
        <v>2020130010153 MEJORAMIENTO DE LAS CONDICIONES DE HABITABILIDAD PARA LA POBLACION BENEFICIADA DEL SECTOR URBANO Y RURAL DEL PROGRAMA MEJORO MI CASA, COMPROMISO DE TODOS DEL DISTRITO DE   CARTAGENA DE INDIAS</v>
      </c>
      <c r="Q175" t="str">
        <f t="shared" si="15"/>
        <v>06</v>
      </c>
      <c r="R175" t="str">
        <f t="shared" si="16"/>
        <v>00</v>
      </c>
      <c r="S175" s="1">
        <v>1804466261</v>
      </c>
      <c r="T175" s="1">
        <v>0</v>
      </c>
      <c r="U175" s="1">
        <v>1804466261</v>
      </c>
      <c r="V175" s="1">
        <v>1782377000</v>
      </c>
      <c r="W175" s="1">
        <v>22089261</v>
      </c>
      <c r="X175" s="1">
        <v>1782377000</v>
      </c>
      <c r="Y175" s="1">
        <v>98.78</v>
      </c>
      <c r="Z175" s="1">
        <v>1782377000</v>
      </c>
      <c r="AA175" s="1">
        <v>98.78</v>
      </c>
      <c r="AB175" s="1">
        <v>22089261</v>
      </c>
      <c r="AC175" s="1">
        <v>1782377000</v>
      </c>
    </row>
    <row r="176" spans="1:29" x14ac:dyDescent="0.3">
      <c r="A176">
        <v>2022</v>
      </c>
      <c r="B176">
        <v>100</v>
      </c>
      <c r="C176" t="str">
        <f t="shared" si="23"/>
        <v>16</v>
      </c>
      <c r="D176" t="s">
        <v>833</v>
      </c>
      <c r="E176" t="str">
        <f t="shared" si="17"/>
        <v>16 FONDO DE VIVIENDA DE INTERES SOCIAL Y REFORMA URBANA</v>
      </c>
      <c r="F176" s="2">
        <v>2020130010153</v>
      </c>
      <c r="G176" s="2" t="str">
        <f>+VLOOKUP(F176,Hoja2!$F:$I,2,FALSE)</f>
        <v>07. PILAR CARTAGENA RESILIENTE</v>
      </c>
      <c r="H176" s="2" t="str">
        <f>+VLOOKUP(F176,Hoja2!$F:$I,3,FALSE)</f>
        <v>7.5 LÍNEA ESTRATÉGICA VIVIENDA PARA TODOS</v>
      </c>
      <c r="I176" s="2" t="str">
        <f>+VLOOKUP(F176,Hoja2!$F:$I,4,FALSE)</f>
        <v>7.5.2 MEJORO MI CASA, COMPROMISO DE TODOS</v>
      </c>
      <c r="J176" t="s">
        <v>849</v>
      </c>
      <c r="K176" t="str">
        <f>"837"</f>
        <v>837</v>
      </c>
      <c r="L176" t="s">
        <v>835</v>
      </c>
      <c r="M176" t="s">
        <v>26</v>
      </c>
      <c r="N176" t="s">
        <v>27</v>
      </c>
      <c r="O176" t="s">
        <v>850</v>
      </c>
      <c r="P176" t="str">
        <f t="shared" si="18"/>
        <v>2020130010153 MEJORAMIENTO DE LAS CONDICIONES DE HABITABILIDAD PARA LA POBLACION BENEFICIADA DEL SECTOR URBANO Y RURAL DEL PROGRAMA MEJORO MI CASA, COMPROMISO DE TODOS DEL DISTRITO DE   CARTAGENA DE INDIAS</v>
      </c>
      <c r="Q176" t="str">
        <f t="shared" si="15"/>
        <v>06</v>
      </c>
      <c r="R176" t="str">
        <f t="shared" si="16"/>
        <v>00</v>
      </c>
      <c r="S176" s="1">
        <v>0</v>
      </c>
      <c r="T176" s="1">
        <v>3963218476.8400002</v>
      </c>
      <c r="U176" s="1">
        <v>3963218476.8400002</v>
      </c>
      <c r="V176" s="1">
        <v>3960824853.5300002</v>
      </c>
      <c r="W176" s="1">
        <v>2393623.31</v>
      </c>
      <c r="X176" s="1">
        <v>3960824853.5300002</v>
      </c>
      <c r="Y176" s="1">
        <v>99.94</v>
      </c>
      <c r="Z176" s="1">
        <v>3960824853.5300002</v>
      </c>
      <c r="AA176" s="1">
        <v>99.94</v>
      </c>
      <c r="AB176" s="1">
        <v>2393623.31</v>
      </c>
      <c r="AC176" s="1">
        <v>3905824853.5300002</v>
      </c>
    </row>
    <row r="177" spans="1:29" x14ac:dyDescent="0.3">
      <c r="A177">
        <v>2022</v>
      </c>
      <c r="B177">
        <v>100</v>
      </c>
      <c r="C177" t="str">
        <f t="shared" si="23"/>
        <v>16</v>
      </c>
      <c r="D177" t="s">
        <v>833</v>
      </c>
      <c r="E177" t="str">
        <f t="shared" si="17"/>
        <v>16 FONDO DE VIVIENDA DE INTERES SOCIAL Y REFORMA URBANA</v>
      </c>
      <c r="F177" s="2">
        <v>2020130010154</v>
      </c>
      <c r="G177" s="2" t="str">
        <f>+VLOOKUP(F177,Hoja2!$F:$I,2,FALSE)</f>
        <v>07. PILAR CARTAGENA RESILIENTE</v>
      </c>
      <c r="H177" s="2" t="str">
        <f>+VLOOKUP(F177,Hoja2!$F:$I,3,FALSE)</f>
        <v>7.5 LÍNEA ESTRATÉGICA VIVIENDA PARA TODOS</v>
      </c>
      <c r="I177" s="2" t="str">
        <f>+VLOOKUP(F177,Hoja2!$F:$I,4,FALSE)</f>
        <v xml:space="preserve">7.5.3 ¡MI CASA A LO LEGAL!  </v>
      </c>
      <c r="J177" t="s">
        <v>847</v>
      </c>
      <c r="K177" t="str">
        <f>"039"</f>
        <v>039</v>
      </c>
      <c r="L177" t="s">
        <v>839</v>
      </c>
      <c r="M177" t="s">
        <v>26</v>
      </c>
      <c r="N177" t="s">
        <v>27</v>
      </c>
      <c r="O177" t="s">
        <v>848</v>
      </c>
      <c r="P177" t="str">
        <f t="shared" si="18"/>
        <v>2020130010154 Titulacion y/o legalizacion de predios para la poblacion beneficiada del programa mi casa a lo legal de la ciudad de  Cartagena de Indias</v>
      </c>
      <c r="Q177" t="str">
        <f t="shared" si="15"/>
        <v>06</v>
      </c>
      <c r="R177" t="str">
        <f t="shared" si="16"/>
        <v>00</v>
      </c>
      <c r="S177" s="1">
        <v>872345752</v>
      </c>
      <c r="T177" s="1">
        <v>0</v>
      </c>
      <c r="U177" s="1">
        <v>872345752</v>
      </c>
      <c r="V177" s="1">
        <v>712941944</v>
      </c>
      <c r="W177" s="1">
        <v>159403808</v>
      </c>
      <c r="X177" s="1">
        <v>712941944</v>
      </c>
      <c r="Y177" s="1">
        <v>81.73</v>
      </c>
      <c r="Z177" s="1">
        <v>712941944</v>
      </c>
      <c r="AA177" s="1">
        <v>81.73</v>
      </c>
      <c r="AB177" s="1">
        <v>159403808</v>
      </c>
      <c r="AC177" s="1">
        <v>712941944</v>
      </c>
    </row>
    <row r="178" spans="1:29" x14ac:dyDescent="0.3">
      <c r="A178">
        <v>2022</v>
      </c>
      <c r="B178">
        <v>100</v>
      </c>
      <c r="C178" t="str">
        <f t="shared" si="23"/>
        <v>16</v>
      </c>
      <c r="D178" t="s">
        <v>833</v>
      </c>
      <c r="E178" t="str">
        <f t="shared" si="17"/>
        <v>16 FONDO DE VIVIENDA DE INTERES SOCIAL Y REFORMA URBANA</v>
      </c>
      <c r="F178" s="2">
        <v>2020130010154</v>
      </c>
      <c r="G178" s="2" t="str">
        <f>+VLOOKUP(F178,Hoja2!$F:$I,2,FALSE)</f>
        <v>07. PILAR CARTAGENA RESILIENTE</v>
      </c>
      <c r="H178" s="2" t="str">
        <f>+VLOOKUP(F178,Hoja2!$F:$I,3,FALSE)</f>
        <v>7.5 LÍNEA ESTRATÉGICA VIVIENDA PARA TODOS</v>
      </c>
      <c r="I178" s="2" t="str">
        <f>+VLOOKUP(F178,Hoja2!$F:$I,4,FALSE)</f>
        <v xml:space="preserve">7.5.3 ¡MI CASA A LO LEGAL!  </v>
      </c>
      <c r="J178" t="s">
        <v>847</v>
      </c>
      <c r="K178" t="str">
        <f>"837"</f>
        <v>837</v>
      </c>
      <c r="L178" t="s">
        <v>835</v>
      </c>
      <c r="M178" t="s">
        <v>26</v>
      </c>
      <c r="N178" t="s">
        <v>27</v>
      </c>
      <c r="O178" t="s">
        <v>851</v>
      </c>
      <c r="P178" t="str">
        <f t="shared" si="18"/>
        <v>2020130010154 TITULACION Y/O LEGALIZACION DE PREDIOS PARA LA POBLACION BENEFICIADA DEL PROGRAMA MI CASA A LO LEGAL DE LA CIUDAD DE  CARTAGENA DE INDIAS</v>
      </c>
      <c r="Q178" t="str">
        <f t="shared" si="15"/>
        <v>06</v>
      </c>
      <c r="R178" t="str">
        <f t="shared" si="16"/>
        <v>00</v>
      </c>
      <c r="S178" s="1">
        <v>0</v>
      </c>
      <c r="T178" s="1">
        <v>58750337.920000002</v>
      </c>
      <c r="U178" s="1">
        <v>58750337.920000002</v>
      </c>
      <c r="V178" s="1">
        <v>58750337.920000002</v>
      </c>
      <c r="W178" s="1">
        <v>0</v>
      </c>
      <c r="X178" s="1">
        <v>58750337.920000002</v>
      </c>
      <c r="Y178" s="1">
        <v>100</v>
      </c>
      <c r="Z178" s="1">
        <v>58750337.920000002</v>
      </c>
      <c r="AA178" s="1">
        <v>100</v>
      </c>
      <c r="AB178" s="1">
        <v>0</v>
      </c>
      <c r="AC178" s="1">
        <v>0</v>
      </c>
    </row>
    <row r="179" spans="1:29" x14ac:dyDescent="0.3">
      <c r="A179">
        <v>2022</v>
      </c>
      <c r="B179">
        <v>100</v>
      </c>
      <c r="C179" t="str">
        <f>"10"</f>
        <v>10</v>
      </c>
      <c r="D179" t="s">
        <v>601</v>
      </c>
      <c r="E179" t="str">
        <f t="shared" si="17"/>
        <v>10 DEPARTAMENTO ADMINISTRATIVO DE SALUD</v>
      </c>
      <c r="F179" s="2">
        <v>2020130010157</v>
      </c>
      <c r="G179" s="2" t="str">
        <f>+VLOOKUP(F179,Hoja2!$F:$I,2,FALSE)</f>
        <v>08. PILAR CARTAGENA INCLUYENTE</v>
      </c>
      <c r="H179" s="2" t="str">
        <f>+VLOOKUP(F179,Hoja2!$F:$I,3,FALSE)</f>
        <v>8.3 LÍNEA ESTRATÉGICA SALUD PARA TODOS</v>
      </c>
      <c r="I179" s="2" t="str">
        <f>+VLOOKUP(F179,Hoja2!$F:$I,4,FALSE)</f>
        <v>8.3.1 PROGRAMA: FORTALECIMIENTO DE LA AUTORIDAD SANITARIA</v>
      </c>
      <c r="J179" t="s">
        <v>633</v>
      </c>
      <c r="K179" t="str">
        <f>"170"</f>
        <v>170</v>
      </c>
      <c r="L179" t="s">
        <v>634</v>
      </c>
      <c r="M179" t="s">
        <v>26</v>
      </c>
      <c r="N179" t="s">
        <v>27</v>
      </c>
      <c r="O179" t="s">
        <v>635</v>
      </c>
      <c r="P179" t="str">
        <f t="shared" si="18"/>
        <v>2020130010157 CONTROL Y VIGILANCIA DE MEDICAMENTOS EN EL DISTRITO DE  CARTAGENA DE INDIAS</v>
      </c>
      <c r="Q179" t="str">
        <f t="shared" si="15"/>
        <v>06</v>
      </c>
      <c r="R179" t="str">
        <f t="shared" si="16"/>
        <v>00</v>
      </c>
      <c r="S179" s="1">
        <v>215658186</v>
      </c>
      <c r="T179" s="1">
        <v>0</v>
      </c>
      <c r="U179" s="1">
        <v>215658186</v>
      </c>
      <c r="V179" s="1">
        <v>215658186</v>
      </c>
      <c r="W179" s="1">
        <v>0</v>
      </c>
      <c r="X179" s="1">
        <v>215000185</v>
      </c>
      <c r="Y179" s="1">
        <v>99.69</v>
      </c>
      <c r="Z179" s="1">
        <v>163941999</v>
      </c>
      <c r="AA179" s="1">
        <v>76.02</v>
      </c>
      <c r="AB179" s="1">
        <v>658001</v>
      </c>
      <c r="AC179" s="1">
        <v>158941999</v>
      </c>
    </row>
    <row r="180" spans="1:29" x14ac:dyDescent="0.3">
      <c r="A180">
        <v>2022</v>
      </c>
      <c r="B180">
        <v>100</v>
      </c>
      <c r="C180" t="str">
        <f>"10"</f>
        <v>10</v>
      </c>
      <c r="D180" t="s">
        <v>601</v>
      </c>
      <c r="E180" t="str">
        <f t="shared" si="17"/>
        <v>10 DEPARTAMENTO ADMINISTRATIVO DE SALUD</v>
      </c>
      <c r="F180" s="2">
        <v>2020130010157</v>
      </c>
      <c r="G180" s="2" t="str">
        <f>+VLOOKUP(F180,Hoja2!$F:$I,2,FALSE)</f>
        <v>08. PILAR CARTAGENA INCLUYENTE</v>
      </c>
      <c r="H180" s="2" t="str">
        <f>+VLOOKUP(F180,Hoja2!$F:$I,3,FALSE)</f>
        <v>8.3 LÍNEA ESTRATÉGICA SALUD PARA TODOS</v>
      </c>
      <c r="I180" s="2" t="str">
        <f>+VLOOKUP(F180,Hoja2!$F:$I,4,FALSE)</f>
        <v>8.3.1 PROGRAMA: FORTALECIMIENTO DE LA AUTORIDAD SANITARIA</v>
      </c>
      <c r="J180" t="s">
        <v>633</v>
      </c>
      <c r="K180" t="str">
        <f>"880"</f>
        <v>880</v>
      </c>
      <c r="L180" t="s">
        <v>671</v>
      </c>
      <c r="M180" t="s">
        <v>26</v>
      </c>
      <c r="N180" t="s">
        <v>27</v>
      </c>
      <c r="O180" t="s">
        <v>635</v>
      </c>
      <c r="P180" t="str">
        <f t="shared" si="18"/>
        <v>2020130010157 CONTROL Y VIGILANCIA DE MEDICAMENTOS EN EL DISTRITO DE  CARTAGENA DE INDIAS</v>
      </c>
      <c r="Q180" t="str">
        <f t="shared" si="15"/>
        <v>06</v>
      </c>
      <c r="R180" t="str">
        <f t="shared" si="16"/>
        <v>00</v>
      </c>
      <c r="S180" s="1">
        <v>0</v>
      </c>
      <c r="T180" s="1">
        <v>317683</v>
      </c>
      <c r="U180" s="1">
        <v>317683</v>
      </c>
      <c r="V180" s="1">
        <v>0</v>
      </c>
      <c r="W180" s="1">
        <v>317683</v>
      </c>
      <c r="X180" s="1">
        <v>0</v>
      </c>
      <c r="Y180" s="1">
        <v>0</v>
      </c>
      <c r="Z180" s="1">
        <v>0</v>
      </c>
      <c r="AA180" s="1">
        <v>0</v>
      </c>
      <c r="AB180" s="1">
        <v>317683</v>
      </c>
      <c r="AC180" s="1">
        <v>0</v>
      </c>
    </row>
    <row r="181" spans="1:29" x14ac:dyDescent="0.3">
      <c r="A181">
        <v>2022</v>
      </c>
      <c r="B181">
        <v>100</v>
      </c>
      <c r="C181" t="str">
        <f>"10"</f>
        <v>10</v>
      </c>
      <c r="D181" t="s">
        <v>601</v>
      </c>
      <c r="E181" t="str">
        <f t="shared" si="17"/>
        <v>10 DEPARTAMENTO ADMINISTRATIVO DE SALUD</v>
      </c>
      <c r="F181" s="2">
        <v>2020130010158</v>
      </c>
      <c r="G181" s="2" t="str">
        <f>+VLOOKUP(F181,Hoja2!$F:$I,2,FALSE)</f>
        <v>08. PILAR CARTAGENA INCLUYENTE</v>
      </c>
      <c r="H181" s="2" t="str">
        <f>+VLOOKUP(F181,Hoja2!$F:$I,3,FALSE)</f>
        <v>8.3 LÍNEA ESTRATÉGICA SALUD PARA TODOS</v>
      </c>
      <c r="I181" s="2" t="str">
        <f>+VLOOKUP(F181,Hoja2!$F:$I,4,FALSE)</f>
        <v>8.3.6 NUTRICIÓN E INOCUIDAD DE ALIMENTOS</v>
      </c>
      <c r="J181" t="s">
        <v>636</v>
      </c>
      <c r="K181" t="str">
        <f>"170"</f>
        <v>170</v>
      </c>
      <c r="L181" t="s">
        <v>634</v>
      </c>
      <c r="M181" t="s">
        <v>26</v>
      </c>
      <c r="N181" t="s">
        <v>27</v>
      </c>
      <c r="O181" t="s">
        <v>637</v>
      </c>
      <c r="P181" t="str">
        <f t="shared" si="18"/>
        <v>2020130010158 CONTROL Y VIGILANCIA DE ALIMENTOS EN EL DISTRITO DE   CARTAGENA DE INDIAS</v>
      </c>
      <c r="Q181" t="str">
        <f t="shared" si="15"/>
        <v>06</v>
      </c>
      <c r="R181" t="str">
        <f t="shared" si="16"/>
        <v>00</v>
      </c>
      <c r="S181" s="1">
        <v>355680000</v>
      </c>
      <c r="T181" s="1">
        <v>0</v>
      </c>
      <c r="U181" s="1">
        <v>355680000</v>
      </c>
      <c r="V181" s="1">
        <v>350900520</v>
      </c>
      <c r="W181" s="1">
        <v>4779480</v>
      </c>
      <c r="X181" s="1">
        <v>350900520</v>
      </c>
      <c r="Y181" s="1">
        <v>98.66</v>
      </c>
      <c r="Z181" s="1">
        <v>309020520</v>
      </c>
      <c r="AA181" s="1">
        <v>86.88</v>
      </c>
      <c r="AB181" s="1">
        <v>4779480</v>
      </c>
      <c r="AC181" s="1">
        <v>309020520</v>
      </c>
    </row>
    <row r="182" spans="1:29" x14ac:dyDescent="0.3">
      <c r="A182">
        <v>2022</v>
      </c>
      <c r="B182">
        <v>100</v>
      </c>
      <c r="C182" t="str">
        <f>"01"</f>
        <v>01</v>
      </c>
      <c r="D182" t="s">
        <v>23</v>
      </c>
      <c r="E182" t="str">
        <f t="shared" si="17"/>
        <v>01 DESPACHO DEL ALCALDE</v>
      </c>
      <c r="F182" s="2">
        <v>2020130010160</v>
      </c>
      <c r="G182" s="2" t="str">
        <f>+VLOOKUP(F182,Hoja2!$F:$I,2,FALSE)</f>
        <v>07. PILAR CARTAGENA RESILIENTE</v>
      </c>
      <c r="H182" s="2" t="str">
        <f>+VLOOKUP(F182,Hoja2!$F:$I,3,FALSE)</f>
        <v>7.2 LÍNEA ESTRATÉGICA ESPACIO PÚBLICO, MOVILIDAD Y TRANSPORTE RESILIENTE</v>
      </c>
      <c r="I182" s="2" t="str">
        <f>+VLOOKUP(F182,Hoja2!$F:$I,4,FALSE)</f>
        <v>7.2.4 MOVILIDAD EN CARTAGENA</v>
      </c>
      <c r="J182" t="s">
        <v>46</v>
      </c>
      <c r="K182" t="str">
        <f>"865"</f>
        <v>865</v>
      </c>
      <c r="L182" t="s">
        <v>47</v>
      </c>
      <c r="M182" t="s">
        <v>26</v>
      </c>
      <c r="N182" t="s">
        <v>27</v>
      </c>
      <c r="O182" t="s">
        <v>48</v>
      </c>
      <c r="P182" t="str">
        <f t="shared" si="18"/>
        <v>2020130010160 DISE?O DE PLAN INTEGRAL PARA MEJORAR LA MOVILIDAD EN  CARTAGENA DE INDIAS</v>
      </c>
      <c r="Q182" t="str">
        <f t="shared" si="15"/>
        <v>06</v>
      </c>
      <c r="R182" t="str">
        <f t="shared" si="16"/>
        <v>00</v>
      </c>
      <c r="S182" s="1">
        <v>0</v>
      </c>
      <c r="T182" s="1">
        <v>36574407.549999997</v>
      </c>
      <c r="U182" s="1">
        <v>36574407.549999997</v>
      </c>
      <c r="V182" s="1">
        <v>36574400</v>
      </c>
      <c r="W182" s="1">
        <v>7.55</v>
      </c>
      <c r="X182" s="1">
        <v>36574400</v>
      </c>
      <c r="Y182" s="1">
        <v>100</v>
      </c>
      <c r="Z182" s="1">
        <v>0</v>
      </c>
      <c r="AA182" s="1">
        <v>0</v>
      </c>
      <c r="AB182" s="1">
        <v>7.55</v>
      </c>
      <c r="AC182" s="1">
        <v>0</v>
      </c>
    </row>
    <row r="183" spans="1:29" x14ac:dyDescent="0.3">
      <c r="A183">
        <v>2022</v>
      </c>
      <c r="B183">
        <v>100</v>
      </c>
      <c r="C183" t="str">
        <f>"01"</f>
        <v>01</v>
      </c>
      <c r="D183" t="s">
        <v>23</v>
      </c>
      <c r="E183" t="str">
        <f t="shared" si="17"/>
        <v>01 DESPACHO DEL ALCALDE</v>
      </c>
      <c r="F183" s="2">
        <v>2020130010160</v>
      </c>
      <c r="G183" s="2" t="str">
        <f>+VLOOKUP(F183,Hoja2!$F:$I,2,FALSE)</f>
        <v>07. PILAR CARTAGENA RESILIENTE</v>
      </c>
      <c r="H183" s="2" t="str">
        <f>+VLOOKUP(F183,Hoja2!$F:$I,3,FALSE)</f>
        <v>7.2 LÍNEA ESTRATÉGICA ESPACIO PÚBLICO, MOVILIDAD Y TRANSPORTE RESILIENTE</v>
      </c>
      <c r="I183" s="2" t="str">
        <f>+VLOOKUP(F183,Hoja2!$F:$I,4,FALSE)</f>
        <v>7.2.4 MOVILIDAD EN CARTAGENA</v>
      </c>
      <c r="J183" t="s">
        <v>46</v>
      </c>
      <c r="K183" t="str">
        <f>"871"</f>
        <v>871</v>
      </c>
      <c r="L183" t="s">
        <v>57</v>
      </c>
      <c r="M183" t="s">
        <v>26</v>
      </c>
      <c r="N183" t="s">
        <v>27</v>
      </c>
      <c r="O183" t="s">
        <v>48</v>
      </c>
      <c r="P183" t="str">
        <f t="shared" si="18"/>
        <v>2020130010160 DISE?O DE PLAN INTEGRAL PARA MEJORAR LA MOVILIDAD EN  CARTAGENA DE INDIAS</v>
      </c>
      <c r="Q183" t="str">
        <f t="shared" si="15"/>
        <v>06</v>
      </c>
      <c r="R183" t="str">
        <f t="shared" si="16"/>
        <v>00</v>
      </c>
      <c r="S183" s="1">
        <v>0</v>
      </c>
      <c r="T183" s="1">
        <v>17626955.23</v>
      </c>
      <c r="U183" s="1">
        <v>17626955.23</v>
      </c>
      <c r="V183" s="1">
        <v>10528290</v>
      </c>
      <c r="W183" s="1">
        <v>7098665.2300000004</v>
      </c>
      <c r="X183" s="1">
        <v>10528290</v>
      </c>
      <c r="Y183" s="1">
        <v>59.73</v>
      </c>
      <c r="Z183" s="1">
        <v>0</v>
      </c>
      <c r="AA183" s="1">
        <v>0</v>
      </c>
      <c r="AB183" s="1">
        <v>7098665.2300000004</v>
      </c>
      <c r="AC183" s="1">
        <v>0</v>
      </c>
    </row>
    <row r="184" spans="1:29" x14ac:dyDescent="0.3">
      <c r="A184">
        <v>2022</v>
      </c>
      <c r="B184">
        <v>100</v>
      </c>
      <c r="C184" t="str">
        <f>"01"</f>
        <v>01</v>
      </c>
      <c r="D184" t="s">
        <v>23</v>
      </c>
      <c r="E184" t="str">
        <f t="shared" si="17"/>
        <v>01 DESPACHO DEL ALCALDE</v>
      </c>
      <c r="F184" s="2">
        <v>2020130010160</v>
      </c>
      <c r="G184" s="2" t="str">
        <f>+VLOOKUP(F184,Hoja2!$F:$I,2,FALSE)</f>
        <v>07. PILAR CARTAGENA RESILIENTE</v>
      </c>
      <c r="H184" s="2" t="str">
        <f>+VLOOKUP(F184,Hoja2!$F:$I,3,FALSE)</f>
        <v>7.2 LÍNEA ESTRATÉGICA ESPACIO PÚBLICO, MOVILIDAD Y TRANSPORTE RESILIENTE</v>
      </c>
      <c r="I184" s="2" t="str">
        <f>+VLOOKUP(F184,Hoja2!$F:$I,4,FALSE)</f>
        <v>7.2.4 MOVILIDAD EN CARTAGENA</v>
      </c>
      <c r="J184" t="s">
        <v>46</v>
      </c>
      <c r="K184" t="str">
        <f>"100"</f>
        <v>100</v>
      </c>
      <c r="L184" t="s">
        <v>98</v>
      </c>
      <c r="M184" t="s">
        <v>26</v>
      </c>
      <c r="N184" t="s">
        <v>27</v>
      </c>
      <c r="O184" t="s">
        <v>48</v>
      </c>
      <c r="P184" t="str">
        <f t="shared" si="18"/>
        <v>2020130010160 DISE?O DE PLAN INTEGRAL PARA MEJORAR LA MOVILIDAD EN  CARTAGENA DE INDIAS</v>
      </c>
      <c r="Q184" t="str">
        <f t="shared" si="15"/>
        <v>06</v>
      </c>
      <c r="R184" t="str">
        <f t="shared" si="16"/>
        <v>00</v>
      </c>
      <c r="S184" s="1">
        <v>83493950</v>
      </c>
      <c r="T184" s="1">
        <v>0</v>
      </c>
      <c r="U184" s="1">
        <v>83493950</v>
      </c>
      <c r="V184" s="1">
        <v>83493950</v>
      </c>
      <c r="W184" s="1">
        <v>0</v>
      </c>
      <c r="X184" s="1">
        <v>83493950</v>
      </c>
      <c r="Y184" s="1">
        <v>100</v>
      </c>
      <c r="Z184" s="1">
        <v>0</v>
      </c>
      <c r="AA184" s="1">
        <v>0</v>
      </c>
      <c r="AB184" s="1">
        <v>0</v>
      </c>
      <c r="AC184" s="1">
        <v>0</v>
      </c>
    </row>
    <row r="185" spans="1:29" x14ac:dyDescent="0.3">
      <c r="A185">
        <v>2022</v>
      </c>
      <c r="B185">
        <v>100</v>
      </c>
      <c r="C185" t="str">
        <f>"01"</f>
        <v>01</v>
      </c>
      <c r="D185" t="s">
        <v>23</v>
      </c>
      <c r="E185" t="str">
        <f t="shared" si="17"/>
        <v>01 DESPACHO DEL ALCALDE</v>
      </c>
      <c r="F185" s="2">
        <v>2020130010160</v>
      </c>
      <c r="G185" s="2" t="str">
        <f>+VLOOKUP(F185,Hoja2!$F:$I,2,FALSE)</f>
        <v>07. PILAR CARTAGENA RESILIENTE</v>
      </c>
      <c r="H185" s="2" t="str">
        <f>+VLOOKUP(F185,Hoja2!$F:$I,3,FALSE)</f>
        <v>7.2 LÍNEA ESTRATÉGICA ESPACIO PÚBLICO, MOVILIDAD Y TRANSPORTE RESILIENTE</v>
      </c>
      <c r="I185" s="2" t="str">
        <f>+VLOOKUP(F185,Hoja2!$F:$I,4,FALSE)</f>
        <v>7.2.4 MOVILIDAD EN CARTAGENA</v>
      </c>
      <c r="J185" t="s">
        <v>46</v>
      </c>
      <c r="K185" t="str">
        <f>"001"</f>
        <v>001</v>
      </c>
      <c r="L185" t="s">
        <v>25</v>
      </c>
      <c r="M185" t="s">
        <v>26</v>
      </c>
      <c r="N185" t="s">
        <v>27</v>
      </c>
      <c r="O185" t="s">
        <v>48</v>
      </c>
      <c r="P185" t="str">
        <f t="shared" si="18"/>
        <v>2020130010160 DISE?O DE PLAN INTEGRAL PARA MEJORAR LA MOVILIDAD EN  CARTAGENA DE INDIAS</v>
      </c>
      <c r="Q185" t="str">
        <f t="shared" si="15"/>
        <v>06</v>
      </c>
      <c r="R185" t="str">
        <f t="shared" si="16"/>
        <v>00</v>
      </c>
      <c r="S185" s="1">
        <v>415400587</v>
      </c>
      <c r="T185" s="1">
        <v>595002782</v>
      </c>
      <c r="U185" s="1">
        <v>1010403369</v>
      </c>
      <c r="V185" s="1">
        <v>1010403360</v>
      </c>
      <c r="W185" s="1">
        <v>9</v>
      </c>
      <c r="X185" s="1">
        <v>1010403360</v>
      </c>
      <c r="Y185" s="1">
        <v>100</v>
      </c>
      <c r="Z185" s="1">
        <v>88000000</v>
      </c>
      <c r="AA185" s="1">
        <v>8.7100000000000009</v>
      </c>
      <c r="AB185" s="1">
        <v>9</v>
      </c>
      <c r="AC185" s="1">
        <v>66000000</v>
      </c>
    </row>
    <row r="186" spans="1:29" x14ac:dyDescent="0.3">
      <c r="A186">
        <v>2022</v>
      </c>
      <c r="B186">
        <v>100</v>
      </c>
      <c r="C186" t="str">
        <f>"07"</f>
        <v>07</v>
      </c>
      <c r="D186" t="s">
        <v>399</v>
      </c>
      <c r="E186" t="str">
        <f t="shared" si="17"/>
        <v>07 SECRETARIA DE EDUCACION</v>
      </c>
      <c r="F186" s="2">
        <v>2020130010162</v>
      </c>
      <c r="G186" s="2" t="str">
        <f>+VLOOKUP(F186,Hoja2!$F:$I,2,FALSE)</f>
        <v>08. PILAR CARTAGENA INCLUYENTE</v>
      </c>
      <c r="H186" s="2" t="str">
        <f>+VLOOKUP(F186,Hoja2!$F:$I,3,FALSE)</f>
        <v>8.2 LÍNEA ESTRATEGICA DE EDUCACION: CULTURA DE LA FORMACION "CON LA EDUCACION PARA TODOS Y TODAS SALVAMOS JUNTOS A CARTAGENA"</v>
      </c>
      <c r="I186" s="2" t="str">
        <f>+VLOOKUP(F186,Hoja2!$F:$I,4,FALSE)</f>
        <v>8.2.7 PROGRAMA: EDUCACIÓN PARA TRANSFORMAR “EDUCACIÓN MEDIA TÉCNICA Y SUPERIOR”</v>
      </c>
      <c r="J186" t="s">
        <v>437</v>
      </c>
      <c r="K186" t="str">
        <f>"901"</f>
        <v>901</v>
      </c>
      <c r="L186" t="s">
        <v>435</v>
      </c>
      <c r="M186" t="s">
        <v>26</v>
      </c>
      <c r="N186" t="s">
        <v>27</v>
      </c>
      <c r="O186" t="s">
        <v>438</v>
      </c>
      <c r="P186" t="str">
        <f t="shared" si="18"/>
        <v>2020130010162 MEJORAMIENTO DEL PROCESO FORMATIVO DE LA EDUCACION MEDIA TECNICA OFICIAL EN LAS IEO  DESARROLLO DE POTENCIALIDADES PRODUCTIVAS DE   CARTAGENA DE INDIAS</v>
      </c>
      <c r="Q186" t="str">
        <f t="shared" si="15"/>
        <v>06</v>
      </c>
      <c r="R186" t="str">
        <f t="shared" si="16"/>
        <v>00</v>
      </c>
      <c r="S186" s="1">
        <v>0</v>
      </c>
      <c r="T186" s="1">
        <v>646298651</v>
      </c>
      <c r="U186" s="1">
        <v>646298651</v>
      </c>
      <c r="V186" s="1">
        <v>150030650</v>
      </c>
      <c r="W186" s="1">
        <v>496268001</v>
      </c>
      <c r="X186" s="1">
        <v>150030650</v>
      </c>
      <c r="Y186" s="1">
        <v>23.21</v>
      </c>
      <c r="Z186" s="1">
        <v>150030650</v>
      </c>
      <c r="AA186" s="1">
        <v>23.21</v>
      </c>
      <c r="AB186" s="1">
        <v>496268001</v>
      </c>
      <c r="AC186" s="1">
        <v>99849958</v>
      </c>
    </row>
    <row r="187" spans="1:29" x14ac:dyDescent="0.3">
      <c r="A187">
        <v>2022</v>
      </c>
      <c r="B187">
        <v>100</v>
      </c>
      <c r="C187" t="str">
        <f>"07"</f>
        <v>07</v>
      </c>
      <c r="D187" t="s">
        <v>399</v>
      </c>
      <c r="E187" t="str">
        <f t="shared" si="17"/>
        <v>07 SECRETARIA DE EDUCACION</v>
      </c>
      <c r="F187" s="2">
        <v>2020130010162</v>
      </c>
      <c r="G187" s="2" t="str">
        <f>+VLOOKUP(F187,Hoja2!$F:$I,2,FALSE)</f>
        <v>08. PILAR CARTAGENA INCLUYENTE</v>
      </c>
      <c r="H187" s="2" t="str">
        <f>+VLOOKUP(F187,Hoja2!$F:$I,3,FALSE)</f>
        <v>8.2 LÍNEA ESTRATEGICA DE EDUCACION: CULTURA DE LA FORMACION "CON LA EDUCACION PARA TODOS Y TODAS SALVAMOS JUNTOS A CARTAGENA"</v>
      </c>
      <c r="I187" s="2" t="str">
        <f>+VLOOKUP(F187,Hoja2!$F:$I,4,FALSE)</f>
        <v>8.2.7 PROGRAMA: EDUCACIÓN PARA TRANSFORMAR “EDUCACIÓN MEDIA TÉCNICA Y SUPERIOR”</v>
      </c>
      <c r="J187" t="s">
        <v>437</v>
      </c>
      <c r="K187" t="str">
        <f>"001"</f>
        <v>001</v>
      </c>
      <c r="L187" t="s">
        <v>25</v>
      </c>
      <c r="M187" t="s">
        <v>26</v>
      </c>
      <c r="N187" t="s">
        <v>27</v>
      </c>
      <c r="O187" t="s">
        <v>438</v>
      </c>
      <c r="P187" t="str">
        <f t="shared" si="18"/>
        <v>2020130010162 MEJORAMIENTO DEL PROCESO FORMATIVO DE LA EDUCACION MEDIA TECNICA OFICIAL EN LAS IEO  DESARROLLO DE POTENCIALIDADES PRODUCTIVAS DE   CARTAGENA DE INDIAS</v>
      </c>
      <c r="Q187" t="str">
        <f t="shared" si="15"/>
        <v>06</v>
      </c>
      <c r="R187" t="str">
        <f t="shared" si="16"/>
        <v>00</v>
      </c>
      <c r="S187" s="1">
        <v>432000000</v>
      </c>
      <c r="T187" s="1">
        <v>44000000</v>
      </c>
      <c r="U187" s="1">
        <v>476000000</v>
      </c>
      <c r="V187" s="1">
        <v>476000000</v>
      </c>
      <c r="W187" s="1">
        <v>0</v>
      </c>
      <c r="X187" s="1">
        <v>350185833</v>
      </c>
      <c r="Y187" s="1">
        <v>73.569999999999993</v>
      </c>
      <c r="Z187" s="1">
        <v>347652500</v>
      </c>
      <c r="AA187" s="1">
        <v>73.040000000000006</v>
      </c>
      <c r="AB187" s="1">
        <v>125814167</v>
      </c>
      <c r="AC187" s="1">
        <v>266100000</v>
      </c>
    </row>
    <row r="188" spans="1:29" x14ac:dyDescent="0.3">
      <c r="A188">
        <v>2022</v>
      </c>
      <c r="B188">
        <v>100</v>
      </c>
      <c r="C188" t="str">
        <f>"17"</f>
        <v>17</v>
      </c>
      <c r="D188" t="s">
        <v>852</v>
      </c>
      <c r="E188" t="str">
        <f t="shared" si="17"/>
        <v>17 INSTITUTO DE PATRIMONIO Y CULTURA DE CARTAGENA DE INDIAS</v>
      </c>
      <c r="F188" s="2">
        <v>2020130010163</v>
      </c>
      <c r="G188" s="2" t="str">
        <f>+VLOOKUP(F188,Hoja2!$F:$I,2,FALSE)</f>
        <v>08. PILAR CARTAGENA INCLUYENTE</v>
      </c>
      <c r="H188" s="2" t="str">
        <f>+VLOOKUP(F188,Hoja2!$F:$I,3,FALSE)</f>
        <v>8.5 LÍNEA ESTRATÉGICA ARTES, CULTURA Y PATRIMONIO PARA UNA CARTAGENA INCLUYENTE</v>
      </c>
      <c r="I188" s="2" t="str">
        <f>+VLOOKUP(F188,Hoja2!$F:$I,4,FALSE)</f>
        <v>8.5.5 PROGRAMA: DERECHOS CULTURALES Y BUEN GOBIERNO PARA EL FORTALECIMIENTO INSTITUCIONAL Y CIUDADANO</v>
      </c>
      <c r="J188" t="s">
        <v>858</v>
      </c>
      <c r="K188" t="str">
        <f>"001"</f>
        <v>001</v>
      </c>
      <c r="L188" t="s">
        <v>25</v>
      </c>
      <c r="M188" t="s">
        <v>26</v>
      </c>
      <c r="N188" t="s">
        <v>27</v>
      </c>
      <c r="O188" t="s">
        <v>859</v>
      </c>
      <c r="P188" t="str">
        <f t="shared" si="18"/>
        <v>2020130010163 PROTECCION Y GARANTIA DE LOS DERECHOS CULTURALES EN EL DISTRITO DE  CARTAGENA DE INDIAS</v>
      </c>
      <c r="Q188" t="str">
        <f t="shared" si="15"/>
        <v>06</v>
      </c>
      <c r="R188" t="str">
        <f t="shared" si="16"/>
        <v>00</v>
      </c>
      <c r="S188" s="1">
        <v>80457249</v>
      </c>
      <c r="T188" s="1">
        <v>0</v>
      </c>
      <c r="U188" s="1">
        <v>80457249</v>
      </c>
      <c r="V188" s="1">
        <v>80457249</v>
      </c>
      <c r="W188" s="1">
        <v>0</v>
      </c>
      <c r="X188" s="1">
        <v>80457249</v>
      </c>
      <c r="Y188" s="1">
        <v>100</v>
      </c>
      <c r="Z188" s="1">
        <v>80457249</v>
      </c>
      <c r="AA188" s="1">
        <v>100</v>
      </c>
      <c r="AB188" s="1">
        <v>0</v>
      </c>
      <c r="AC188" s="1">
        <v>33220798</v>
      </c>
    </row>
    <row r="189" spans="1:29" x14ac:dyDescent="0.3">
      <c r="A189">
        <v>2022</v>
      </c>
      <c r="B189">
        <v>100</v>
      </c>
      <c r="C189" t="str">
        <f>"17"</f>
        <v>17</v>
      </c>
      <c r="D189" t="s">
        <v>852</v>
      </c>
      <c r="E189" t="str">
        <f t="shared" si="17"/>
        <v>17 INSTITUTO DE PATRIMONIO Y CULTURA DE CARTAGENA DE INDIAS</v>
      </c>
      <c r="F189" s="2">
        <v>2020130010163</v>
      </c>
      <c r="G189" s="2" t="str">
        <f>+VLOOKUP(F189,Hoja2!$F:$I,2,FALSE)</f>
        <v>08. PILAR CARTAGENA INCLUYENTE</v>
      </c>
      <c r="H189" s="2" t="str">
        <f>+VLOOKUP(F189,Hoja2!$F:$I,3,FALSE)</f>
        <v>8.5 LÍNEA ESTRATÉGICA ARTES, CULTURA Y PATRIMONIO PARA UNA CARTAGENA INCLUYENTE</v>
      </c>
      <c r="I189" s="2" t="str">
        <f>+VLOOKUP(F189,Hoja2!$F:$I,4,FALSE)</f>
        <v>8.5.5 PROGRAMA: DERECHOS CULTURALES Y BUEN GOBIERNO PARA EL FORTALECIMIENTO INSTITUCIONAL Y CIUDADANO</v>
      </c>
      <c r="J189" t="s">
        <v>858</v>
      </c>
      <c r="K189" t="str">
        <f>"057"</f>
        <v>057</v>
      </c>
      <c r="L189" t="s">
        <v>861</v>
      </c>
      <c r="M189" t="s">
        <v>26</v>
      </c>
      <c r="N189" t="s">
        <v>27</v>
      </c>
      <c r="O189" t="s">
        <v>859</v>
      </c>
      <c r="P189" t="str">
        <f t="shared" si="18"/>
        <v>2020130010163 PROTECCION Y GARANTIA DE LOS DERECHOS CULTURALES EN EL DISTRITO DE  CARTAGENA DE INDIAS</v>
      </c>
      <c r="Q189" t="str">
        <f t="shared" si="15"/>
        <v>06</v>
      </c>
      <c r="R189" t="str">
        <f t="shared" si="16"/>
        <v>00</v>
      </c>
      <c r="S189" s="1">
        <v>117233509</v>
      </c>
      <c r="T189" s="1">
        <v>0</v>
      </c>
      <c r="U189" s="1">
        <v>117233509</v>
      </c>
      <c r="V189" s="1">
        <v>52759626.159999996</v>
      </c>
      <c r="W189" s="1">
        <v>64473882.840000004</v>
      </c>
      <c r="X189" s="1">
        <v>52759626.159999996</v>
      </c>
      <c r="Y189" s="1">
        <v>45</v>
      </c>
      <c r="Z189" s="1">
        <v>33220708</v>
      </c>
      <c r="AA189" s="1">
        <v>28.34</v>
      </c>
      <c r="AB189" s="1">
        <v>64473882.840000004</v>
      </c>
      <c r="AC189" s="1">
        <v>0</v>
      </c>
    </row>
    <row r="190" spans="1:29" x14ac:dyDescent="0.3">
      <c r="A190">
        <v>2022</v>
      </c>
      <c r="B190">
        <v>100</v>
      </c>
      <c r="C190" t="str">
        <f>"17"</f>
        <v>17</v>
      </c>
      <c r="D190" t="s">
        <v>852</v>
      </c>
      <c r="E190" t="str">
        <f t="shared" si="17"/>
        <v>17 INSTITUTO DE PATRIMONIO Y CULTURA DE CARTAGENA DE INDIAS</v>
      </c>
      <c r="F190" s="2">
        <v>2020130010163</v>
      </c>
      <c r="G190" s="2" t="str">
        <f>+VLOOKUP(F190,Hoja2!$F:$I,2,FALSE)</f>
        <v>08. PILAR CARTAGENA INCLUYENTE</v>
      </c>
      <c r="H190" s="2" t="str">
        <f>+VLOOKUP(F190,Hoja2!$F:$I,3,FALSE)</f>
        <v>8.5 LÍNEA ESTRATÉGICA ARTES, CULTURA Y PATRIMONIO PARA UNA CARTAGENA INCLUYENTE</v>
      </c>
      <c r="I190" s="2" t="str">
        <f>+VLOOKUP(F190,Hoja2!$F:$I,4,FALSE)</f>
        <v>8.5.5 PROGRAMA: DERECHOS CULTURALES Y BUEN GOBIERNO PARA EL FORTALECIMIENTO INSTITUCIONAL Y CIUDADANO</v>
      </c>
      <c r="J190" t="s">
        <v>858</v>
      </c>
      <c r="K190" t="str">
        <f>"082"</f>
        <v>082</v>
      </c>
      <c r="L190" t="s">
        <v>876</v>
      </c>
      <c r="M190" t="s">
        <v>26</v>
      </c>
      <c r="N190" t="s">
        <v>27</v>
      </c>
      <c r="O190" t="s">
        <v>859</v>
      </c>
      <c r="P190" t="str">
        <f t="shared" si="18"/>
        <v>2020130010163 PROTECCION Y GARANTIA DE LOS DERECHOS CULTURALES EN EL DISTRITO DE  CARTAGENA DE INDIAS</v>
      </c>
      <c r="Q190" t="str">
        <f t="shared" si="15"/>
        <v>06</v>
      </c>
      <c r="R190" t="str">
        <f t="shared" si="16"/>
        <v>00</v>
      </c>
      <c r="S190" s="1">
        <v>645653440</v>
      </c>
      <c r="T190" s="1">
        <v>0</v>
      </c>
      <c r="U190" s="1">
        <v>645653440</v>
      </c>
      <c r="V190" s="1">
        <v>0</v>
      </c>
      <c r="W190" s="1">
        <v>645653440</v>
      </c>
      <c r="X190" s="1">
        <v>0</v>
      </c>
      <c r="Y190" s="1">
        <v>0</v>
      </c>
      <c r="Z190" s="1">
        <v>0</v>
      </c>
      <c r="AA190" s="1">
        <v>0</v>
      </c>
      <c r="AB190" s="1">
        <v>645653440</v>
      </c>
      <c r="AC190" s="1">
        <v>0</v>
      </c>
    </row>
    <row r="191" spans="1:29" x14ac:dyDescent="0.3">
      <c r="A191">
        <v>2022</v>
      </c>
      <c r="B191">
        <v>100</v>
      </c>
      <c r="C191" t="str">
        <f t="shared" ref="C191:C196" si="24">"10"</f>
        <v>10</v>
      </c>
      <c r="D191" t="s">
        <v>601</v>
      </c>
      <c r="E191" t="str">
        <f t="shared" si="17"/>
        <v>10 DEPARTAMENTO ADMINISTRATIVO DE SALUD</v>
      </c>
      <c r="F191" s="2">
        <v>2020130010164</v>
      </c>
      <c r="G191" s="2" t="str">
        <f>+VLOOKUP(F191,Hoja2!$F:$I,2,FALSE)</f>
        <v>08. PILAR CARTAGENA INCLUYENTE</v>
      </c>
      <c r="H191" s="2" t="str">
        <f>+VLOOKUP(F191,Hoja2!$F:$I,3,FALSE)</f>
        <v>8.3 LÍNEA ESTRATÉGICA SALUD PARA TODOS</v>
      </c>
      <c r="I191" s="2" t="str">
        <f>+VLOOKUP(F191,Hoja2!$F:$I,4,FALSE)</f>
        <v>8.3.8 VIDA SALUDABLE Y ENFERMEDADES TRANSMISIBLES</v>
      </c>
      <c r="J191" t="s">
        <v>625</v>
      </c>
      <c r="K191" t="str">
        <f>"016"</f>
        <v>016</v>
      </c>
      <c r="L191" t="s">
        <v>619</v>
      </c>
      <c r="M191" t="s">
        <v>26</v>
      </c>
      <c r="N191" t="s">
        <v>27</v>
      </c>
      <c r="O191" t="s">
        <v>626</v>
      </c>
      <c r="P191" t="str">
        <f t="shared" si="18"/>
        <v>2020130010164 PREVENCION, PROMOCION , VIGILANCIA Y CONTROL DE ENFERMEDADES DE TRANSMISION VECTORIAL EN EL DISTRITO DE CARTAGENA DE INDIAS</v>
      </c>
      <c r="Q191" t="str">
        <f t="shared" si="15"/>
        <v>06</v>
      </c>
      <c r="R191" t="str">
        <f t="shared" si="16"/>
        <v>00</v>
      </c>
      <c r="S191" s="1">
        <v>629512436</v>
      </c>
      <c r="T191" s="1">
        <v>-15224809</v>
      </c>
      <c r="U191" s="1">
        <v>614287627</v>
      </c>
      <c r="V191" s="1">
        <v>614287627</v>
      </c>
      <c r="W191" s="1">
        <v>0</v>
      </c>
      <c r="X191" s="1">
        <v>614287627</v>
      </c>
      <c r="Y191" s="1">
        <v>100</v>
      </c>
      <c r="Z191" s="1">
        <v>614287627</v>
      </c>
      <c r="AA191" s="1">
        <v>100</v>
      </c>
      <c r="AB191" s="1">
        <v>0</v>
      </c>
      <c r="AC191" s="1">
        <v>501706185</v>
      </c>
    </row>
    <row r="192" spans="1:29" x14ac:dyDescent="0.3">
      <c r="A192">
        <v>2022</v>
      </c>
      <c r="B192">
        <v>100</v>
      </c>
      <c r="C192" t="str">
        <f t="shared" si="24"/>
        <v>10</v>
      </c>
      <c r="D192" t="s">
        <v>601</v>
      </c>
      <c r="E192" t="str">
        <f t="shared" si="17"/>
        <v>10 DEPARTAMENTO ADMINISTRATIVO DE SALUD</v>
      </c>
      <c r="F192" s="2">
        <v>2020130010164</v>
      </c>
      <c r="G192" s="2" t="str">
        <f>+VLOOKUP(F192,Hoja2!$F:$I,2,FALSE)</f>
        <v>08. PILAR CARTAGENA INCLUYENTE</v>
      </c>
      <c r="H192" s="2" t="str">
        <f>+VLOOKUP(F192,Hoja2!$F:$I,3,FALSE)</f>
        <v>8.3 LÍNEA ESTRATÉGICA SALUD PARA TODOS</v>
      </c>
      <c r="I192" s="2" t="str">
        <f>+VLOOKUP(F192,Hoja2!$F:$I,4,FALSE)</f>
        <v>8.3.8 VIDA SALUDABLE Y ENFERMEDADES TRANSMISIBLES</v>
      </c>
      <c r="J192" t="s">
        <v>625</v>
      </c>
      <c r="K192" t="str">
        <f>"170"</f>
        <v>170</v>
      </c>
      <c r="L192" t="s">
        <v>634</v>
      </c>
      <c r="M192" t="s">
        <v>26</v>
      </c>
      <c r="N192" t="s">
        <v>27</v>
      </c>
      <c r="O192" t="s">
        <v>626</v>
      </c>
      <c r="P192" t="str">
        <f t="shared" si="18"/>
        <v>2020130010164 PREVENCION, PROMOCION , VIGILANCIA Y CONTROL DE ENFERMEDADES DE TRANSMISION VECTORIAL EN EL DISTRITO DE CARTAGENA DE INDIAS</v>
      </c>
      <c r="Q192" t="str">
        <f t="shared" si="15"/>
        <v>06</v>
      </c>
      <c r="R192" t="str">
        <f t="shared" si="16"/>
        <v>00</v>
      </c>
      <c r="S192" s="1">
        <v>808197817</v>
      </c>
      <c r="T192" s="1">
        <v>0</v>
      </c>
      <c r="U192" s="1">
        <v>808197817</v>
      </c>
      <c r="V192" s="1">
        <v>803597817</v>
      </c>
      <c r="W192" s="1">
        <v>4600000</v>
      </c>
      <c r="X192" s="1">
        <v>529361712</v>
      </c>
      <c r="Y192" s="1">
        <v>65.5</v>
      </c>
      <c r="Z192" s="1">
        <v>355361712</v>
      </c>
      <c r="AA192" s="1">
        <v>43.97</v>
      </c>
      <c r="AB192" s="1">
        <v>278836105</v>
      </c>
      <c r="AC192" s="1">
        <v>350361712</v>
      </c>
    </row>
    <row r="193" spans="1:29" x14ac:dyDescent="0.3">
      <c r="A193">
        <v>2022</v>
      </c>
      <c r="B193">
        <v>100</v>
      </c>
      <c r="C193" t="str">
        <f t="shared" si="24"/>
        <v>10</v>
      </c>
      <c r="D193" t="s">
        <v>601</v>
      </c>
      <c r="E193" t="str">
        <f t="shared" si="17"/>
        <v>10 DEPARTAMENTO ADMINISTRATIVO DE SALUD</v>
      </c>
      <c r="F193" s="2">
        <v>2020130010164</v>
      </c>
      <c r="G193" s="2" t="str">
        <f>+VLOOKUP(F193,Hoja2!$F:$I,2,FALSE)</f>
        <v>08. PILAR CARTAGENA INCLUYENTE</v>
      </c>
      <c r="H193" s="2" t="str">
        <f>+VLOOKUP(F193,Hoja2!$F:$I,3,FALSE)</f>
        <v>8.3 LÍNEA ESTRATÉGICA SALUD PARA TODOS</v>
      </c>
      <c r="I193" s="2" t="str">
        <f>+VLOOKUP(F193,Hoja2!$F:$I,4,FALSE)</f>
        <v>8.3.8 VIDA SALUDABLE Y ENFERMEDADES TRANSMISIBLES</v>
      </c>
      <c r="J193" t="s">
        <v>625</v>
      </c>
      <c r="K193" t="str">
        <f>"890"</f>
        <v>890</v>
      </c>
      <c r="L193" t="s">
        <v>675</v>
      </c>
      <c r="M193" t="s">
        <v>26</v>
      </c>
      <c r="N193" t="s">
        <v>27</v>
      </c>
      <c r="O193" t="s">
        <v>676</v>
      </c>
      <c r="P193" t="str">
        <f t="shared" si="18"/>
        <v>2020130010164 PREVENCION, PROMOCION, VIGILANCIA Y CONTROL DE ENFERMEDADES DE TRANSMISION VECTORIAL EN EL DISTRITO DE CARTAGENA DE INDIAS</v>
      </c>
      <c r="Q193" t="str">
        <f t="shared" si="15"/>
        <v>06</v>
      </c>
      <c r="R193" t="str">
        <f t="shared" si="16"/>
        <v>00</v>
      </c>
      <c r="S193" s="1">
        <v>0</v>
      </c>
      <c r="T193" s="1">
        <v>139465828</v>
      </c>
      <c r="U193" s="1">
        <v>139465828</v>
      </c>
      <c r="V193" s="1">
        <v>1476840</v>
      </c>
      <c r="W193" s="1">
        <v>137988988</v>
      </c>
      <c r="X193" s="1">
        <v>1476840</v>
      </c>
      <c r="Y193" s="1">
        <v>1.06</v>
      </c>
      <c r="Z193" s="1">
        <v>1476840</v>
      </c>
      <c r="AA193" s="1">
        <v>1.06</v>
      </c>
      <c r="AB193" s="1">
        <v>137988988</v>
      </c>
      <c r="AC193" s="1">
        <v>0</v>
      </c>
    </row>
    <row r="194" spans="1:29" x14ac:dyDescent="0.3">
      <c r="A194">
        <v>2022</v>
      </c>
      <c r="B194">
        <v>100</v>
      </c>
      <c r="C194" t="str">
        <f t="shared" si="24"/>
        <v>10</v>
      </c>
      <c r="D194" t="s">
        <v>601</v>
      </c>
      <c r="E194" t="str">
        <f t="shared" si="17"/>
        <v>10 DEPARTAMENTO ADMINISTRATIVO DE SALUD</v>
      </c>
      <c r="F194" s="2">
        <v>2020130010164</v>
      </c>
      <c r="G194" s="2" t="str">
        <f>+VLOOKUP(F194,Hoja2!$F:$I,2,FALSE)</f>
        <v>08. PILAR CARTAGENA INCLUYENTE</v>
      </c>
      <c r="H194" s="2" t="str">
        <f>+VLOOKUP(F194,Hoja2!$F:$I,3,FALSE)</f>
        <v>8.3 LÍNEA ESTRATÉGICA SALUD PARA TODOS</v>
      </c>
      <c r="I194" s="2" t="str">
        <f>+VLOOKUP(F194,Hoja2!$F:$I,4,FALSE)</f>
        <v>8.3.8 VIDA SALUDABLE Y ENFERMEDADES TRANSMISIBLES</v>
      </c>
      <c r="J194" t="s">
        <v>625</v>
      </c>
      <c r="K194" t="str">
        <f>"891"</f>
        <v>891</v>
      </c>
      <c r="L194" t="s">
        <v>677</v>
      </c>
      <c r="M194" t="s">
        <v>26</v>
      </c>
      <c r="N194" t="s">
        <v>27</v>
      </c>
      <c r="O194" t="s">
        <v>676</v>
      </c>
      <c r="P194" t="str">
        <f t="shared" si="18"/>
        <v>2020130010164 PREVENCION, PROMOCION, VIGILANCIA Y CONTROL DE ENFERMEDADES DE TRANSMISION VECTORIAL EN EL DISTRITO DE CARTAGENA DE INDIAS</v>
      </c>
      <c r="Q194" t="str">
        <f t="shared" ref="Q194:Q257" si="25">"06"</f>
        <v>06</v>
      </c>
      <c r="R194" t="str">
        <f t="shared" ref="R194:R257" si="26">"00"</f>
        <v>00</v>
      </c>
      <c r="S194" s="1">
        <v>0</v>
      </c>
      <c r="T194" s="1">
        <v>52992643</v>
      </c>
      <c r="U194" s="1">
        <v>52992643</v>
      </c>
      <c r="V194" s="1">
        <v>0</v>
      </c>
      <c r="W194" s="1">
        <v>52992643</v>
      </c>
      <c r="X194" s="1">
        <v>0</v>
      </c>
      <c r="Y194" s="1">
        <v>0</v>
      </c>
      <c r="Z194" s="1">
        <v>0</v>
      </c>
      <c r="AA194" s="1">
        <v>0</v>
      </c>
      <c r="AB194" s="1">
        <v>52992643</v>
      </c>
      <c r="AC194" s="1">
        <v>0</v>
      </c>
    </row>
    <row r="195" spans="1:29" x14ac:dyDescent="0.3">
      <c r="A195">
        <v>2022</v>
      </c>
      <c r="B195">
        <v>100</v>
      </c>
      <c r="C195" t="str">
        <f t="shared" si="24"/>
        <v>10</v>
      </c>
      <c r="D195" t="s">
        <v>601</v>
      </c>
      <c r="E195" t="str">
        <f t="shared" ref="E195:E258" si="27">+CONCATENATE(C195," ",D195)</f>
        <v>10 DEPARTAMENTO ADMINISTRATIVO DE SALUD</v>
      </c>
      <c r="F195" s="2">
        <v>2020130010164</v>
      </c>
      <c r="G195" s="2" t="str">
        <f>+VLOOKUP(F195,Hoja2!$F:$I,2,FALSE)</f>
        <v>08. PILAR CARTAGENA INCLUYENTE</v>
      </c>
      <c r="H195" s="2" t="str">
        <f>+VLOOKUP(F195,Hoja2!$F:$I,3,FALSE)</f>
        <v>8.3 LÍNEA ESTRATÉGICA SALUD PARA TODOS</v>
      </c>
      <c r="I195" s="2" t="str">
        <f>+VLOOKUP(F195,Hoja2!$F:$I,4,FALSE)</f>
        <v>8.3.8 VIDA SALUDABLE Y ENFERMEDADES TRANSMISIBLES</v>
      </c>
      <c r="J195" t="s">
        <v>625</v>
      </c>
      <c r="K195" t="str">
        <f>"894"</f>
        <v>894</v>
      </c>
      <c r="L195" t="s">
        <v>680</v>
      </c>
      <c r="M195" t="s">
        <v>26</v>
      </c>
      <c r="N195" t="s">
        <v>27</v>
      </c>
      <c r="O195" t="s">
        <v>676</v>
      </c>
      <c r="P195" t="str">
        <f t="shared" ref="P195:P258" si="28">+CONCATENATE(F195," ",O195)</f>
        <v>2020130010164 PREVENCION, PROMOCION, VIGILANCIA Y CONTROL DE ENFERMEDADES DE TRANSMISION VECTORIAL EN EL DISTRITO DE CARTAGENA DE INDIAS</v>
      </c>
      <c r="Q195" t="str">
        <f t="shared" si="25"/>
        <v>06</v>
      </c>
      <c r="R195" t="str">
        <f t="shared" si="26"/>
        <v>00</v>
      </c>
      <c r="S195" s="1">
        <v>0</v>
      </c>
      <c r="T195" s="1">
        <v>48240299</v>
      </c>
      <c r="U195" s="1">
        <v>48240299</v>
      </c>
      <c r="V195" s="1">
        <v>48240299</v>
      </c>
      <c r="W195" s="1">
        <v>0</v>
      </c>
      <c r="X195" s="1">
        <v>48240299</v>
      </c>
      <c r="Y195" s="1">
        <v>100</v>
      </c>
      <c r="Z195" s="1">
        <v>48240299</v>
      </c>
      <c r="AA195" s="1">
        <v>100</v>
      </c>
      <c r="AB195" s="1">
        <v>0</v>
      </c>
      <c r="AC195" s="1">
        <v>48240299</v>
      </c>
    </row>
    <row r="196" spans="1:29" x14ac:dyDescent="0.3">
      <c r="A196">
        <v>2022</v>
      </c>
      <c r="B196">
        <v>100</v>
      </c>
      <c r="C196" t="str">
        <f t="shared" si="24"/>
        <v>10</v>
      </c>
      <c r="D196" t="s">
        <v>601</v>
      </c>
      <c r="E196" t="str">
        <f t="shared" si="27"/>
        <v>10 DEPARTAMENTO ADMINISTRATIVO DE SALUD</v>
      </c>
      <c r="F196" s="2">
        <v>2020130010164</v>
      </c>
      <c r="G196" s="2" t="str">
        <f>+VLOOKUP(F196,Hoja2!$F:$I,2,FALSE)</f>
        <v>08. PILAR CARTAGENA INCLUYENTE</v>
      </c>
      <c r="H196" s="2" t="str">
        <f>+VLOOKUP(F196,Hoja2!$F:$I,3,FALSE)</f>
        <v>8.3 LÍNEA ESTRATÉGICA SALUD PARA TODOS</v>
      </c>
      <c r="I196" s="2" t="str">
        <f>+VLOOKUP(F196,Hoja2!$F:$I,4,FALSE)</f>
        <v>8.3.8 VIDA SALUDABLE Y ENFERMEDADES TRANSMISIBLES</v>
      </c>
      <c r="J196" t="s">
        <v>625</v>
      </c>
      <c r="K196" t="str">
        <f>"916"</f>
        <v>916</v>
      </c>
      <c r="L196" t="s">
        <v>689</v>
      </c>
      <c r="M196" t="s">
        <v>26</v>
      </c>
      <c r="N196" t="s">
        <v>27</v>
      </c>
      <c r="O196" t="s">
        <v>676</v>
      </c>
      <c r="P196" t="str">
        <f t="shared" si="28"/>
        <v>2020130010164 PREVENCION, PROMOCION, VIGILANCIA Y CONTROL DE ENFERMEDADES DE TRANSMISION VECTORIAL EN EL DISTRITO DE CARTAGENA DE INDIAS</v>
      </c>
      <c r="Q196" t="str">
        <f t="shared" si="25"/>
        <v>06</v>
      </c>
      <c r="R196" t="str">
        <f t="shared" si="26"/>
        <v>00</v>
      </c>
      <c r="S196" s="1">
        <v>0</v>
      </c>
      <c r="T196" s="1">
        <v>765414745</v>
      </c>
      <c r="U196" s="1">
        <v>765414745</v>
      </c>
      <c r="V196" s="1">
        <v>758281412</v>
      </c>
      <c r="W196" s="1">
        <v>7133333</v>
      </c>
      <c r="X196" s="1">
        <v>671962744</v>
      </c>
      <c r="Y196" s="1">
        <v>87.79</v>
      </c>
      <c r="Z196" s="1">
        <v>379581332</v>
      </c>
      <c r="AA196" s="1">
        <v>49.59</v>
      </c>
      <c r="AB196" s="1">
        <v>93452001</v>
      </c>
      <c r="AC196" s="1">
        <v>175600000</v>
      </c>
    </row>
    <row r="197" spans="1:29" x14ac:dyDescent="0.3">
      <c r="A197">
        <v>2022</v>
      </c>
      <c r="B197">
        <v>100</v>
      </c>
      <c r="C197" t="str">
        <f>"07"</f>
        <v>07</v>
      </c>
      <c r="D197" t="s">
        <v>399</v>
      </c>
      <c r="E197" t="str">
        <f t="shared" si="27"/>
        <v>07 SECRETARIA DE EDUCACION</v>
      </c>
      <c r="F197" s="2">
        <v>2020130010165</v>
      </c>
      <c r="G197" s="2" t="str">
        <f>+VLOOKUP(F197,Hoja2!$F:$I,2,FALSE)</f>
        <v>08. PILAR CARTAGENA INCLUYENTE</v>
      </c>
      <c r="H197" s="2" t="str">
        <f>+VLOOKUP(F197,Hoja2!$F:$I,3,FALSE)</f>
        <v>8.2 LÍNEA ESTRATEGICA DE EDUCACION: CULTURA DE LA FORMACION "CON LA EDUCACION PARA TODOS Y TODAS SALVAMOS JUNTOS A CARTAGENA"</v>
      </c>
      <c r="I197" s="2" t="str">
        <f>+VLOOKUP(F197,Hoja2!$F:$I,4,FALSE)</f>
        <v>8.2.8 PROGRAMA: MOVILIZACIÓN  “POR UNA GESTIÓN EDUCATIVA TRANSPARENTE, PARTICIPATIVA Y EFICIENTE”</v>
      </c>
      <c r="J197" t="s">
        <v>400</v>
      </c>
      <c r="K197" t="str">
        <f>"001"</f>
        <v>001</v>
      </c>
      <c r="L197" t="s">
        <v>25</v>
      </c>
      <c r="M197" t="s">
        <v>26</v>
      </c>
      <c r="N197" t="s">
        <v>27</v>
      </c>
      <c r="O197" t="s">
        <v>401</v>
      </c>
      <c r="P197" t="str">
        <f t="shared" si="28"/>
        <v>2020130010165 MEJORAMIENTO DEL BIENESTAR Y PROTECCION DE LOS FUNCIONARIOS DE LA SECRETARIA DE EDUCACION DISTRITAL  PARA CONTRIBUIR A UNA MEJOR CALIDAD DE VIDA EN EL DISTRITO DE  CARTAGENA DE INDIAS</v>
      </c>
      <c r="Q197" t="str">
        <f t="shared" si="25"/>
        <v>06</v>
      </c>
      <c r="R197" t="str">
        <f t="shared" si="26"/>
        <v>00</v>
      </c>
      <c r="S197" s="1">
        <v>828000000</v>
      </c>
      <c r="T197" s="1">
        <v>490000000</v>
      </c>
      <c r="U197" s="1">
        <v>1318000000</v>
      </c>
      <c r="V197" s="1">
        <v>1314536921.9000001</v>
      </c>
      <c r="W197" s="1">
        <v>3463078.1</v>
      </c>
      <c r="X197" s="1">
        <v>905464687.20000005</v>
      </c>
      <c r="Y197" s="1">
        <v>68.7</v>
      </c>
      <c r="Z197" s="1">
        <v>492437081.35000002</v>
      </c>
      <c r="AA197" s="1">
        <v>37.36</v>
      </c>
      <c r="AB197" s="1">
        <v>412535312.80000001</v>
      </c>
      <c r="AC197" s="1">
        <v>382437082.89999998</v>
      </c>
    </row>
    <row r="198" spans="1:29" x14ac:dyDescent="0.3">
      <c r="A198">
        <v>2022</v>
      </c>
      <c r="B198">
        <v>100</v>
      </c>
      <c r="C198" t="str">
        <f>"10"</f>
        <v>10</v>
      </c>
      <c r="D198" t="s">
        <v>601</v>
      </c>
      <c r="E198" t="str">
        <f t="shared" si="27"/>
        <v>10 DEPARTAMENTO ADMINISTRATIVO DE SALUD</v>
      </c>
      <c r="F198" s="2">
        <v>2020130010166</v>
      </c>
      <c r="G198" s="2" t="str">
        <f>+VLOOKUP(F198,Hoja2!$F:$I,2,FALSE)</f>
        <v>08. PILAR CARTAGENA INCLUYENTE</v>
      </c>
      <c r="H198" s="2" t="str">
        <f>+VLOOKUP(F198,Hoja2!$F:$I,3,FALSE)</f>
        <v>8.3 LÍNEA ESTRATÉGICA SALUD PARA TODOS</v>
      </c>
      <c r="I198" s="2" t="str">
        <f>+VLOOKUP(F198,Hoja2!$F:$I,4,FALSE)</f>
        <v>8.3.5 CONVIVENCIA SOCIAL Y SALUD MENTAL</v>
      </c>
      <c r="J198" t="s">
        <v>660</v>
      </c>
      <c r="K198" t="str">
        <f>"170"</f>
        <v>170</v>
      </c>
      <c r="L198" t="s">
        <v>634</v>
      </c>
      <c r="M198" t="s">
        <v>26</v>
      </c>
      <c r="N198" t="s">
        <v>27</v>
      </c>
      <c r="O198" t="s">
        <v>661</v>
      </c>
      <c r="P198" t="str">
        <f t="shared" si="28"/>
        <v>2020130010166 PREVENCION EN SALUD MENTAL EN EL DISTRITO DE  CARTAGENA DE INDIAS</v>
      </c>
      <c r="Q198" t="str">
        <f t="shared" si="25"/>
        <v>06</v>
      </c>
      <c r="R198" t="str">
        <f t="shared" si="26"/>
        <v>00</v>
      </c>
      <c r="S198" s="1">
        <v>624000000</v>
      </c>
      <c r="T198" s="1">
        <v>0</v>
      </c>
      <c r="U198" s="1">
        <v>624000000</v>
      </c>
      <c r="V198" s="1">
        <v>616300000</v>
      </c>
      <c r="W198" s="1">
        <v>7700000</v>
      </c>
      <c r="X198" s="1">
        <v>616300000</v>
      </c>
      <c r="Y198" s="1">
        <v>98.77</v>
      </c>
      <c r="Z198" s="1">
        <v>261800000</v>
      </c>
      <c r="AA198" s="1">
        <v>41.96</v>
      </c>
      <c r="AB198" s="1">
        <v>7700000</v>
      </c>
      <c r="AC198" s="1">
        <v>261800000</v>
      </c>
    </row>
    <row r="199" spans="1:29" x14ac:dyDescent="0.3">
      <c r="A199">
        <v>2022</v>
      </c>
      <c r="B199">
        <v>100</v>
      </c>
      <c r="C199" t="str">
        <f>"10"</f>
        <v>10</v>
      </c>
      <c r="D199" t="s">
        <v>601</v>
      </c>
      <c r="E199" t="str">
        <f t="shared" si="27"/>
        <v>10 DEPARTAMENTO ADMINISTRATIVO DE SALUD</v>
      </c>
      <c r="F199" s="2">
        <v>2020130010166</v>
      </c>
      <c r="G199" s="2" t="str">
        <f>+VLOOKUP(F199,Hoja2!$F:$I,2,FALSE)</f>
        <v>08. PILAR CARTAGENA INCLUYENTE</v>
      </c>
      <c r="H199" s="2" t="str">
        <f>+VLOOKUP(F199,Hoja2!$F:$I,3,FALSE)</f>
        <v>8.3 LÍNEA ESTRATÉGICA SALUD PARA TODOS</v>
      </c>
      <c r="I199" s="2" t="str">
        <f>+VLOOKUP(F199,Hoja2!$F:$I,4,FALSE)</f>
        <v>8.3.5 CONVIVENCIA SOCIAL Y SALUD MENTAL</v>
      </c>
      <c r="J199" t="s">
        <v>660</v>
      </c>
      <c r="K199" t="str">
        <f>"894"</f>
        <v>894</v>
      </c>
      <c r="L199" t="s">
        <v>680</v>
      </c>
      <c r="M199" t="s">
        <v>26</v>
      </c>
      <c r="N199" t="s">
        <v>27</v>
      </c>
      <c r="O199" t="s">
        <v>661</v>
      </c>
      <c r="P199" t="str">
        <f t="shared" si="28"/>
        <v>2020130010166 PREVENCION EN SALUD MENTAL EN EL DISTRITO DE  CARTAGENA DE INDIAS</v>
      </c>
      <c r="Q199" t="str">
        <f t="shared" si="25"/>
        <v>06</v>
      </c>
      <c r="R199" t="str">
        <f t="shared" si="26"/>
        <v>00</v>
      </c>
      <c r="S199" s="1">
        <v>0</v>
      </c>
      <c r="T199" s="1">
        <v>15020000</v>
      </c>
      <c r="U199" s="1">
        <v>15020000</v>
      </c>
      <c r="V199" s="1">
        <v>0</v>
      </c>
      <c r="W199" s="1">
        <v>15020000</v>
      </c>
      <c r="X199" s="1">
        <v>0</v>
      </c>
      <c r="Y199" s="1">
        <v>0</v>
      </c>
      <c r="Z199" s="1">
        <v>0</v>
      </c>
      <c r="AA199" s="1">
        <v>0</v>
      </c>
      <c r="AB199" s="1">
        <v>15020000</v>
      </c>
      <c r="AC199" s="1">
        <v>0</v>
      </c>
    </row>
    <row r="200" spans="1:29" x14ac:dyDescent="0.3">
      <c r="A200">
        <v>2022</v>
      </c>
      <c r="B200">
        <v>100</v>
      </c>
      <c r="C200" t="str">
        <f>"08"</f>
        <v>08</v>
      </c>
      <c r="D200" t="s">
        <v>479</v>
      </c>
      <c r="E200" t="str">
        <f t="shared" si="27"/>
        <v>08 SECRETARIA DE PARTICIPACION Y DESARROLLO SOCIAL</v>
      </c>
      <c r="F200" s="2">
        <v>2020130010168</v>
      </c>
      <c r="G200" s="2" t="str">
        <f>+VLOOKUP(F200,Hoja2!$F:$I,2,FALSE)</f>
        <v>11. EJE TRANSVERSAL: CARTAGENA CON ATENCION Y GARANTIA DE DERECHOS A POBLACION DIFERENCIAL.</v>
      </c>
      <c r="H200" s="2" t="str">
        <f>+VLOOKUP(F200,Hoja2!$F:$I,3,FALSE)</f>
        <v>11.4 LÍNEA ESTRATÉGICA JÓVENES SALVANDO A CARTAGENA</v>
      </c>
      <c r="I200" s="2" t="str">
        <f>+VLOOKUP(F200,Hoja2!$F:$I,4,FALSE)</f>
        <v>11.4.2 PROGRAMA: POLITICA PUBLICA DE JUVENTUD</v>
      </c>
      <c r="J200" t="s">
        <v>504</v>
      </c>
      <c r="K200" t="str">
        <f>"001"</f>
        <v>001</v>
      </c>
      <c r="L200" t="s">
        <v>25</v>
      </c>
      <c r="M200" t="s">
        <v>26</v>
      </c>
      <c r="N200" t="s">
        <v>27</v>
      </c>
      <c r="O200" t="s">
        <v>505</v>
      </c>
      <c r="P200" t="str">
        <f t="shared" si="28"/>
        <v>2020130010168 FORMULACION E IMPLEMENTACION DE LA POLITICA PUBLICA DE JUVENTUD EN  CARTAGENA DE INDIAS</v>
      </c>
      <c r="Q200" t="str">
        <f t="shared" si="25"/>
        <v>06</v>
      </c>
      <c r="R200" t="str">
        <f t="shared" si="26"/>
        <v>00</v>
      </c>
      <c r="S200" s="1">
        <v>70000000</v>
      </c>
      <c r="T200" s="1">
        <v>0</v>
      </c>
      <c r="U200" s="1">
        <v>70000000</v>
      </c>
      <c r="V200" s="1">
        <v>69999557</v>
      </c>
      <c r="W200" s="1">
        <v>443</v>
      </c>
      <c r="X200" s="1">
        <v>69999440</v>
      </c>
      <c r="Y200" s="1">
        <v>100</v>
      </c>
      <c r="Z200" s="1">
        <v>0</v>
      </c>
      <c r="AA200" s="1">
        <v>0</v>
      </c>
      <c r="AB200" s="1">
        <v>560</v>
      </c>
      <c r="AC200" s="1">
        <v>0</v>
      </c>
    </row>
    <row r="201" spans="1:29" x14ac:dyDescent="0.3">
      <c r="A201">
        <v>2022</v>
      </c>
      <c r="B201">
        <v>100</v>
      </c>
      <c r="C201" t="str">
        <f>"10"</f>
        <v>10</v>
      </c>
      <c r="D201" t="s">
        <v>601</v>
      </c>
      <c r="E201" t="str">
        <f t="shared" si="27"/>
        <v>10 DEPARTAMENTO ADMINISTRATIVO DE SALUD</v>
      </c>
      <c r="F201" s="2">
        <v>2020130010169</v>
      </c>
      <c r="G201" s="2" t="str">
        <f>+VLOOKUP(F201,Hoja2!$F:$I,2,FALSE)</f>
        <v>08. PILAR CARTAGENA INCLUYENTE</v>
      </c>
      <c r="H201" s="2" t="str">
        <f>+VLOOKUP(F201,Hoja2!$F:$I,3,FALSE)</f>
        <v>8.3 LÍNEA ESTRATÉGICA SALUD PARA TODOS</v>
      </c>
      <c r="I201" s="2" t="str">
        <f>+VLOOKUP(F201,Hoja2!$F:$I,4,FALSE)</f>
        <v>8.3.3 SALUD AMBIENTAL</v>
      </c>
      <c r="J201" t="s">
        <v>662</v>
      </c>
      <c r="K201" t="str">
        <f>"170"</f>
        <v>170</v>
      </c>
      <c r="L201" t="s">
        <v>634</v>
      </c>
      <c r="M201" t="s">
        <v>26</v>
      </c>
      <c r="N201" t="s">
        <v>27</v>
      </c>
      <c r="O201" t="s">
        <v>663</v>
      </c>
      <c r="P201" t="str">
        <f t="shared" si="28"/>
        <v>2020130010169 CONTROL Y VIGILANCIA DE LA CALIDAD DEL AGUA PARA CONSUMO HUMANO Y DE DIVERSION EN EL DISTRITO DE  CARTAGENA DE INDIAS</v>
      </c>
      <c r="Q201" t="str">
        <f t="shared" si="25"/>
        <v>06</v>
      </c>
      <c r="R201" t="str">
        <f t="shared" si="26"/>
        <v>00</v>
      </c>
      <c r="S201" s="1">
        <v>225689093</v>
      </c>
      <c r="T201" s="1">
        <v>0</v>
      </c>
      <c r="U201" s="1">
        <v>225689093</v>
      </c>
      <c r="V201" s="1">
        <v>225689093</v>
      </c>
      <c r="W201" s="1">
        <v>0</v>
      </c>
      <c r="X201" s="1">
        <v>225689093</v>
      </c>
      <c r="Y201" s="1">
        <v>100</v>
      </c>
      <c r="Z201" s="1">
        <v>175400000</v>
      </c>
      <c r="AA201" s="1">
        <v>77.72</v>
      </c>
      <c r="AB201" s="1">
        <v>0</v>
      </c>
      <c r="AC201" s="1">
        <v>171600000</v>
      </c>
    </row>
    <row r="202" spans="1:29" x14ac:dyDescent="0.3">
      <c r="A202">
        <v>2022</v>
      </c>
      <c r="B202">
        <v>100</v>
      </c>
      <c r="C202" t="str">
        <f>"08"</f>
        <v>08</v>
      </c>
      <c r="D202" t="s">
        <v>479</v>
      </c>
      <c r="E202" t="str">
        <f t="shared" si="27"/>
        <v>08 SECRETARIA DE PARTICIPACION Y DESARROLLO SOCIAL</v>
      </c>
      <c r="F202" s="2">
        <v>2020130010170</v>
      </c>
      <c r="G202" s="2" t="str">
        <f>+VLOOKUP(F202,Hoja2!$F:$I,2,FALSE)</f>
        <v>11. EJE TRANSVERSAL: CARTAGENA CON ATENCION Y GARANTIA DE DERECHOS A POBLACION DIFERENCIAL.</v>
      </c>
      <c r="H202" s="2" t="str">
        <f>+VLOOKUP(F202,Hoja2!$F:$I,3,FALSE)</f>
        <v>11.4 LÍNEA ESTRATÉGICA JÓVENES SALVANDO A CARTAGENA</v>
      </c>
      <c r="I202" s="2" t="str">
        <f>+VLOOKUP(F202,Hoja2!$F:$I,4,FALSE)</f>
        <v>11.4.1 PROGRAMA: JOVENES PARTICIPANDO Y SALVANDO A CARTAGENA</v>
      </c>
      <c r="J202" t="s">
        <v>532</v>
      </c>
      <c r="K202" t="str">
        <f>"001"</f>
        <v>001</v>
      </c>
      <c r="L202" t="s">
        <v>25</v>
      </c>
      <c r="M202" t="s">
        <v>26</v>
      </c>
      <c r="N202" t="s">
        <v>27</v>
      </c>
      <c r="O202" t="s">
        <v>533</v>
      </c>
      <c r="P202" t="str">
        <f t="shared" si="28"/>
        <v>2020130010170 FORTALECIMIENTO AL PROGRAMA JOVENES PARTICIPANDO Y SALVANDO A  CARTAGENA DE INDIAS</v>
      </c>
      <c r="Q202" t="str">
        <f t="shared" si="25"/>
        <v>06</v>
      </c>
      <c r="R202" t="str">
        <f t="shared" si="26"/>
        <v>00</v>
      </c>
      <c r="S202" s="1">
        <v>200000000</v>
      </c>
      <c r="T202" s="1">
        <v>0</v>
      </c>
      <c r="U202" s="1">
        <v>200000000</v>
      </c>
      <c r="V202" s="1">
        <v>199416175</v>
      </c>
      <c r="W202" s="1">
        <v>583825</v>
      </c>
      <c r="X202" s="1">
        <v>170174188.66999999</v>
      </c>
      <c r="Y202" s="1">
        <v>85.09</v>
      </c>
      <c r="Z202" s="1">
        <v>106510133.67</v>
      </c>
      <c r="AA202" s="1">
        <v>53.26</v>
      </c>
      <c r="AB202" s="1">
        <v>29825811.329999998</v>
      </c>
      <c r="AC202" s="1">
        <v>73766666.670000002</v>
      </c>
    </row>
    <row r="203" spans="1:29" x14ac:dyDescent="0.3">
      <c r="A203">
        <v>2022</v>
      </c>
      <c r="B203">
        <v>100</v>
      </c>
      <c r="C203" t="str">
        <f>"10"</f>
        <v>10</v>
      </c>
      <c r="D203" t="s">
        <v>601</v>
      </c>
      <c r="E203" t="str">
        <f t="shared" si="27"/>
        <v>10 DEPARTAMENTO ADMINISTRATIVO DE SALUD</v>
      </c>
      <c r="F203" s="2">
        <v>2020130010173</v>
      </c>
      <c r="G203" s="2" t="str">
        <f>+VLOOKUP(F203,Hoja2!$F:$I,2,FALSE)</f>
        <v>08. PILAR CARTAGENA INCLUYENTE</v>
      </c>
      <c r="H203" s="2" t="str">
        <f>+VLOOKUP(F203,Hoja2!$F:$I,3,FALSE)</f>
        <v>8.3 LÍNEA ESTRATÉGICA SALUD PARA TODOS</v>
      </c>
      <c r="I203" s="2" t="str">
        <f>+VLOOKUP(F203,Hoja2!$F:$I,4,FALSE)</f>
        <v>8.3.8 VIDA SALUDABLE Y ENFERMEDADES TRANSMISIBLES</v>
      </c>
      <c r="J203" t="s">
        <v>664</v>
      </c>
      <c r="K203" t="str">
        <f>"170"</f>
        <v>170</v>
      </c>
      <c r="L203" t="s">
        <v>634</v>
      </c>
      <c r="M203" t="s">
        <v>26</v>
      </c>
      <c r="N203" t="s">
        <v>27</v>
      </c>
      <c r="O203" t="s">
        <v>665</v>
      </c>
      <c r="P203" t="str">
        <f t="shared" si="28"/>
        <v>2020130010173 PREVENCION , MANEJO Y CONTROL DE LA INFECCION RESPIRATORIA AGUDA EN NI?OS Y NI?AS MENORES DE CINCO A?OS EN  CARTAGENA DE INDIAS</v>
      </c>
      <c r="Q203" t="str">
        <f t="shared" si="25"/>
        <v>06</v>
      </c>
      <c r="R203" t="str">
        <f t="shared" si="26"/>
        <v>00</v>
      </c>
      <c r="S203" s="1">
        <v>292240000</v>
      </c>
      <c r="T203" s="1">
        <v>0</v>
      </c>
      <c r="U203" s="1">
        <v>292240000</v>
      </c>
      <c r="V203" s="1">
        <v>292240000</v>
      </c>
      <c r="W203" s="1">
        <v>0</v>
      </c>
      <c r="X203" s="1">
        <v>292240000</v>
      </c>
      <c r="Y203" s="1">
        <v>100</v>
      </c>
      <c r="Z203" s="1">
        <v>185200000</v>
      </c>
      <c r="AA203" s="1">
        <v>63.37</v>
      </c>
      <c r="AB203" s="1">
        <v>0</v>
      </c>
      <c r="AC203" s="1">
        <v>185200000</v>
      </c>
    </row>
    <row r="204" spans="1:29" x14ac:dyDescent="0.3">
      <c r="A204">
        <v>2022</v>
      </c>
      <c r="B204">
        <v>100</v>
      </c>
      <c r="C204" t="str">
        <f>"10"</f>
        <v>10</v>
      </c>
      <c r="D204" t="s">
        <v>601</v>
      </c>
      <c r="E204" t="str">
        <f t="shared" si="27"/>
        <v>10 DEPARTAMENTO ADMINISTRATIVO DE SALUD</v>
      </c>
      <c r="F204" s="2">
        <v>2020130010173</v>
      </c>
      <c r="G204" s="2" t="str">
        <f>+VLOOKUP(F204,Hoja2!$F:$I,2,FALSE)</f>
        <v>08. PILAR CARTAGENA INCLUYENTE</v>
      </c>
      <c r="H204" s="2" t="str">
        <f>+VLOOKUP(F204,Hoja2!$F:$I,3,FALSE)</f>
        <v>8.3 LÍNEA ESTRATÉGICA SALUD PARA TODOS</v>
      </c>
      <c r="I204" s="2" t="str">
        <f>+VLOOKUP(F204,Hoja2!$F:$I,4,FALSE)</f>
        <v>8.3.8 VIDA SALUDABLE Y ENFERMEDADES TRANSMISIBLES</v>
      </c>
      <c r="J204" t="s">
        <v>664</v>
      </c>
      <c r="K204" t="str">
        <f>"916"</f>
        <v>916</v>
      </c>
      <c r="L204" t="s">
        <v>689</v>
      </c>
      <c r="M204" t="s">
        <v>26</v>
      </c>
      <c r="N204" t="s">
        <v>27</v>
      </c>
      <c r="O204" t="s">
        <v>690</v>
      </c>
      <c r="P204" t="str">
        <f t="shared" si="28"/>
        <v>2020130010173 PREVENCION, MANEJO Y CONTROL DE LA INFECCION RESPIRATORIA AGUDA EN NI?OS Y NI?AS MENORES DE CINCO A?OS EN  CARTAGENA DE INDIAS</v>
      </c>
      <c r="Q204" t="str">
        <f t="shared" si="25"/>
        <v>06</v>
      </c>
      <c r="R204" t="str">
        <f t="shared" si="26"/>
        <v>00</v>
      </c>
      <c r="S204" s="1">
        <v>0</v>
      </c>
      <c r="T204" s="1">
        <v>185435106</v>
      </c>
      <c r="U204" s="1">
        <v>185435106</v>
      </c>
      <c r="V204" s="1">
        <v>185435106</v>
      </c>
      <c r="W204" s="1">
        <v>0</v>
      </c>
      <c r="X204" s="1">
        <v>184041772</v>
      </c>
      <c r="Y204" s="1">
        <v>99.25</v>
      </c>
      <c r="Z204" s="1">
        <v>59406666</v>
      </c>
      <c r="AA204" s="1">
        <v>32.04</v>
      </c>
      <c r="AB204" s="1">
        <v>1393334</v>
      </c>
      <c r="AC204" s="1">
        <v>41800000</v>
      </c>
    </row>
    <row r="205" spans="1:29" x14ac:dyDescent="0.3">
      <c r="A205">
        <v>2022</v>
      </c>
      <c r="B205">
        <v>100</v>
      </c>
      <c r="C205" t="str">
        <f>"10"</f>
        <v>10</v>
      </c>
      <c r="D205" t="s">
        <v>601</v>
      </c>
      <c r="E205" t="str">
        <f t="shared" si="27"/>
        <v>10 DEPARTAMENTO ADMINISTRATIVO DE SALUD</v>
      </c>
      <c r="F205" s="2">
        <v>2020130010175</v>
      </c>
      <c r="G205" s="2" t="str">
        <f>+VLOOKUP(F205,Hoja2!$F:$I,2,FALSE)</f>
        <v>08. PILAR CARTAGENA INCLUYENTE</v>
      </c>
      <c r="H205" s="2" t="str">
        <f>+VLOOKUP(F205,Hoja2!$F:$I,3,FALSE)</f>
        <v>8.3 LÍNEA ESTRATÉGICA SALUD PARA TODOS</v>
      </c>
      <c r="I205" s="2" t="str">
        <f>+VLOOKUP(F205,Hoja2!$F:$I,4,FALSE)</f>
        <v>8.3.3 SALUD AMBIENTAL</v>
      </c>
      <c r="J205" t="s">
        <v>666</v>
      </c>
      <c r="K205" t="str">
        <f>"170"</f>
        <v>170</v>
      </c>
      <c r="L205" t="s">
        <v>634</v>
      </c>
      <c r="M205" t="s">
        <v>26</v>
      </c>
      <c r="N205" t="s">
        <v>27</v>
      </c>
      <c r="O205" t="s">
        <v>667</v>
      </c>
      <c r="P205" t="str">
        <f t="shared" si="28"/>
        <v>2020130010175 SANEAMIENTO EN SEGURIDAD SANITARIA DEL AMBIENTE  CARTAGENA DE INDIAS</v>
      </c>
      <c r="Q205" t="str">
        <f t="shared" si="25"/>
        <v>06</v>
      </c>
      <c r="R205" t="str">
        <f t="shared" si="26"/>
        <v>00</v>
      </c>
      <c r="S205" s="1">
        <v>236458187</v>
      </c>
      <c r="T205" s="1">
        <v>0</v>
      </c>
      <c r="U205" s="1">
        <v>236458187</v>
      </c>
      <c r="V205" s="1">
        <v>235400000</v>
      </c>
      <c r="W205" s="1">
        <v>1058187</v>
      </c>
      <c r="X205" s="1">
        <v>233120000</v>
      </c>
      <c r="Y205" s="1">
        <v>98.59</v>
      </c>
      <c r="Z205" s="1">
        <v>149520000</v>
      </c>
      <c r="AA205" s="1">
        <v>63.23</v>
      </c>
      <c r="AB205" s="1">
        <v>3338187</v>
      </c>
      <c r="AC205" s="1">
        <v>136600000</v>
      </c>
    </row>
    <row r="206" spans="1:29" x14ac:dyDescent="0.3">
      <c r="A206">
        <v>2022</v>
      </c>
      <c r="B206">
        <v>100</v>
      </c>
      <c r="C206" t="str">
        <f>"10"</f>
        <v>10</v>
      </c>
      <c r="D206" t="s">
        <v>601</v>
      </c>
      <c r="E206" t="str">
        <f t="shared" si="27"/>
        <v>10 DEPARTAMENTO ADMINISTRATIVO DE SALUD</v>
      </c>
      <c r="F206" s="2">
        <v>2020130010177</v>
      </c>
      <c r="G206" s="2" t="str">
        <f>+VLOOKUP(F206,Hoja2!$F:$I,2,FALSE)</f>
        <v>08. PILAR CARTAGENA INCLUYENTE</v>
      </c>
      <c r="H206" s="2" t="str">
        <f>+VLOOKUP(F206,Hoja2!$F:$I,3,FALSE)</f>
        <v>8.3 LÍNEA ESTRATÉGICA SALUD PARA TODOS</v>
      </c>
      <c r="I206" s="2" t="str">
        <f>+VLOOKUP(F206,Hoja2!$F:$I,4,FALSE)</f>
        <v>8.3.2 TRANSVERSAL GESTIÓN DIFERENCIAL DE POBLACIONES VULNERABLES</v>
      </c>
      <c r="J206" t="s">
        <v>668</v>
      </c>
      <c r="K206" t="str">
        <f>"170"</f>
        <v>170</v>
      </c>
      <c r="L206" t="s">
        <v>634</v>
      </c>
      <c r="M206" t="s">
        <v>26</v>
      </c>
      <c r="N206" t="s">
        <v>27</v>
      </c>
      <c r="O206" t="s">
        <v>669</v>
      </c>
      <c r="P206" t="str">
        <f t="shared" si="28"/>
        <v>2020130010177 PREVENCION Y PROMOCION DE LA SALUD INFANTIL EN EL DISTRITO DE CARTAGENA DE INDIAS</v>
      </c>
      <c r="Q206" t="str">
        <f t="shared" si="25"/>
        <v>06</v>
      </c>
      <c r="R206" t="str">
        <f t="shared" si="26"/>
        <v>00</v>
      </c>
      <c r="S206" s="1">
        <v>315952000</v>
      </c>
      <c r="T206" s="1">
        <v>0</v>
      </c>
      <c r="U206" s="1">
        <v>315952000</v>
      </c>
      <c r="V206" s="1">
        <v>315952000</v>
      </c>
      <c r="W206" s="1">
        <v>0</v>
      </c>
      <c r="X206" s="1">
        <v>315952000</v>
      </c>
      <c r="Y206" s="1">
        <v>100</v>
      </c>
      <c r="Z206" s="1">
        <v>220800000</v>
      </c>
      <c r="AA206" s="1">
        <v>69.88</v>
      </c>
      <c r="AB206" s="1">
        <v>0</v>
      </c>
      <c r="AC206" s="1">
        <v>218400000</v>
      </c>
    </row>
    <row r="207" spans="1:29" x14ac:dyDescent="0.3">
      <c r="A207">
        <v>2022</v>
      </c>
      <c r="B207">
        <v>100</v>
      </c>
      <c r="C207" t="str">
        <f>"21"</f>
        <v>21</v>
      </c>
      <c r="D207" t="s">
        <v>893</v>
      </c>
      <c r="E207" t="str">
        <f t="shared" si="27"/>
        <v>21 ESTABLECIMIENTO PUBLICO AMBIENTAL-EPA</v>
      </c>
      <c r="F207" s="2">
        <v>2020130010179</v>
      </c>
      <c r="G207" s="2" t="str">
        <f>+VLOOKUP(F207,Hoja2!$F:$I,2,FALSE)</f>
        <v>07. PILAR CARTAGENA RESILIENTE</v>
      </c>
      <c r="H207" s="2" t="str">
        <f>+VLOOKUP(F207,Hoja2!$F:$I,3,FALSE)</f>
        <v>7.1 LÍNEA ESTRATÉGICA: “SALVEMOS JUNTOS NUESTRO PATRIMONIO NATURAL”</v>
      </c>
      <c r="I207" s="2" t="str">
        <f>+VLOOKUP(F207,Hoja2!$F:$I,4,FALSE)</f>
        <v>7.1.6 NEGOCIOS VERDES, ECONOMÍA CIRCULAR, PRODUCCIÓN Y CONSUMO SOSTENIBLE (NEGOCIOS VERDES INCLUSIVOS)</v>
      </c>
      <c r="J207" t="s">
        <v>910</v>
      </c>
      <c r="K207" t="str">
        <f>"001"</f>
        <v>001</v>
      </c>
      <c r="L207" t="s">
        <v>25</v>
      </c>
      <c r="M207" t="s">
        <v>26</v>
      </c>
      <c r="N207" t="s">
        <v>27</v>
      </c>
      <c r="O207" t="s">
        <v>911</v>
      </c>
      <c r="P207" t="str">
        <f t="shared" si="28"/>
        <v>2020130010179 GENERACION DE NEGOCIOS VERDES, ECONOMIA CIRCULAR, PRODUCCION Y CONSUMO SOSTENIBLE, NEGOCIOS VERDES INCLUSIVOS EN LA CIUDAD DE   CARTAGENA DE INDIAS</v>
      </c>
      <c r="Q207" t="str">
        <f t="shared" si="25"/>
        <v>06</v>
      </c>
      <c r="R207" t="str">
        <f t="shared" si="26"/>
        <v>00</v>
      </c>
      <c r="S207" s="1">
        <v>150000000</v>
      </c>
      <c r="T207" s="1">
        <v>0</v>
      </c>
      <c r="U207" s="1">
        <v>150000000</v>
      </c>
      <c r="V207" s="1">
        <v>150000000</v>
      </c>
      <c r="W207" s="1">
        <v>0</v>
      </c>
      <c r="X207" s="1">
        <v>150000000</v>
      </c>
      <c r="Y207" s="1">
        <v>100</v>
      </c>
      <c r="Z207" s="1">
        <v>150000000</v>
      </c>
      <c r="AA207" s="1">
        <v>100</v>
      </c>
      <c r="AB207" s="1">
        <v>0</v>
      </c>
      <c r="AC207" s="1">
        <v>150000000</v>
      </c>
    </row>
    <row r="208" spans="1:29" x14ac:dyDescent="0.3">
      <c r="A208">
        <v>2022</v>
      </c>
      <c r="B208">
        <v>100</v>
      </c>
      <c r="C208" t="str">
        <f>"21"</f>
        <v>21</v>
      </c>
      <c r="D208" t="s">
        <v>893</v>
      </c>
      <c r="E208" t="str">
        <f t="shared" si="27"/>
        <v>21 ESTABLECIMIENTO PUBLICO AMBIENTAL-EPA</v>
      </c>
      <c r="F208" s="2">
        <v>2020130010183</v>
      </c>
      <c r="G208" s="2" t="str">
        <f>+VLOOKUP(F208,Hoja2!$F:$I,2,FALSE)</f>
        <v>07. PILAR CARTAGENA RESILIENTE</v>
      </c>
      <c r="H208" s="2" t="str">
        <f>+VLOOKUP(F208,Hoja2!$F:$I,3,FALSE)</f>
        <v>7.1 LÍNEA ESTRATÉGICA: “SALVEMOS JUNTOS NUESTRO PATRIMONIO NATURAL”</v>
      </c>
      <c r="I208" s="2" t="str">
        <f>+VLOOKUP(F208,Hoja2!$F:$I,4,FALSE)</f>
        <v>7.1.3 ASEGURAMIENTO, MONITOREO, CONTROL Y VIGILANCIA AMBIENTAL (SISTEMA INTEGRADO DE MONITOREO AMBIENTAL)</v>
      </c>
      <c r="J208" t="s">
        <v>894</v>
      </c>
      <c r="K208" t="str">
        <f>"935"</f>
        <v>935</v>
      </c>
      <c r="L208" t="s">
        <v>895</v>
      </c>
      <c r="M208" t="s">
        <v>26</v>
      </c>
      <c r="N208" t="s">
        <v>27</v>
      </c>
      <c r="O208" t="s">
        <v>896</v>
      </c>
      <c r="P208" t="str">
        <f t="shared" si="28"/>
        <v>2020130010183 IMPLEMENTACION DEL SISTEMA DE MONITOREO INTELIGENTE AMBIENTAL CARTAGENA DE INDIAS</v>
      </c>
      <c r="Q208" t="str">
        <f t="shared" si="25"/>
        <v>06</v>
      </c>
      <c r="R208" t="str">
        <f t="shared" si="26"/>
        <v>00</v>
      </c>
      <c r="S208" s="1">
        <v>0</v>
      </c>
      <c r="T208" s="1">
        <v>455945541</v>
      </c>
      <c r="U208" s="1">
        <v>455945541</v>
      </c>
      <c r="V208" s="1">
        <v>0</v>
      </c>
      <c r="W208" s="1">
        <v>455945541</v>
      </c>
      <c r="X208" s="1">
        <v>0</v>
      </c>
      <c r="Y208" s="1">
        <v>0</v>
      </c>
      <c r="Z208" s="1">
        <v>0</v>
      </c>
      <c r="AA208" s="1">
        <v>0</v>
      </c>
      <c r="AB208" s="1">
        <v>455945541</v>
      </c>
      <c r="AC208" s="1">
        <v>0</v>
      </c>
    </row>
    <row r="209" spans="1:29" x14ac:dyDescent="0.3">
      <c r="A209">
        <v>2022</v>
      </c>
      <c r="B209">
        <v>100</v>
      </c>
      <c r="C209" t="str">
        <f>"21"</f>
        <v>21</v>
      </c>
      <c r="D209" t="s">
        <v>893</v>
      </c>
      <c r="E209" t="str">
        <f t="shared" si="27"/>
        <v>21 ESTABLECIMIENTO PUBLICO AMBIENTAL-EPA</v>
      </c>
      <c r="F209" s="2">
        <v>2020130010183</v>
      </c>
      <c r="G209" s="2" t="str">
        <f>+VLOOKUP(F209,Hoja2!$F:$I,2,FALSE)</f>
        <v>07. PILAR CARTAGENA RESILIENTE</v>
      </c>
      <c r="H209" s="2" t="str">
        <f>+VLOOKUP(F209,Hoja2!$F:$I,3,FALSE)</f>
        <v>7.1 LÍNEA ESTRATÉGICA: “SALVEMOS JUNTOS NUESTRO PATRIMONIO NATURAL”</v>
      </c>
      <c r="I209" s="2" t="str">
        <f>+VLOOKUP(F209,Hoja2!$F:$I,4,FALSE)</f>
        <v>7.1.3 ASEGURAMIENTO, MONITOREO, CONTROL Y VIGILANCIA AMBIENTAL (SISTEMA INTEGRADO DE MONITOREO AMBIENTAL)</v>
      </c>
      <c r="J209" t="s">
        <v>894</v>
      </c>
      <c r="K209" t="str">
        <f>"937"</f>
        <v>937</v>
      </c>
      <c r="L209" t="s">
        <v>906</v>
      </c>
      <c r="M209" t="s">
        <v>26</v>
      </c>
      <c r="N209" t="s">
        <v>27</v>
      </c>
      <c r="O209" t="s">
        <v>896</v>
      </c>
      <c r="P209" t="str">
        <f t="shared" si="28"/>
        <v>2020130010183 IMPLEMENTACION DEL SISTEMA DE MONITOREO INTELIGENTE AMBIENTAL CARTAGENA DE INDIAS</v>
      </c>
      <c r="Q209" t="str">
        <f t="shared" si="25"/>
        <v>06</v>
      </c>
      <c r="R209" t="str">
        <f t="shared" si="26"/>
        <v>00</v>
      </c>
      <c r="S209" s="1">
        <v>0</v>
      </c>
      <c r="T209" s="1">
        <v>144054458.88999999</v>
      </c>
      <c r="U209" s="1">
        <v>144054458.88999999</v>
      </c>
      <c r="V209" s="1">
        <v>0</v>
      </c>
      <c r="W209" s="1">
        <v>144054458.88999999</v>
      </c>
      <c r="X209" s="1">
        <v>0</v>
      </c>
      <c r="Y209" s="1">
        <v>0</v>
      </c>
      <c r="Z209" s="1">
        <v>0</v>
      </c>
      <c r="AA209" s="1">
        <v>0</v>
      </c>
      <c r="AB209" s="1">
        <v>144054458.88999999</v>
      </c>
      <c r="AC209" s="1">
        <v>0</v>
      </c>
    </row>
    <row r="210" spans="1:29" x14ac:dyDescent="0.3">
      <c r="A210">
        <v>2022</v>
      </c>
      <c r="B210">
        <v>100</v>
      </c>
      <c r="C210" t="str">
        <f>"21"</f>
        <v>21</v>
      </c>
      <c r="D210" t="s">
        <v>893</v>
      </c>
      <c r="E210" t="str">
        <f t="shared" si="27"/>
        <v>21 ESTABLECIMIENTO PUBLICO AMBIENTAL-EPA</v>
      </c>
      <c r="F210" s="2">
        <v>2020130010183</v>
      </c>
      <c r="G210" s="2" t="str">
        <f>+VLOOKUP(F210,Hoja2!$F:$I,2,FALSE)</f>
        <v>07. PILAR CARTAGENA RESILIENTE</v>
      </c>
      <c r="H210" s="2" t="str">
        <f>+VLOOKUP(F210,Hoja2!$F:$I,3,FALSE)</f>
        <v>7.1 LÍNEA ESTRATÉGICA: “SALVEMOS JUNTOS NUESTRO PATRIMONIO NATURAL”</v>
      </c>
      <c r="I210" s="2" t="str">
        <f>+VLOOKUP(F210,Hoja2!$F:$I,4,FALSE)</f>
        <v>7.1.3 ASEGURAMIENTO, MONITOREO, CONTROL Y VIGILANCIA AMBIENTAL (SISTEMA INTEGRADO DE MONITOREO AMBIENTAL)</v>
      </c>
      <c r="J210" t="s">
        <v>894</v>
      </c>
      <c r="K210" t="str">
        <f>"001"</f>
        <v>001</v>
      </c>
      <c r="L210" t="s">
        <v>25</v>
      </c>
      <c r="M210" t="s">
        <v>26</v>
      </c>
      <c r="N210" t="s">
        <v>27</v>
      </c>
      <c r="O210" t="s">
        <v>921</v>
      </c>
      <c r="P210" t="str">
        <f t="shared" si="28"/>
        <v>2020130010183 IMPLEMENTACION DEL SISTEMA DE MONITOREO INTELIGENTE AMBIENTAL   CARTAGENA DE INDIAS</v>
      </c>
      <c r="Q210" t="str">
        <f t="shared" si="25"/>
        <v>06</v>
      </c>
      <c r="R210" t="str">
        <f t="shared" si="26"/>
        <v>00</v>
      </c>
      <c r="S210" s="1">
        <v>300000000</v>
      </c>
      <c r="T210" s="1">
        <v>0</v>
      </c>
      <c r="U210" s="1">
        <v>300000000</v>
      </c>
      <c r="V210" s="1">
        <v>300000000</v>
      </c>
      <c r="W210" s="1">
        <v>0</v>
      </c>
      <c r="X210" s="1">
        <v>300000000</v>
      </c>
      <c r="Y210" s="1">
        <v>100</v>
      </c>
      <c r="Z210" s="1">
        <v>300000000</v>
      </c>
      <c r="AA210" s="1">
        <v>100</v>
      </c>
      <c r="AB210" s="1">
        <v>0</v>
      </c>
      <c r="AC210" s="1">
        <v>150000000</v>
      </c>
    </row>
    <row r="211" spans="1:29" x14ac:dyDescent="0.3">
      <c r="A211">
        <v>2022</v>
      </c>
      <c r="B211">
        <v>100</v>
      </c>
      <c r="C211" t="str">
        <f>"21"</f>
        <v>21</v>
      </c>
      <c r="D211" t="s">
        <v>893</v>
      </c>
      <c r="E211" t="str">
        <f t="shared" si="27"/>
        <v>21 ESTABLECIMIENTO PUBLICO AMBIENTAL-EPA</v>
      </c>
      <c r="F211" s="2">
        <v>2020130010183</v>
      </c>
      <c r="G211" s="2" t="str">
        <f>+VLOOKUP(F211,Hoja2!$F:$I,2,FALSE)</f>
        <v>07. PILAR CARTAGENA RESILIENTE</v>
      </c>
      <c r="H211" s="2" t="str">
        <f>+VLOOKUP(F211,Hoja2!$F:$I,3,FALSE)</f>
        <v>7.1 LÍNEA ESTRATÉGICA: “SALVEMOS JUNTOS NUESTRO PATRIMONIO NATURAL”</v>
      </c>
      <c r="I211" s="2" t="str">
        <f>+VLOOKUP(F211,Hoja2!$F:$I,4,FALSE)</f>
        <v>7.1.3 ASEGURAMIENTO, MONITOREO, CONTROL Y VIGILANCIA AMBIENTAL (SISTEMA INTEGRADO DE MONITOREO AMBIENTAL)</v>
      </c>
      <c r="J211" t="s">
        <v>894</v>
      </c>
      <c r="K211" t="str">
        <f>"031"</f>
        <v>031</v>
      </c>
      <c r="L211" t="s">
        <v>924</v>
      </c>
      <c r="M211" t="s">
        <v>26</v>
      </c>
      <c r="N211" t="s">
        <v>27</v>
      </c>
      <c r="O211" t="s">
        <v>921</v>
      </c>
      <c r="P211" t="str">
        <f t="shared" si="28"/>
        <v>2020130010183 IMPLEMENTACION DEL SISTEMA DE MONITOREO INTELIGENTE AMBIENTAL   CARTAGENA DE INDIAS</v>
      </c>
      <c r="Q211" t="str">
        <f t="shared" si="25"/>
        <v>06</v>
      </c>
      <c r="R211" t="str">
        <f t="shared" si="26"/>
        <v>00</v>
      </c>
      <c r="S211" s="1">
        <v>900000000</v>
      </c>
      <c r="T211" s="1">
        <v>0</v>
      </c>
      <c r="U211" s="1">
        <v>900000000</v>
      </c>
      <c r="V211" s="1">
        <v>0</v>
      </c>
      <c r="W211" s="1">
        <v>900000000</v>
      </c>
      <c r="X211" s="1">
        <v>0</v>
      </c>
      <c r="Y211" s="1">
        <v>0</v>
      </c>
      <c r="Z211" s="1">
        <v>0</v>
      </c>
      <c r="AA211" s="1">
        <v>0</v>
      </c>
      <c r="AB211" s="1">
        <v>900000000</v>
      </c>
      <c r="AC211" s="1">
        <v>0</v>
      </c>
    </row>
    <row r="212" spans="1:29" x14ac:dyDescent="0.3">
      <c r="A212">
        <v>2022</v>
      </c>
      <c r="B212">
        <v>100</v>
      </c>
      <c r="C212" t="str">
        <f>"07"</f>
        <v>07</v>
      </c>
      <c r="D212" t="s">
        <v>399</v>
      </c>
      <c r="E212" t="str">
        <f t="shared" si="27"/>
        <v>07 SECRETARIA DE EDUCACION</v>
      </c>
      <c r="F212" s="2">
        <v>2020130010185</v>
      </c>
      <c r="G212" s="2" t="str">
        <f>+VLOOKUP(F212,Hoja2!$F:$I,2,FALSE)</f>
        <v>08. PILAR CARTAGENA INCLUYENTE</v>
      </c>
      <c r="H212" s="2" t="str">
        <f>+VLOOKUP(F212,Hoja2!$F:$I,3,FALSE)</f>
        <v>8.2 LÍNEA ESTRATEGICA DE EDUCACION: CULTURA DE LA FORMACION "CON LA EDUCACION PARA TODOS Y TODAS SALVAMOS JUNTOS A CARTAGENA"</v>
      </c>
      <c r="I212" s="2" t="str">
        <f>+VLOOKUP(F212,Hoja2!$F:$I,4,FALSE)</f>
        <v>8.2.4 DESARROLLO DE POTENCIALIDADES</v>
      </c>
      <c r="J212" t="s">
        <v>422</v>
      </c>
      <c r="K212" t="str">
        <f>"171"</f>
        <v>171</v>
      </c>
      <c r="L212" t="s">
        <v>423</v>
      </c>
      <c r="M212" t="s">
        <v>26</v>
      </c>
      <c r="N212" t="s">
        <v>27</v>
      </c>
      <c r="O212" t="s">
        <v>424</v>
      </c>
      <c r="P212" t="str">
        <f t="shared" si="28"/>
        <v>2020130010185 FORTALECIMIENTO DE LA GESTION ESCOLAR PARA EL MEJORAMIENTO DE LA CALIDAD EDUCATIVA   CARTAGENA DE INDIAS</v>
      </c>
      <c r="Q212" t="str">
        <f t="shared" si="25"/>
        <v>06</v>
      </c>
      <c r="R212" t="str">
        <f t="shared" si="26"/>
        <v>00</v>
      </c>
      <c r="S212" s="1">
        <v>662785746</v>
      </c>
      <c r="T212" s="1">
        <v>-161686032</v>
      </c>
      <c r="U212" s="1">
        <v>501099714</v>
      </c>
      <c r="V212" s="1">
        <v>501097702</v>
      </c>
      <c r="W212" s="1">
        <v>2012</v>
      </c>
      <c r="X212" s="1">
        <v>296912000</v>
      </c>
      <c r="Y212" s="1">
        <v>59.25</v>
      </c>
      <c r="Z212" s="1">
        <v>296912000</v>
      </c>
      <c r="AA212" s="1">
        <v>59.25</v>
      </c>
      <c r="AB212" s="1">
        <v>204187714</v>
      </c>
      <c r="AC212" s="1">
        <v>256424000</v>
      </c>
    </row>
    <row r="213" spans="1:29" x14ac:dyDescent="0.3">
      <c r="A213">
        <v>2022</v>
      </c>
      <c r="B213">
        <v>100</v>
      </c>
      <c r="C213" t="str">
        <f>"07"</f>
        <v>07</v>
      </c>
      <c r="D213" t="s">
        <v>399</v>
      </c>
      <c r="E213" t="str">
        <f t="shared" si="27"/>
        <v>07 SECRETARIA DE EDUCACION</v>
      </c>
      <c r="F213" s="2">
        <v>2020130010185</v>
      </c>
      <c r="G213" s="2" t="str">
        <f>+VLOOKUP(F213,Hoja2!$F:$I,2,FALSE)</f>
        <v>08. PILAR CARTAGENA INCLUYENTE</v>
      </c>
      <c r="H213" s="2" t="str">
        <f>+VLOOKUP(F213,Hoja2!$F:$I,3,FALSE)</f>
        <v>8.2 LÍNEA ESTRATEGICA DE EDUCACION: CULTURA DE LA FORMACION "CON LA EDUCACION PARA TODOS Y TODAS SALVAMOS JUNTOS A CARTAGENA"</v>
      </c>
      <c r="I213" s="2" t="str">
        <f>+VLOOKUP(F213,Hoja2!$F:$I,4,FALSE)</f>
        <v>8.2.4 DESARROLLO DE POTENCIALIDADES</v>
      </c>
      <c r="J213" t="s">
        <v>422</v>
      </c>
      <c r="K213" t="str">
        <f>"001"</f>
        <v>001</v>
      </c>
      <c r="L213" t="s">
        <v>25</v>
      </c>
      <c r="M213" t="s">
        <v>26</v>
      </c>
      <c r="N213" t="s">
        <v>27</v>
      </c>
      <c r="O213" t="s">
        <v>424</v>
      </c>
      <c r="P213" t="str">
        <f t="shared" si="28"/>
        <v>2020130010185 FORTALECIMIENTO DE LA GESTION ESCOLAR PARA EL MEJORAMIENTO DE LA CALIDAD EDUCATIVA   CARTAGENA DE INDIAS</v>
      </c>
      <c r="Q213" t="str">
        <f t="shared" si="25"/>
        <v>06</v>
      </c>
      <c r="R213" t="str">
        <f t="shared" si="26"/>
        <v>00</v>
      </c>
      <c r="S213" s="1">
        <v>88000000</v>
      </c>
      <c r="T213" s="1">
        <v>0</v>
      </c>
      <c r="U213" s="1">
        <v>88000000</v>
      </c>
      <c r="V213" s="1">
        <v>88000000</v>
      </c>
      <c r="W213" s="1">
        <v>0</v>
      </c>
      <c r="X213" s="1">
        <v>88000000</v>
      </c>
      <c r="Y213" s="1">
        <v>100</v>
      </c>
      <c r="Z213" s="1">
        <v>88000000</v>
      </c>
      <c r="AA213" s="1">
        <v>100</v>
      </c>
      <c r="AB213" s="1">
        <v>0</v>
      </c>
      <c r="AC213" s="1">
        <v>84000000</v>
      </c>
    </row>
    <row r="214" spans="1:29" x14ac:dyDescent="0.3">
      <c r="A214">
        <v>2022</v>
      </c>
      <c r="B214">
        <v>100</v>
      </c>
      <c r="C214" t="str">
        <f>"07"</f>
        <v>07</v>
      </c>
      <c r="D214" t="s">
        <v>399</v>
      </c>
      <c r="E214" t="str">
        <f t="shared" si="27"/>
        <v>07 SECRETARIA DE EDUCACION</v>
      </c>
      <c r="F214" s="2">
        <v>2020130010186</v>
      </c>
      <c r="G214" s="2" t="str">
        <f>+VLOOKUP(F214,Hoja2!$F:$I,2,FALSE)</f>
        <v>08. PILAR CARTAGENA INCLUYENTE</v>
      </c>
      <c r="H214" s="2" t="str">
        <f>+VLOOKUP(F214,Hoja2!$F:$I,3,FALSE)</f>
        <v>8.2 LÍNEA ESTRATEGICA DE EDUCACION: CULTURA DE LA FORMACION "CON LA EDUCACION PARA TODOS Y TODAS SALVAMOS JUNTOS A CARTAGENA"</v>
      </c>
      <c r="I214" s="2" t="str">
        <f>+VLOOKUP(F214,Hoja2!$F:$I,4,FALSE)</f>
        <v>8.2.3 PROGRAMA: FORMANDO CON AMOR “GENIO SINGULAR”</v>
      </c>
      <c r="J214" t="s">
        <v>425</v>
      </c>
      <c r="K214" t="str">
        <f>"171"</f>
        <v>171</v>
      </c>
      <c r="L214" t="s">
        <v>423</v>
      </c>
      <c r="M214" t="s">
        <v>26</v>
      </c>
      <c r="N214" t="s">
        <v>27</v>
      </c>
      <c r="O214" t="s">
        <v>426</v>
      </c>
      <c r="P214" t="str">
        <f t="shared" si="28"/>
        <v>2020130010186 MEJORAMIENTO DE LA CALIDAD EDUCATIVA DE LAS INSTITUCIONES EDUCATIVAS DEL DISTRITO: FORMANDO CON AMOR  CARTAGENA DE INDIAS</v>
      </c>
      <c r="Q214" t="str">
        <f t="shared" si="25"/>
        <v>06</v>
      </c>
      <c r="R214" t="str">
        <f t="shared" si="26"/>
        <v>00</v>
      </c>
      <c r="S214" s="1">
        <v>601450000</v>
      </c>
      <c r="T214" s="1">
        <v>-501450000</v>
      </c>
      <c r="U214" s="1">
        <v>100000000</v>
      </c>
      <c r="V214" s="1">
        <v>99029020</v>
      </c>
      <c r="W214" s="1">
        <v>970980</v>
      </c>
      <c r="X214" s="1">
        <v>52280400</v>
      </c>
      <c r="Y214" s="1">
        <v>52.28</v>
      </c>
      <c r="Z214" s="1">
        <v>52280400</v>
      </c>
      <c r="AA214" s="1">
        <v>52.28</v>
      </c>
      <c r="AB214" s="1">
        <v>47719600</v>
      </c>
      <c r="AC214" s="1">
        <v>20000000</v>
      </c>
    </row>
    <row r="215" spans="1:29" x14ac:dyDescent="0.3">
      <c r="A215">
        <v>2022</v>
      </c>
      <c r="B215">
        <v>100</v>
      </c>
      <c r="C215" t="str">
        <f>"07"</f>
        <v>07</v>
      </c>
      <c r="D215" t="s">
        <v>399</v>
      </c>
      <c r="E215" t="str">
        <f t="shared" si="27"/>
        <v>07 SECRETARIA DE EDUCACION</v>
      </c>
      <c r="F215" s="2">
        <v>2020130010186</v>
      </c>
      <c r="G215" s="2" t="str">
        <f>+VLOOKUP(F215,Hoja2!$F:$I,2,FALSE)</f>
        <v>08. PILAR CARTAGENA INCLUYENTE</v>
      </c>
      <c r="H215" s="2" t="str">
        <f>+VLOOKUP(F215,Hoja2!$F:$I,3,FALSE)</f>
        <v>8.2 LÍNEA ESTRATEGICA DE EDUCACION: CULTURA DE LA FORMACION "CON LA EDUCACION PARA TODOS Y TODAS SALVAMOS JUNTOS A CARTAGENA"</v>
      </c>
      <c r="I215" s="2" t="str">
        <f>+VLOOKUP(F215,Hoja2!$F:$I,4,FALSE)</f>
        <v>8.2.3 PROGRAMA: FORMANDO CON AMOR “GENIO SINGULAR”</v>
      </c>
      <c r="J215" t="s">
        <v>425</v>
      </c>
      <c r="K215" t="str">
        <f>"901"</f>
        <v>901</v>
      </c>
      <c r="L215" t="s">
        <v>435</v>
      </c>
      <c r="M215" t="s">
        <v>26</v>
      </c>
      <c r="N215" t="s">
        <v>27</v>
      </c>
      <c r="O215" t="s">
        <v>426</v>
      </c>
      <c r="P215" t="str">
        <f t="shared" si="28"/>
        <v>2020130010186 MEJORAMIENTO DE LA CALIDAD EDUCATIVA DE LAS INSTITUCIONES EDUCATIVAS DEL DISTRITO: FORMANDO CON AMOR  CARTAGENA DE INDIAS</v>
      </c>
      <c r="Q215" t="str">
        <f t="shared" si="25"/>
        <v>06</v>
      </c>
      <c r="R215" t="str">
        <f t="shared" si="26"/>
        <v>00</v>
      </c>
      <c r="S215" s="1">
        <v>0</v>
      </c>
      <c r="T215" s="1">
        <v>55000.12</v>
      </c>
      <c r="U215" s="1">
        <v>55000.12</v>
      </c>
      <c r="V215" s="1">
        <v>55000</v>
      </c>
      <c r="W215" s="1">
        <v>0.12</v>
      </c>
      <c r="X215" s="1">
        <v>55000</v>
      </c>
      <c r="Y215" s="1">
        <v>100</v>
      </c>
      <c r="Z215" s="1">
        <v>55000</v>
      </c>
      <c r="AA215" s="1">
        <v>100</v>
      </c>
      <c r="AB215" s="1">
        <v>0.12</v>
      </c>
      <c r="AC215" s="1">
        <v>0</v>
      </c>
    </row>
    <row r="216" spans="1:29" x14ac:dyDescent="0.3">
      <c r="A216">
        <v>2022</v>
      </c>
      <c r="B216">
        <v>100</v>
      </c>
      <c r="C216" t="str">
        <f>"07"</f>
        <v>07</v>
      </c>
      <c r="D216" t="s">
        <v>399</v>
      </c>
      <c r="E216" t="str">
        <f t="shared" si="27"/>
        <v>07 SECRETARIA DE EDUCACION</v>
      </c>
      <c r="F216" s="2">
        <v>2020130010186</v>
      </c>
      <c r="G216" s="2" t="str">
        <f>+VLOOKUP(F216,Hoja2!$F:$I,2,FALSE)</f>
        <v>08. PILAR CARTAGENA INCLUYENTE</v>
      </c>
      <c r="H216" s="2" t="str">
        <f>+VLOOKUP(F216,Hoja2!$F:$I,3,FALSE)</f>
        <v>8.2 LÍNEA ESTRATEGICA DE EDUCACION: CULTURA DE LA FORMACION "CON LA EDUCACION PARA TODOS Y TODAS SALVAMOS JUNTOS A CARTAGENA"</v>
      </c>
      <c r="I216" s="2" t="str">
        <f>+VLOOKUP(F216,Hoja2!$F:$I,4,FALSE)</f>
        <v>8.2.3 PROGRAMA: FORMANDO CON AMOR “GENIO SINGULAR”</v>
      </c>
      <c r="J216" t="s">
        <v>425</v>
      </c>
      <c r="K216" t="str">
        <f>"001"</f>
        <v>001</v>
      </c>
      <c r="L216" t="s">
        <v>25</v>
      </c>
      <c r="M216" t="s">
        <v>26</v>
      </c>
      <c r="N216" t="s">
        <v>27</v>
      </c>
      <c r="O216" t="s">
        <v>426</v>
      </c>
      <c r="P216" t="str">
        <f t="shared" si="28"/>
        <v>2020130010186 MEJORAMIENTO DE LA CALIDAD EDUCATIVA DE LAS INSTITUCIONES EDUCATIVAS DEL DISTRITO: FORMANDO CON AMOR  CARTAGENA DE INDIAS</v>
      </c>
      <c r="Q216" t="str">
        <f t="shared" si="25"/>
        <v>06</v>
      </c>
      <c r="R216" t="str">
        <f t="shared" si="26"/>
        <v>00</v>
      </c>
      <c r="S216" s="1">
        <v>729426000</v>
      </c>
      <c r="T216" s="1">
        <v>100000000</v>
      </c>
      <c r="U216" s="1">
        <v>829426000</v>
      </c>
      <c r="V216" s="1">
        <v>829077800</v>
      </c>
      <c r="W216" s="1">
        <v>348200</v>
      </c>
      <c r="X216" s="1">
        <v>773727292</v>
      </c>
      <c r="Y216" s="1">
        <v>93.28</v>
      </c>
      <c r="Z216" s="1">
        <v>773727292</v>
      </c>
      <c r="AA216" s="1">
        <v>93.28</v>
      </c>
      <c r="AB216" s="1">
        <v>55698708</v>
      </c>
      <c r="AC216" s="1">
        <v>766062692</v>
      </c>
    </row>
    <row r="217" spans="1:29" x14ac:dyDescent="0.3">
      <c r="A217">
        <v>2022</v>
      </c>
      <c r="B217">
        <v>100</v>
      </c>
      <c r="C217" t="str">
        <f>"02"</f>
        <v>02</v>
      </c>
      <c r="D217" t="s">
        <v>106</v>
      </c>
      <c r="E217" t="str">
        <f t="shared" si="27"/>
        <v>02 SECRETARIA DEL INTERIOR Y CONVIVENCIA CIUDADANAL</v>
      </c>
      <c r="F217" s="2">
        <v>2020130010187</v>
      </c>
      <c r="G217" s="2" t="str">
        <f>+VLOOKUP(F217,Hoja2!$F:$I,2,FALSE)</f>
        <v>10. PILAR: CARTAGENA TRANSPARENTE</v>
      </c>
      <c r="H217" s="2" t="str">
        <f>+VLOOKUP(F217,Hoja2!$F:$I,3,FALSE)</f>
        <v>10.5 LÍNEA ESTRATÉGICA: ATENCIÓN Y REPARACIÓN A VICTIMAS PARA LA CONSTRUCCIÓN DE LA PAZ TERRITORIAL</v>
      </c>
      <c r="I217" s="2" t="str">
        <f>+VLOOKUP(F217,Hoja2!$F:$I,4,FALSE)</f>
        <v>10.5.2 PROGRAMA: CONSTRUCCIÓN DE PAZ TERRITORIAL</v>
      </c>
      <c r="J217" t="s">
        <v>109</v>
      </c>
      <c r="K217" t="str">
        <f>"001"</f>
        <v>001</v>
      </c>
      <c r="L217" t="s">
        <v>25</v>
      </c>
      <c r="M217" t="s">
        <v>26</v>
      </c>
      <c r="N217" t="s">
        <v>27</v>
      </c>
      <c r="O217" t="s">
        <v>110</v>
      </c>
      <c r="P217" t="str">
        <f t="shared" si="28"/>
        <v>2020130010187 CONSTRUCCION DE PAZ TERRITORIAL EN EL DISTRITO DE   CARTAGENA DE INDIAS</v>
      </c>
      <c r="Q217" t="str">
        <f t="shared" si="25"/>
        <v>06</v>
      </c>
      <c r="R217" t="str">
        <f t="shared" si="26"/>
        <v>00</v>
      </c>
      <c r="S217" s="1">
        <v>95718309</v>
      </c>
      <c r="T217" s="1">
        <v>0</v>
      </c>
      <c r="U217" s="1">
        <v>95718309</v>
      </c>
      <c r="V217" s="1">
        <v>95718304</v>
      </c>
      <c r="W217" s="1">
        <v>5</v>
      </c>
      <c r="X217" s="1">
        <v>91300000</v>
      </c>
      <c r="Y217" s="1">
        <v>95.38</v>
      </c>
      <c r="Z217" s="1">
        <v>91300000</v>
      </c>
      <c r="AA217" s="1">
        <v>95.38</v>
      </c>
      <c r="AB217" s="1">
        <v>4418309</v>
      </c>
      <c r="AC217" s="1">
        <v>77800000</v>
      </c>
    </row>
    <row r="218" spans="1:29" x14ac:dyDescent="0.3">
      <c r="A218">
        <v>2022</v>
      </c>
      <c r="B218">
        <v>100</v>
      </c>
      <c r="C218" t="str">
        <f>"02"</f>
        <v>02</v>
      </c>
      <c r="D218" t="s">
        <v>106</v>
      </c>
      <c r="E218" t="str">
        <f t="shared" si="27"/>
        <v>02 SECRETARIA DEL INTERIOR Y CONVIVENCIA CIUDADANAL</v>
      </c>
      <c r="F218" s="2">
        <v>2020130010187</v>
      </c>
      <c r="G218" s="2" t="str">
        <f>+VLOOKUP(F218,Hoja2!$F:$I,2,FALSE)</f>
        <v>10. PILAR: CARTAGENA TRANSPARENTE</v>
      </c>
      <c r="H218" s="2" t="str">
        <f>+VLOOKUP(F218,Hoja2!$F:$I,3,FALSE)</f>
        <v>10.5 LÍNEA ESTRATÉGICA: ATENCIÓN Y REPARACIÓN A VICTIMAS PARA LA CONSTRUCCIÓN DE LA PAZ TERRITORIAL</v>
      </c>
      <c r="I218" s="2" t="str">
        <f>+VLOOKUP(F218,Hoja2!$F:$I,4,FALSE)</f>
        <v>10.5.2 PROGRAMA: CONSTRUCCIÓN DE PAZ TERRITORIAL</v>
      </c>
      <c r="J218" t="s">
        <v>109</v>
      </c>
      <c r="K218" t="str">
        <f>"869"</f>
        <v>869</v>
      </c>
      <c r="L218" t="s">
        <v>55</v>
      </c>
      <c r="M218" t="s">
        <v>26</v>
      </c>
      <c r="N218" t="s">
        <v>27</v>
      </c>
      <c r="O218" t="s">
        <v>110</v>
      </c>
      <c r="P218" t="str">
        <f t="shared" si="28"/>
        <v>2020130010187 CONSTRUCCION DE PAZ TERRITORIAL EN EL DISTRITO DE   CARTAGENA DE INDIAS</v>
      </c>
      <c r="Q218" t="str">
        <f t="shared" si="25"/>
        <v>06</v>
      </c>
      <c r="R218" t="str">
        <f t="shared" si="26"/>
        <v>00</v>
      </c>
      <c r="S218" s="1">
        <v>0</v>
      </c>
      <c r="T218" s="1">
        <v>76726666.670000002</v>
      </c>
      <c r="U218" s="1">
        <v>76726666.670000002</v>
      </c>
      <c r="V218" s="1">
        <v>70943040</v>
      </c>
      <c r="W218" s="1">
        <v>5783626.6699999999</v>
      </c>
      <c r="X218" s="1">
        <v>70542000</v>
      </c>
      <c r="Y218" s="1">
        <v>91.94</v>
      </c>
      <c r="Z218" s="1">
        <v>0</v>
      </c>
      <c r="AA218" s="1">
        <v>0</v>
      </c>
      <c r="AB218" s="1">
        <v>6184666.6699999999</v>
      </c>
      <c r="AC218" s="1">
        <v>0</v>
      </c>
    </row>
    <row r="219" spans="1:29" x14ac:dyDescent="0.3">
      <c r="A219">
        <v>2022</v>
      </c>
      <c r="B219">
        <v>100</v>
      </c>
      <c r="C219" t="str">
        <f>"15"</f>
        <v>15</v>
      </c>
      <c r="D219" t="s">
        <v>793</v>
      </c>
      <c r="E219" t="str">
        <f t="shared" si="27"/>
        <v>15 INSTITUTO DE DEPORTE Y RECREACION</v>
      </c>
      <c r="F219" s="2">
        <v>2020130010194</v>
      </c>
      <c r="G219" s="2" t="str">
        <f>+VLOOKUP(F219,Hoja2!$F:$I,2,FALSE)</f>
        <v>08. PILAR CARTAGENA INCLUYENTE</v>
      </c>
      <c r="H219" s="2" t="str">
        <f>+VLOOKUP(F219,Hoja2!$F:$I,3,FALSE)</f>
        <v xml:space="preserve">8.4 LÍNEA ESTRATÉGICA DEPORTE Y RECREACIÓN PARA LA TRANSFORMACION SOCIAL </v>
      </c>
      <c r="I219" s="2" t="str">
        <f>+VLOOKUP(F219,Hoja2!$F:$I,4,FALSE)</f>
        <v xml:space="preserve">8.4.1 “LA ESCUELA Y EL DEPORTE SON DE TODOS” </v>
      </c>
      <c r="J219" t="s">
        <v>797</v>
      </c>
      <c r="K219" t="str">
        <f>"841"</f>
        <v>841</v>
      </c>
      <c r="L219" t="s">
        <v>796</v>
      </c>
      <c r="M219" t="s">
        <v>26</v>
      </c>
      <c r="N219" t="s">
        <v>27</v>
      </c>
      <c r="O219" t="s">
        <v>798</v>
      </c>
      <c r="P219" t="str">
        <f t="shared" si="28"/>
        <v>2020130010194 FORTALECIMIENTO DEL DEPORTE ESTUDIANTIL MEDIANTE LA IMPLEMENTACION DE LOS JUEGOS INTERCOLEGIADOS Y UNIVERSITARIOS EN EL DISTRITO DE   CARTAGENA DE INDIAS</v>
      </c>
      <c r="Q219" t="str">
        <f t="shared" si="25"/>
        <v>06</v>
      </c>
      <c r="R219" t="str">
        <f t="shared" si="26"/>
        <v>00</v>
      </c>
      <c r="S219" s="1">
        <v>0</v>
      </c>
      <c r="T219" s="1">
        <v>300000000</v>
      </c>
      <c r="U219" s="1">
        <v>300000000</v>
      </c>
      <c r="V219" s="1">
        <v>227730449</v>
      </c>
      <c r="W219" s="1">
        <v>72269551</v>
      </c>
      <c r="X219" s="1">
        <v>227730449</v>
      </c>
      <c r="Y219" s="1">
        <v>75.91</v>
      </c>
      <c r="Z219" s="1">
        <v>227730449</v>
      </c>
      <c r="AA219" s="1">
        <v>75.91</v>
      </c>
      <c r="AB219" s="1">
        <v>72269551</v>
      </c>
      <c r="AC219" s="1">
        <v>0</v>
      </c>
    </row>
    <row r="220" spans="1:29" x14ac:dyDescent="0.3">
      <c r="A220">
        <v>2022</v>
      </c>
      <c r="B220">
        <v>100</v>
      </c>
      <c r="C220" t="str">
        <f>"15"</f>
        <v>15</v>
      </c>
      <c r="D220" t="s">
        <v>793</v>
      </c>
      <c r="E220" t="str">
        <f t="shared" si="27"/>
        <v>15 INSTITUTO DE DEPORTE Y RECREACION</v>
      </c>
      <c r="F220" s="2">
        <v>2020130010194</v>
      </c>
      <c r="G220" s="2" t="str">
        <f>+VLOOKUP(F220,Hoja2!$F:$I,2,FALSE)</f>
        <v>08. PILAR CARTAGENA INCLUYENTE</v>
      </c>
      <c r="H220" s="2" t="str">
        <f>+VLOOKUP(F220,Hoja2!$F:$I,3,FALSE)</f>
        <v xml:space="preserve">8.4 LÍNEA ESTRATÉGICA DEPORTE Y RECREACIÓN PARA LA TRANSFORMACION SOCIAL </v>
      </c>
      <c r="I220" s="2" t="str">
        <f>+VLOOKUP(F220,Hoja2!$F:$I,4,FALSE)</f>
        <v xml:space="preserve">8.4.1 “LA ESCUELA Y EL DEPORTE SON DE TODOS” </v>
      </c>
      <c r="J220" t="s">
        <v>797</v>
      </c>
      <c r="K220" t="str">
        <f>"918"</f>
        <v>918</v>
      </c>
      <c r="L220" t="s">
        <v>807</v>
      </c>
      <c r="M220" t="s">
        <v>26</v>
      </c>
      <c r="N220" t="s">
        <v>27</v>
      </c>
      <c r="O220" t="s">
        <v>798</v>
      </c>
      <c r="P220" t="str">
        <f t="shared" si="28"/>
        <v>2020130010194 FORTALECIMIENTO DEL DEPORTE ESTUDIANTIL MEDIANTE LA IMPLEMENTACION DE LOS JUEGOS INTERCOLEGIADOS Y UNIVERSITARIOS EN EL DISTRITO DE   CARTAGENA DE INDIAS</v>
      </c>
      <c r="Q220" t="str">
        <f t="shared" si="25"/>
        <v>06</v>
      </c>
      <c r="R220" t="str">
        <f t="shared" si="26"/>
        <v>00</v>
      </c>
      <c r="S220" s="1">
        <v>0</v>
      </c>
      <c r="T220" s="1">
        <v>69674607.700000003</v>
      </c>
      <c r="U220" s="1">
        <v>69674607.700000003</v>
      </c>
      <c r="V220" s="1">
        <v>45154615</v>
      </c>
      <c r="W220" s="1">
        <v>24519992.699999999</v>
      </c>
      <c r="X220" s="1">
        <v>45154615</v>
      </c>
      <c r="Y220" s="1">
        <v>64.81</v>
      </c>
      <c r="Z220" s="1">
        <v>45154615</v>
      </c>
      <c r="AA220" s="1">
        <v>64.81</v>
      </c>
      <c r="AB220" s="1">
        <v>24519992.699999999</v>
      </c>
      <c r="AC220" s="1">
        <v>0</v>
      </c>
    </row>
    <row r="221" spans="1:29" x14ac:dyDescent="0.3">
      <c r="A221">
        <v>2022</v>
      </c>
      <c r="B221">
        <v>100</v>
      </c>
      <c r="C221" t="str">
        <f>"15"</f>
        <v>15</v>
      </c>
      <c r="D221" t="s">
        <v>793</v>
      </c>
      <c r="E221" t="str">
        <f t="shared" si="27"/>
        <v>15 INSTITUTO DE DEPORTE Y RECREACION</v>
      </c>
      <c r="F221" s="2">
        <v>2020130010194</v>
      </c>
      <c r="G221" s="2" t="str">
        <f>+VLOOKUP(F221,Hoja2!$F:$I,2,FALSE)</f>
        <v>08. PILAR CARTAGENA INCLUYENTE</v>
      </c>
      <c r="H221" s="2" t="str">
        <f>+VLOOKUP(F221,Hoja2!$F:$I,3,FALSE)</f>
        <v xml:space="preserve">8.4 LÍNEA ESTRATÉGICA DEPORTE Y RECREACIÓN PARA LA TRANSFORMACION SOCIAL </v>
      </c>
      <c r="I221" s="2" t="str">
        <f>+VLOOKUP(F221,Hoja2!$F:$I,4,FALSE)</f>
        <v xml:space="preserve">8.4.1 “LA ESCUELA Y EL DEPORTE SON DE TODOS” </v>
      </c>
      <c r="J221" t="s">
        <v>797</v>
      </c>
      <c r="K221" t="str">
        <f>"097"</f>
        <v>097</v>
      </c>
      <c r="L221" t="s">
        <v>828</v>
      </c>
      <c r="M221" t="s">
        <v>26</v>
      </c>
      <c r="N221" t="s">
        <v>27</v>
      </c>
      <c r="O221" t="s">
        <v>798</v>
      </c>
      <c r="P221" t="str">
        <f t="shared" si="28"/>
        <v>2020130010194 FORTALECIMIENTO DEL DEPORTE ESTUDIANTIL MEDIANTE LA IMPLEMENTACION DE LOS JUEGOS INTERCOLEGIADOS Y UNIVERSITARIOS EN EL DISTRITO DE   CARTAGENA DE INDIAS</v>
      </c>
      <c r="Q221" t="str">
        <f t="shared" si="25"/>
        <v>06</v>
      </c>
      <c r="R221" t="str">
        <f t="shared" si="26"/>
        <v>00</v>
      </c>
      <c r="S221" s="1">
        <v>361316776</v>
      </c>
      <c r="T221" s="1">
        <v>0</v>
      </c>
      <c r="U221" s="1">
        <v>361316776</v>
      </c>
      <c r="V221" s="1">
        <v>320891611.41000003</v>
      </c>
      <c r="W221" s="1">
        <v>40425164.590000004</v>
      </c>
      <c r="X221" s="1">
        <v>320891611.41000003</v>
      </c>
      <c r="Y221" s="1">
        <v>88.81</v>
      </c>
      <c r="Z221" s="1">
        <v>320891611.41000003</v>
      </c>
      <c r="AA221" s="1">
        <v>88.81</v>
      </c>
      <c r="AB221" s="1">
        <v>40425164.590000004</v>
      </c>
      <c r="AC221" s="1">
        <v>300891611.41000003</v>
      </c>
    </row>
    <row r="222" spans="1:29" x14ac:dyDescent="0.3">
      <c r="A222">
        <v>2022</v>
      </c>
      <c r="B222">
        <v>100</v>
      </c>
      <c r="C222" t="str">
        <f t="shared" ref="C222:C231" si="29">"07"</f>
        <v>07</v>
      </c>
      <c r="D222" t="s">
        <v>399</v>
      </c>
      <c r="E222" t="str">
        <f t="shared" si="27"/>
        <v>07 SECRETARIA DE EDUCACION</v>
      </c>
      <c r="F222" s="2">
        <v>2020130010195</v>
      </c>
      <c r="G222" s="2" t="str">
        <f>+VLOOKUP(F222,Hoja2!$F:$I,2,FALSE)</f>
        <v>08. PILAR CARTAGENA INCLUYENTE</v>
      </c>
      <c r="H222" s="2" t="str">
        <f>+VLOOKUP(F222,Hoja2!$F:$I,3,FALSE)</f>
        <v>8.2 LÍNEA ESTRATEGICA DE EDUCACION: CULTURA DE LA FORMACION "CON LA EDUCACION PARA TODOS Y TODAS SALVAMOS JUNTOS A CARTAGENA"</v>
      </c>
      <c r="I222" s="2" t="str">
        <f>+VLOOKUP(F222,Hoja2!$F:$I,4,FALSE)</f>
        <v>8.2.1 PROGRAMA: ACOGIDA “ATENCIÓN A POBLACIONES Y ESTRATEGIAS DE ACCESO Y PERMANENCIA”</v>
      </c>
      <c r="J222" t="s">
        <v>434</v>
      </c>
      <c r="K222" t="str">
        <f>"901"</f>
        <v>901</v>
      </c>
      <c r="L222" t="s">
        <v>435</v>
      </c>
      <c r="M222" t="s">
        <v>26</v>
      </c>
      <c r="N222" t="s">
        <v>27</v>
      </c>
      <c r="O222" t="s">
        <v>436</v>
      </c>
      <c r="P222" t="str">
        <f t="shared" si="28"/>
        <v xml:space="preserve">2020130010195 IMPLEMENTACION DE LA ESTRATEGIA PERMANECER: ME ALIMENTO Y APRENDO ALIMENTACION ESCOLAR EN  CARTAGENA DE INDIAS </v>
      </c>
      <c r="Q222" t="str">
        <f t="shared" si="25"/>
        <v>06</v>
      </c>
      <c r="R222" t="str">
        <f t="shared" si="26"/>
        <v>00</v>
      </c>
      <c r="S222" s="1">
        <v>0</v>
      </c>
      <c r="T222" s="1">
        <v>1367648896</v>
      </c>
      <c r="U222" s="1">
        <v>1367648896</v>
      </c>
      <c r="V222" s="1">
        <v>1367648896</v>
      </c>
      <c r="W222" s="1">
        <v>0</v>
      </c>
      <c r="X222" s="1">
        <v>1367648896</v>
      </c>
      <c r="Y222" s="1">
        <v>100</v>
      </c>
      <c r="Z222" s="1">
        <v>1238582315.95</v>
      </c>
      <c r="AA222" s="1">
        <v>90.56</v>
      </c>
      <c r="AB222" s="1">
        <v>0</v>
      </c>
      <c r="AC222" s="1">
        <v>1238582315.95</v>
      </c>
    </row>
    <row r="223" spans="1:29" x14ac:dyDescent="0.3">
      <c r="A223">
        <v>2022</v>
      </c>
      <c r="B223">
        <v>100</v>
      </c>
      <c r="C223" t="str">
        <f t="shared" si="29"/>
        <v>07</v>
      </c>
      <c r="D223" t="s">
        <v>399</v>
      </c>
      <c r="E223" t="str">
        <f t="shared" si="27"/>
        <v>07 SECRETARIA DE EDUCACION</v>
      </c>
      <c r="F223" s="2">
        <v>2020130010195</v>
      </c>
      <c r="G223" s="2" t="str">
        <f>+VLOOKUP(F223,Hoja2!$F:$I,2,FALSE)</f>
        <v>08. PILAR CARTAGENA INCLUYENTE</v>
      </c>
      <c r="H223" s="2" t="str">
        <f>+VLOOKUP(F223,Hoja2!$F:$I,3,FALSE)</f>
        <v>8.2 LÍNEA ESTRATEGICA DE EDUCACION: CULTURA DE LA FORMACION "CON LA EDUCACION PARA TODOS Y TODAS SALVAMOS JUNTOS A CARTAGENA"</v>
      </c>
      <c r="I223" s="2" t="str">
        <f>+VLOOKUP(F223,Hoja2!$F:$I,4,FALSE)</f>
        <v>8.2.1 PROGRAMA: ACOGIDA “ATENCIÓN A POBLACIONES Y ESTRATEGIAS DE ACCESO Y PERMANENCIA”</v>
      </c>
      <c r="J223" t="s">
        <v>434</v>
      </c>
      <c r="K223" t="str">
        <f>"902"</f>
        <v>902</v>
      </c>
      <c r="L223" t="s">
        <v>439</v>
      </c>
      <c r="M223" t="s">
        <v>26</v>
      </c>
      <c r="N223" t="s">
        <v>27</v>
      </c>
      <c r="O223" t="s">
        <v>436</v>
      </c>
      <c r="P223" t="str">
        <f t="shared" si="28"/>
        <v xml:space="preserve">2020130010195 IMPLEMENTACION DE LA ESTRATEGIA PERMANECER: ME ALIMENTO Y APRENDO ALIMENTACION ESCOLAR EN  CARTAGENA DE INDIAS </v>
      </c>
      <c r="Q223" t="str">
        <f t="shared" si="25"/>
        <v>06</v>
      </c>
      <c r="R223" t="str">
        <f t="shared" si="26"/>
        <v>00</v>
      </c>
      <c r="S223" s="1">
        <v>0</v>
      </c>
      <c r="T223" s="1">
        <v>9281454300</v>
      </c>
      <c r="U223" s="1">
        <v>9281454300</v>
      </c>
      <c r="V223" s="1">
        <v>9281454300</v>
      </c>
      <c r="W223" s="1">
        <v>0</v>
      </c>
      <c r="X223" s="1">
        <v>9281454300</v>
      </c>
      <c r="Y223" s="1">
        <v>100</v>
      </c>
      <c r="Z223" s="1">
        <v>0</v>
      </c>
      <c r="AA223" s="1">
        <v>0</v>
      </c>
      <c r="AB223" s="1">
        <v>0</v>
      </c>
      <c r="AC223" s="1">
        <v>0</v>
      </c>
    </row>
    <row r="224" spans="1:29" x14ac:dyDescent="0.3">
      <c r="A224">
        <v>2022</v>
      </c>
      <c r="B224">
        <v>100</v>
      </c>
      <c r="C224" t="str">
        <f t="shared" si="29"/>
        <v>07</v>
      </c>
      <c r="D224" t="s">
        <v>399</v>
      </c>
      <c r="E224" t="str">
        <f t="shared" si="27"/>
        <v>07 SECRETARIA DE EDUCACION</v>
      </c>
      <c r="F224" s="2">
        <v>2020130010195</v>
      </c>
      <c r="G224" s="2" t="str">
        <f>+VLOOKUP(F224,Hoja2!$F:$I,2,FALSE)</f>
        <v>08. PILAR CARTAGENA INCLUYENTE</v>
      </c>
      <c r="H224" s="2" t="str">
        <f>+VLOOKUP(F224,Hoja2!$F:$I,3,FALSE)</f>
        <v>8.2 LÍNEA ESTRATEGICA DE EDUCACION: CULTURA DE LA FORMACION "CON LA EDUCACION PARA TODOS Y TODAS SALVAMOS JUNTOS A CARTAGENA"</v>
      </c>
      <c r="I224" s="2" t="str">
        <f>+VLOOKUP(F224,Hoja2!$F:$I,4,FALSE)</f>
        <v>8.2.1 PROGRAMA: ACOGIDA “ATENCIÓN A POBLACIONES Y ESTRATEGIAS DE ACCESO Y PERMANENCIA”</v>
      </c>
      <c r="J224" t="s">
        <v>434</v>
      </c>
      <c r="K224" t="str">
        <f>"903"</f>
        <v>903</v>
      </c>
      <c r="L224" t="s">
        <v>440</v>
      </c>
      <c r="M224" t="s">
        <v>26</v>
      </c>
      <c r="N224" t="s">
        <v>27</v>
      </c>
      <c r="O224" t="s">
        <v>436</v>
      </c>
      <c r="P224" t="str">
        <f t="shared" si="28"/>
        <v xml:space="preserve">2020130010195 IMPLEMENTACION DE LA ESTRATEGIA PERMANECER: ME ALIMENTO Y APRENDO ALIMENTACION ESCOLAR EN  CARTAGENA DE INDIAS </v>
      </c>
      <c r="Q224" t="str">
        <f t="shared" si="25"/>
        <v>06</v>
      </c>
      <c r="R224" t="str">
        <f t="shared" si="26"/>
        <v>00</v>
      </c>
      <c r="S224" s="1">
        <v>0</v>
      </c>
      <c r="T224" s="1">
        <v>2209964700.7199998</v>
      </c>
      <c r="U224" s="1">
        <v>2209964700.7199998</v>
      </c>
      <c r="V224" s="1">
        <v>2209964700.7199998</v>
      </c>
      <c r="W224" s="1">
        <v>0</v>
      </c>
      <c r="X224" s="1">
        <v>2209964700.7199998</v>
      </c>
      <c r="Y224" s="1">
        <v>100</v>
      </c>
      <c r="Z224" s="1">
        <v>2205277351.54</v>
      </c>
      <c r="AA224" s="1">
        <v>99.79</v>
      </c>
      <c r="AB224" s="1">
        <v>0</v>
      </c>
      <c r="AC224" s="1">
        <v>2205277351.54</v>
      </c>
    </row>
    <row r="225" spans="1:29" x14ac:dyDescent="0.3">
      <c r="A225">
        <v>2022</v>
      </c>
      <c r="B225">
        <v>100</v>
      </c>
      <c r="C225" t="str">
        <f t="shared" si="29"/>
        <v>07</v>
      </c>
      <c r="D225" t="s">
        <v>399</v>
      </c>
      <c r="E225" t="str">
        <f t="shared" si="27"/>
        <v>07 SECRETARIA DE EDUCACION</v>
      </c>
      <c r="F225" s="2">
        <v>2020130010195</v>
      </c>
      <c r="G225" s="2" t="str">
        <f>+VLOOKUP(F225,Hoja2!$F:$I,2,FALSE)</f>
        <v>08. PILAR CARTAGENA INCLUYENTE</v>
      </c>
      <c r="H225" s="2" t="str">
        <f>+VLOOKUP(F225,Hoja2!$F:$I,3,FALSE)</f>
        <v>8.2 LÍNEA ESTRATEGICA DE EDUCACION: CULTURA DE LA FORMACION "CON LA EDUCACION PARA TODOS Y TODAS SALVAMOS JUNTOS A CARTAGENA"</v>
      </c>
      <c r="I225" s="2" t="str">
        <f>+VLOOKUP(F225,Hoja2!$F:$I,4,FALSE)</f>
        <v>8.2.1 PROGRAMA: ACOGIDA “ATENCIÓN A POBLACIONES Y ESTRATEGIAS DE ACCESO Y PERMANENCIA”</v>
      </c>
      <c r="J225" t="s">
        <v>434</v>
      </c>
      <c r="K225" t="str">
        <f>"904"</f>
        <v>904</v>
      </c>
      <c r="L225" t="s">
        <v>441</v>
      </c>
      <c r="M225" t="s">
        <v>26</v>
      </c>
      <c r="N225" t="s">
        <v>27</v>
      </c>
      <c r="O225" t="s">
        <v>436</v>
      </c>
      <c r="P225" t="str">
        <f t="shared" si="28"/>
        <v xml:space="preserve">2020130010195 IMPLEMENTACION DE LA ESTRATEGIA PERMANECER: ME ALIMENTO Y APRENDO ALIMENTACION ESCOLAR EN  CARTAGENA DE INDIAS </v>
      </c>
      <c r="Q225" t="str">
        <f t="shared" si="25"/>
        <v>06</v>
      </c>
      <c r="R225" t="str">
        <f t="shared" si="26"/>
        <v>00</v>
      </c>
      <c r="S225" s="1">
        <v>0</v>
      </c>
      <c r="T225" s="1">
        <v>3835626933</v>
      </c>
      <c r="U225" s="1">
        <v>3835626933</v>
      </c>
      <c r="V225" s="1">
        <v>3835626933</v>
      </c>
      <c r="W225" s="1">
        <v>0</v>
      </c>
      <c r="X225" s="1">
        <v>3835626933</v>
      </c>
      <c r="Y225" s="1">
        <v>100</v>
      </c>
      <c r="Z225" s="1">
        <v>3835626933</v>
      </c>
      <c r="AA225" s="1">
        <v>100</v>
      </c>
      <c r="AB225" s="1">
        <v>0</v>
      </c>
      <c r="AC225" s="1">
        <v>3835626933</v>
      </c>
    </row>
    <row r="226" spans="1:29" x14ac:dyDescent="0.3">
      <c r="A226">
        <v>2022</v>
      </c>
      <c r="B226">
        <v>100</v>
      </c>
      <c r="C226" t="str">
        <f t="shared" si="29"/>
        <v>07</v>
      </c>
      <c r="D226" t="s">
        <v>399</v>
      </c>
      <c r="E226" t="str">
        <f t="shared" si="27"/>
        <v>07 SECRETARIA DE EDUCACION</v>
      </c>
      <c r="F226" s="2">
        <v>2020130010195</v>
      </c>
      <c r="G226" s="2" t="str">
        <f>+VLOOKUP(F226,Hoja2!$F:$I,2,FALSE)</f>
        <v>08. PILAR CARTAGENA INCLUYENTE</v>
      </c>
      <c r="H226" s="2" t="str">
        <f>+VLOOKUP(F226,Hoja2!$F:$I,3,FALSE)</f>
        <v>8.2 LÍNEA ESTRATEGICA DE EDUCACION: CULTURA DE LA FORMACION "CON LA EDUCACION PARA TODOS Y TODAS SALVAMOS JUNTOS A CARTAGENA"</v>
      </c>
      <c r="I226" s="2" t="str">
        <f>+VLOOKUP(F226,Hoja2!$F:$I,4,FALSE)</f>
        <v>8.2.1 PROGRAMA: ACOGIDA “ATENCIÓN A POBLACIONES Y ESTRATEGIAS DE ACCESO Y PERMANENCIA”</v>
      </c>
      <c r="J226" t="s">
        <v>434</v>
      </c>
      <c r="K226" t="str">
        <f>"905"</f>
        <v>905</v>
      </c>
      <c r="L226" t="s">
        <v>442</v>
      </c>
      <c r="M226" t="s">
        <v>26</v>
      </c>
      <c r="N226" t="s">
        <v>27</v>
      </c>
      <c r="O226" t="s">
        <v>436</v>
      </c>
      <c r="P226" t="str">
        <f t="shared" si="28"/>
        <v xml:space="preserve">2020130010195 IMPLEMENTACION DE LA ESTRATEGIA PERMANECER: ME ALIMENTO Y APRENDO ALIMENTACION ESCOLAR EN  CARTAGENA DE INDIAS </v>
      </c>
      <c r="Q226" t="str">
        <f t="shared" si="25"/>
        <v>06</v>
      </c>
      <c r="R226" t="str">
        <f t="shared" si="26"/>
        <v>00</v>
      </c>
      <c r="S226" s="1">
        <v>0</v>
      </c>
      <c r="T226" s="1">
        <v>509100587.85000002</v>
      </c>
      <c r="U226" s="1">
        <v>509100587.85000002</v>
      </c>
      <c r="V226" s="1">
        <v>509100587.85000002</v>
      </c>
      <c r="W226" s="1">
        <v>0</v>
      </c>
      <c r="X226" s="1">
        <v>509100587.85000002</v>
      </c>
      <c r="Y226" s="1">
        <v>100</v>
      </c>
      <c r="Z226" s="1">
        <v>509100587.85000002</v>
      </c>
      <c r="AA226" s="1">
        <v>100</v>
      </c>
      <c r="AB226" s="1">
        <v>0</v>
      </c>
      <c r="AC226" s="1">
        <v>509100587.85000002</v>
      </c>
    </row>
    <row r="227" spans="1:29" x14ac:dyDescent="0.3">
      <c r="A227">
        <v>2022</v>
      </c>
      <c r="B227">
        <v>100</v>
      </c>
      <c r="C227" t="str">
        <f t="shared" si="29"/>
        <v>07</v>
      </c>
      <c r="D227" t="s">
        <v>399</v>
      </c>
      <c r="E227" t="str">
        <f t="shared" si="27"/>
        <v>07 SECRETARIA DE EDUCACION</v>
      </c>
      <c r="F227" s="2">
        <v>2020130010195</v>
      </c>
      <c r="G227" s="2" t="str">
        <f>+VLOOKUP(F227,Hoja2!$F:$I,2,FALSE)</f>
        <v>08. PILAR CARTAGENA INCLUYENTE</v>
      </c>
      <c r="H227" s="2" t="str">
        <f>+VLOOKUP(F227,Hoja2!$F:$I,3,FALSE)</f>
        <v>8.2 LÍNEA ESTRATEGICA DE EDUCACION: CULTURA DE LA FORMACION "CON LA EDUCACION PARA TODOS Y TODAS SALVAMOS JUNTOS A CARTAGENA"</v>
      </c>
      <c r="I227" s="2" t="str">
        <f>+VLOOKUP(F227,Hoja2!$F:$I,4,FALSE)</f>
        <v>8.2.1 PROGRAMA: ACOGIDA “ATENCIÓN A POBLACIONES Y ESTRATEGIAS DE ACCESO Y PERMANENCIA”</v>
      </c>
      <c r="J227" t="s">
        <v>434</v>
      </c>
      <c r="K227" t="str">
        <f>"906"</f>
        <v>906</v>
      </c>
      <c r="L227" t="s">
        <v>443</v>
      </c>
      <c r="M227" t="s">
        <v>26</v>
      </c>
      <c r="N227" t="s">
        <v>27</v>
      </c>
      <c r="O227" t="s">
        <v>436</v>
      </c>
      <c r="P227" t="str">
        <f t="shared" si="28"/>
        <v xml:space="preserve">2020130010195 IMPLEMENTACION DE LA ESTRATEGIA PERMANECER: ME ALIMENTO Y APRENDO ALIMENTACION ESCOLAR EN  CARTAGENA DE INDIAS </v>
      </c>
      <c r="Q227" t="str">
        <f t="shared" si="25"/>
        <v>06</v>
      </c>
      <c r="R227" t="str">
        <f t="shared" si="26"/>
        <v>00</v>
      </c>
      <c r="S227" s="1">
        <v>0</v>
      </c>
      <c r="T227" s="1">
        <v>12379073.27</v>
      </c>
      <c r="U227" s="1">
        <v>12379073.27</v>
      </c>
      <c r="V227" s="1">
        <v>12379073.27</v>
      </c>
      <c r="W227" s="1">
        <v>0</v>
      </c>
      <c r="X227" s="1">
        <v>12371248.380000001</v>
      </c>
      <c r="Y227" s="1">
        <v>99.94</v>
      </c>
      <c r="Z227" s="1">
        <v>0</v>
      </c>
      <c r="AA227" s="1">
        <v>0</v>
      </c>
      <c r="AB227" s="1">
        <v>7824.89</v>
      </c>
      <c r="AC227" s="1">
        <v>0</v>
      </c>
    </row>
    <row r="228" spans="1:29" x14ac:dyDescent="0.3">
      <c r="A228">
        <v>2022</v>
      </c>
      <c r="B228">
        <v>100</v>
      </c>
      <c r="C228" t="str">
        <f t="shared" si="29"/>
        <v>07</v>
      </c>
      <c r="D228" t="s">
        <v>399</v>
      </c>
      <c r="E228" t="str">
        <f t="shared" si="27"/>
        <v>07 SECRETARIA DE EDUCACION</v>
      </c>
      <c r="F228" s="2">
        <v>2020130010195</v>
      </c>
      <c r="G228" s="2" t="str">
        <f>+VLOOKUP(F228,Hoja2!$F:$I,2,FALSE)</f>
        <v>08. PILAR CARTAGENA INCLUYENTE</v>
      </c>
      <c r="H228" s="2" t="str">
        <f>+VLOOKUP(F228,Hoja2!$F:$I,3,FALSE)</f>
        <v>8.2 LÍNEA ESTRATEGICA DE EDUCACION: CULTURA DE LA FORMACION "CON LA EDUCACION PARA TODOS Y TODAS SALVAMOS JUNTOS A CARTAGENA"</v>
      </c>
      <c r="I228" s="2" t="str">
        <f>+VLOOKUP(F228,Hoja2!$F:$I,4,FALSE)</f>
        <v>8.2.1 PROGRAMA: ACOGIDA “ATENCIÓN A POBLACIONES Y ESTRATEGIAS DE ACCESO Y PERMANENCIA”</v>
      </c>
      <c r="J228" t="s">
        <v>434</v>
      </c>
      <c r="K228" t="str">
        <f>"028"</f>
        <v>028</v>
      </c>
      <c r="L228" t="s">
        <v>444</v>
      </c>
      <c r="M228" t="s">
        <v>26</v>
      </c>
      <c r="N228" t="s">
        <v>27</v>
      </c>
      <c r="O228" t="s">
        <v>445</v>
      </c>
      <c r="P228" t="str">
        <f t="shared" si="28"/>
        <v>2020130010195 IMPLEMENTACION DE LA ESTRATEGIA PERMANECER: ME ALIMENTO Y APRENDO ALIMENTACION ESCOLAR EN  CARTAGENA DE INDIAS</v>
      </c>
      <c r="Q228" t="str">
        <f t="shared" si="25"/>
        <v>06</v>
      </c>
      <c r="R228" t="str">
        <f t="shared" si="26"/>
        <v>00</v>
      </c>
      <c r="S228" s="1">
        <v>2715358336</v>
      </c>
      <c r="T228" s="1">
        <v>0</v>
      </c>
      <c r="U228" s="1">
        <v>2715358336</v>
      </c>
      <c r="V228" s="1">
        <v>2715358336</v>
      </c>
      <c r="W228" s="1">
        <v>0</v>
      </c>
      <c r="X228" s="1">
        <v>2715358336</v>
      </c>
      <c r="Y228" s="1">
        <v>100</v>
      </c>
      <c r="Z228" s="1">
        <v>794894908.33000004</v>
      </c>
      <c r="AA228" s="1">
        <v>29.27</v>
      </c>
      <c r="AB228" s="1">
        <v>0</v>
      </c>
      <c r="AC228" s="1">
        <v>794894908.33000004</v>
      </c>
    </row>
    <row r="229" spans="1:29" x14ac:dyDescent="0.3">
      <c r="A229">
        <v>2022</v>
      </c>
      <c r="B229">
        <v>100</v>
      </c>
      <c r="C229" t="str">
        <f t="shared" si="29"/>
        <v>07</v>
      </c>
      <c r="D229" t="s">
        <v>399</v>
      </c>
      <c r="E229" t="str">
        <f t="shared" si="27"/>
        <v>07 SECRETARIA DE EDUCACION</v>
      </c>
      <c r="F229" s="2">
        <v>2020130010195</v>
      </c>
      <c r="G229" s="2" t="str">
        <f>+VLOOKUP(F229,Hoja2!$F:$I,2,FALSE)</f>
        <v>08. PILAR CARTAGENA INCLUYENTE</v>
      </c>
      <c r="H229" s="2" t="str">
        <f>+VLOOKUP(F229,Hoja2!$F:$I,3,FALSE)</f>
        <v>8.2 LÍNEA ESTRATEGICA DE EDUCACION: CULTURA DE LA FORMACION "CON LA EDUCACION PARA TODOS Y TODAS SALVAMOS JUNTOS A CARTAGENA"</v>
      </c>
      <c r="I229" s="2" t="str">
        <f>+VLOOKUP(F229,Hoja2!$F:$I,4,FALSE)</f>
        <v>8.2.1 PROGRAMA: ACOGIDA “ATENCIÓN A POBLACIONES Y ESTRATEGIAS DE ACCESO Y PERMANENCIA”</v>
      </c>
      <c r="J229" t="s">
        <v>434</v>
      </c>
      <c r="K229" t="str">
        <f>"072"</f>
        <v>072</v>
      </c>
      <c r="L229" t="s">
        <v>454</v>
      </c>
      <c r="M229" t="s">
        <v>26</v>
      </c>
      <c r="N229" t="s">
        <v>27</v>
      </c>
      <c r="O229" t="s">
        <v>445</v>
      </c>
      <c r="P229" t="str">
        <f t="shared" si="28"/>
        <v>2020130010195 IMPLEMENTACION DE LA ESTRATEGIA PERMANECER: ME ALIMENTO Y APRENDO ALIMENTACION ESCOLAR EN  CARTAGENA DE INDIAS</v>
      </c>
      <c r="Q229" t="str">
        <f t="shared" si="25"/>
        <v>06</v>
      </c>
      <c r="R229" t="str">
        <f t="shared" si="26"/>
        <v>00</v>
      </c>
      <c r="S229" s="1">
        <v>3368443956</v>
      </c>
      <c r="T229" s="1">
        <v>458874622</v>
      </c>
      <c r="U229" s="1">
        <v>3827318578</v>
      </c>
      <c r="V229" s="1">
        <v>3368443956</v>
      </c>
      <c r="W229" s="1">
        <v>458874622</v>
      </c>
      <c r="X229" s="1">
        <v>3368443956</v>
      </c>
      <c r="Y229" s="1">
        <v>88.01</v>
      </c>
      <c r="Z229" s="1">
        <v>3368443956</v>
      </c>
      <c r="AA229" s="1">
        <v>88.01</v>
      </c>
      <c r="AB229" s="1">
        <v>458874622</v>
      </c>
      <c r="AC229" s="1">
        <v>3368443956</v>
      </c>
    </row>
    <row r="230" spans="1:29" x14ac:dyDescent="0.3">
      <c r="A230">
        <v>2022</v>
      </c>
      <c r="B230">
        <v>100</v>
      </c>
      <c r="C230" t="str">
        <f t="shared" si="29"/>
        <v>07</v>
      </c>
      <c r="D230" t="s">
        <v>399</v>
      </c>
      <c r="E230" t="str">
        <f t="shared" si="27"/>
        <v>07 SECRETARIA DE EDUCACION</v>
      </c>
      <c r="F230" s="2">
        <v>2020130010195</v>
      </c>
      <c r="G230" s="2" t="str">
        <f>+VLOOKUP(F230,Hoja2!$F:$I,2,FALSE)</f>
        <v>08. PILAR CARTAGENA INCLUYENTE</v>
      </c>
      <c r="H230" s="2" t="str">
        <f>+VLOOKUP(F230,Hoja2!$F:$I,3,FALSE)</f>
        <v>8.2 LÍNEA ESTRATEGICA DE EDUCACION: CULTURA DE LA FORMACION "CON LA EDUCACION PARA TODOS Y TODAS SALVAMOS JUNTOS A CARTAGENA"</v>
      </c>
      <c r="I230" s="2" t="str">
        <f>+VLOOKUP(F230,Hoja2!$F:$I,4,FALSE)</f>
        <v>8.2.1 PROGRAMA: ACOGIDA “ATENCIÓN A POBLACIONES Y ESTRATEGIAS DE ACCESO Y PERMANENCIA”</v>
      </c>
      <c r="J230" t="s">
        <v>434</v>
      </c>
      <c r="K230" t="str">
        <f>"078"</f>
        <v>078</v>
      </c>
      <c r="L230" t="s">
        <v>455</v>
      </c>
      <c r="M230" t="s">
        <v>26</v>
      </c>
      <c r="N230" t="s">
        <v>27</v>
      </c>
      <c r="O230" t="s">
        <v>445</v>
      </c>
      <c r="P230" t="str">
        <f t="shared" si="28"/>
        <v>2020130010195 IMPLEMENTACION DE LA ESTRATEGIA PERMANECER: ME ALIMENTO Y APRENDO ALIMENTACION ESCOLAR EN  CARTAGENA DE INDIAS</v>
      </c>
      <c r="Q230" t="str">
        <f t="shared" si="25"/>
        <v>06</v>
      </c>
      <c r="R230" t="str">
        <f t="shared" si="26"/>
        <v>00</v>
      </c>
      <c r="S230" s="1">
        <v>268896063</v>
      </c>
      <c r="T230" s="1">
        <v>0</v>
      </c>
      <c r="U230" s="1">
        <v>268896063</v>
      </c>
      <c r="V230" s="1">
        <v>28555080</v>
      </c>
      <c r="W230" s="1">
        <v>240340983</v>
      </c>
      <c r="X230" s="1">
        <v>28555080</v>
      </c>
      <c r="Y230" s="1">
        <v>10.62</v>
      </c>
      <c r="Z230" s="1">
        <v>0</v>
      </c>
      <c r="AA230" s="1">
        <v>0</v>
      </c>
      <c r="AB230" s="1">
        <v>240340983</v>
      </c>
      <c r="AC230" s="1">
        <v>0</v>
      </c>
    </row>
    <row r="231" spans="1:29" x14ac:dyDescent="0.3">
      <c r="A231">
        <v>2022</v>
      </c>
      <c r="B231">
        <v>100</v>
      </c>
      <c r="C231" t="str">
        <f t="shared" si="29"/>
        <v>07</v>
      </c>
      <c r="D231" t="s">
        <v>399</v>
      </c>
      <c r="E231" t="str">
        <f t="shared" si="27"/>
        <v>07 SECRETARIA DE EDUCACION</v>
      </c>
      <c r="F231" s="2">
        <v>2020130010195</v>
      </c>
      <c r="G231" s="2" t="str">
        <f>+VLOOKUP(F231,Hoja2!$F:$I,2,FALSE)</f>
        <v>08. PILAR CARTAGENA INCLUYENTE</v>
      </c>
      <c r="H231" s="2" t="str">
        <f>+VLOOKUP(F231,Hoja2!$F:$I,3,FALSE)</f>
        <v>8.2 LÍNEA ESTRATEGICA DE EDUCACION: CULTURA DE LA FORMACION "CON LA EDUCACION PARA TODOS Y TODAS SALVAMOS JUNTOS A CARTAGENA"</v>
      </c>
      <c r="I231" s="2" t="str">
        <f>+VLOOKUP(F231,Hoja2!$F:$I,4,FALSE)</f>
        <v>8.2.1 PROGRAMA: ACOGIDA “ATENCIÓN A POBLACIONES Y ESTRATEGIAS DE ACCESO Y PERMANENCIA”</v>
      </c>
      <c r="J231" t="s">
        <v>434</v>
      </c>
      <c r="K231" t="str">
        <f>"001"</f>
        <v>001</v>
      </c>
      <c r="L231" t="s">
        <v>25</v>
      </c>
      <c r="M231" t="s">
        <v>26</v>
      </c>
      <c r="N231" t="s">
        <v>27</v>
      </c>
      <c r="O231" t="s">
        <v>445</v>
      </c>
      <c r="P231" t="str">
        <f t="shared" si="28"/>
        <v>2020130010195 IMPLEMENTACION DE LA ESTRATEGIA PERMANECER: ME ALIMENTO Y APRENDO ALIMENTACION ESCOLAR EN  CARTAGENA DE INDIAS</v>
      </c>
      <c r="Q231" t="str">
        <f t="shared" si="25"/>
        <v>06</v>
      </c>
      <c r="R231" t="str">
        <f t="shared" si="26"/>
        <v>00</v>
      </c>
      <c r="S231" s="1">
        <v>13275462587</v>
      </c>
      <c r="T231" s="1">
        <v>-341935538</v>
      </c>
      <c r="U231" s="1">
        <v>12933527049</v>
      </c>
      <c r="V231" s="1">
        <v>12932924957.540001</v>
      </c>
      <c r="W231" s="1">
        <v>602091.46</v>
      </c>
      <c r="X231" s="1">
        <v>12903087320.200001</v>
      </c>
      <c r="Y231" s="1">
        <v>99.76</v>
      </c>
      <c r="Z231" s="1">
        <v>8033758323.0200005</v>
      </c>
      <c r="AA231" s="1">
        <v>62.12</v>
      </c>
      <c r="AB231" s="1">
        <v>30439728.800000001</v>
      </c>
      <c r="AC231" s="1">
        <v>6594698685.7399998</v>
      </c>
    </row>
    <row r="232" spans="1:29" x14ac:dyDescent="0.3">
      <c r="A232">
        <v>2022</v>
      </c>
      <c r="B232">
        <v>100</v>
      </c>
      <c r="C232" t="str">
        <f>"21"</f>
        <v>21</v>
      </c>
      <c r="D232" t="s">
        <v>893</v>
      </c>
      <c r="E232" t="str">
        <f t="shared" si="27"/>
        <v>21 ESTABLECIMIENTO PUBLICO AMBIENTAL-EPA</v>
      </c>
      <c r="F232" s="2">
        <v>2020130010201</v>
      </c>
      <c r="G232" s="2" t="str">
        <f>+VLOOKUP(F232,Hoja2!$F:$I,2,FALSE)</f>
        <v>07. PILAR CARTAGENA RESILIENTE</v>
      </c>
      <c r="H232" s="2" t="str">
        <f>+VLOOKUP(F232,Hoja2!$F:$I,3,FALSE)</f>
        <v>7.1 LÍNEA ESTRATÉGICA: “SALVEMOS JUNTOS NUESTRO PATRIMONIO NATURAL”</v>
      </c>
      <c r="I232" s="2" t="str">
        <f>+VLOOKUP(F232,Hoja2!$F:$I,4,FALSE)</f>
        <v>7.1.4 INVESTIGACIÓN, EDUCACIÓN Y CULTURA AMBIENTAL (EDUCACIÓN Y CULTURA AMBIENTAL)</v>
      </c>
      <c r="J232" t="s">
        <v>928</v>
      </c>
      <c r="K232" t="str">
        <f>"063"</f>
        <v>063</v>
      </c>
      <c r="L232" t="s">
        <v>926</v>
      </c>
      <c r="M232" t="s">
        <v>26</v>
      </c>
      <c r="N232" t="s">
        <v>27</v>
      </c>
      <c r="O232" t="s">
        <v>929</v>
      </c>
      <c r="P232" t="str">
        <f t="shared" si="28"/>
        <v>2020130010201 FORTALECIMIENTO DE LA EDUCACION Y CULTURA AMBIENTAL EN EL DISTRITO DE  CARTAGENA DE INDIAS</v>
      </c>
      <c r="Q232" t="str">
        <f t="shared" si="25"/>
        <v>06</v>
      </c>
      <c r="R232" t="str">
        <f t="shared" si="26"/>
        <v>00</v>
      </c>
      <c r="S232" s="1">
        <v>78799999</v>
      </c>
      <c r="T232" s="1">
        <v>0</v>
      </c>
      <c r="U232" s="1">
        <v>78799999</v>
      </c>
      <c r="V232" s="1">
        <v>0</v>
      </c>
      <c r="W232" s="1">
        <v>78799999</v>
      </c>
      <c r="X232" s="1">
        <v>0</v>
      </c>
      <c r="Y232" s="1">
        <v>0</v>
      </c>
      <c r="Z232" s="1">
        <v>0</v>
      </c>
      <c r="AA232" s="1">
        <v>0</v>
      </c>
      <c r="AB232" s="1">
        <v>78799999</v>
      </c>
      <c r="AC232" s="1">
        <v>0</v>
      </c>
    </row>
    <row r="233" spans="1:29" x14ac:dyDescent="0.3">
      <c r="A233">
        <v>2022</v>
      </c>
      <c r="B233">
        <v>100</v>
      </c>
      <c r="C233" t="str">
        <f>"21"</f>
        <v>21</v>
      </c>
      <c r="D233" t="s">
        <v>893</v>
      </c>
      <c r="E233" t="str">
        <f t="shared" si="27"/>
        <v>21 ESTABLECIMIENTO PUBLICO AMBIENTAL-EPA</v>
      </c>
      <c r="F233" s="2">
        <v>2020130010201</v>
      </c>
      <c r="G233" s="2" t="str">
        <f>+VLOOKUP(F233,Hoja2!$F:$I,2,FALSE)</f>
        <v>07. PILAR CARTAGENA RESILIENTE</v>
      </c>
      <c r="H233" s="2" t="str">
        <f>+VLOOKUP(F233,Hoja2!$F:$I,3,FALSE)</f>
        <v>7.1 LÍNEA ESTRATÉGICA: “SALVEMOS JUNTOS NUESTRO PATRIMONIO NATURAL”</v>
      </c>
      <c r="I233" s="2" t="str">
        <f>+VLOOKUP(F233,Hoja2!$F:$I,4,FALSE)</f>
        <v>7.1.4 INVESTIGACIÓN, EDUCACIÓN Y CULTURA AMBIENTAL (EDUCACIÓN Y CULTURA AMBIENTAL)</v>
      </c>
      <c r="J233" t="s">
        <v>928</v>
      </c>
      <c r="K233" t="str">
        <f>"934"</f>
        <v>934</v>
      </c>
      <c r="L233" t="s">
        <v>932</v>
      </c>
      <c r="M233" t="s">
        <v>26</v>
      </c>
      <c r="N233" t="s">
        <v>27</v>
      </c>
      <c r="O233" t="s">
        <v>934</v>
      </c>
      <c r="P233" t="str">
        <f t="shared" si="28"/>
        <v>2020130010201  FORTALECIMIENTO DE LA EDUCACION Y CULTURA AMBIENTAL EN EL DISTRITO DE CARTAGENA DE INDIAS</v>
      </c>
      <c r="Q233" t="str">
        <f t="shared" si="25"/>
        <v>06</v>
      </c>
      <c r="R233" t="str">
        <f t="shared" si="26"/>
        <v>00</v>
      </c>
      <c r="S233" s="1">
        <v>0</v>
      </c>
      <c r="T233" s="1">
        <v>40719600.549999997</v>
      </c>
      <c r="U233" s="1">
        <v>40719600.549999997</v>
      </c>
      <c r="V233" s="1">
        <v>0</v>
      </c>
      <c r="W233" s="1">
        <v>40719600.549999997</v>
      </c>
      <c r="X233" s="1">
        <v>0</v>
      </c>
      <c r="Y233" s="1">
        <v>0</v>
      </c>
      <c r="Z233" s="1">
        <v>0</v>
      </c>
      <c r="AA233" s="1">
        <v>0</v>
      </c>
      <c r="AB233" s="1">
        <v>40719600.549999997</v>
      </c>
      <c r="AC233" s="1">
        <v>0</v>
      </c>
    </row>
    <row r="234" spans="1:29" x14ac:dyDescent="0.3">
      <c r="A234">
        <v>2022</v>
      </c>
      <c r="B234">
        <v>100</v>
      </c>
      <c r="C234" t="str">
        <f>"21"</f>
        <v>21</v>
      </c>
      <c r="D234" t="s">
        <v>893</v>
      </c>
      <c r="E234" t="str">
        <f t="shared" si="27"/>
        <v>21 ESTABLECIMIENTO PUBLICO AMBIENTAL-EPA</v>
      </c>
      <c r="F234" s="2">
        <v>2020130010201</v>
      </c>
      <c r="G234" s="2" t="str">
        <f>+VLOOKUP(F234,Hoja2!$F:$I,2,FALSE)</f>
        <v>07. PILAR CARTAGENA RESILIENTE</v>
      </c>
      <c r="H234" s="2" t="str">
        <f>+VLOOKUP(F234,Hoja2!$F:$I,3,FALSE)</f>
        <v>7.1 LÍNEA ESTRATÉGICA: “SALVEMOS JUNTOS NUESTRO PATRIMONIO NATURAL”</v>
      </c>
      <c r="I234" s="2" t="str">
        <f>+VLOOKUP(F234,Hoja2!$F:$I,4,FALSE)</f>
        <v>7.1.4 INVESTIGACIÓN, EDUCACIÓN Y CULTURA AMBIENTAL (EDUCACIÓN Y CULTURA AMBIENTAL)</v>
      </c>
      <c r="J234" t="s">
        <v>928</v>
      </c>
      <c r="K234" t="str">
        <f>"935"</f>
        <v>935</v>
      </c>
      <c r="L234" t="s">
        <v>895</v>
      </c>
      <c r="M234" t="s">
        <v>26</v>
      </c>
      <c r="N234" t="s">
        <v>27</v>
      </c>
      <c r="O234" t="s">
        <v>935</v>
      </c>
      <c r="P234" t="str">
        <f t="shared" si="28"/>
        <v>2020130010201 FORTALECIMIENTO DE LA EDUCACION Y CULTURA AMBIENTAL EN EL DISTRITO DE CARTAGENA DE INDIAS</v>
      </c>
      <c r="Q234" t="str">
        <f t="shared" si="25"/>
        <v>06</v>
      </c>
      <c r="R234" t="str">
        <f t="shared" si="26"/>
        <v>00</v>
      </c>
      <c r="S234" s="1">
        <v>0</v>
      </c>
      <c r="T234" s="1">
        <v>48000000</v>
      </c>
      <c r="U234" s="1">
        <v>48000000</v>
      </c>
      <c r="V234" s="1">
        <v>0</v>
      </c>
      <c r="W234" s="1">
        <v>48000000</v>
      </c>
      <c r="X234" s="1">
        <v>0</v>
      </c>
      <c r="Y234" s="1">
        <v>0</v>
      </c>
      <c r="Z234" s="1">
        <v>0</v>
      </c>
      <c r="AA234" s="1">
        <v>0</v>
      </c>
      <c r="AB234" s="1">
        <v>48000000</v>
      </c>
      <c r="AC234" s="1">
        <v>0</v>
      </c>
    </row>
    <row r="235" spans="1:29" x14ac:dyDescent="0.3">
      <c r="A235">
        <v>2022</v>
      </c>
      <c r="B235">
        <v>100</v>
      </c>
      <c r="C235" t="str">
        <f>"21"</f>
        <v>21</v>
      </c>
      <c r="D235" t="s">
        <v>893</v>
      </c>
      <c r="E235" t="str">
        <f t="shared" si="27"/>
        <v>21 ESTABLECIMIENTO PUBLICO AMBIENTAL-EPA</v>
      </c>
      <c r="F235" s="2">
        <v>2020130010203</v>
      </c>
      <c r="G235" s="2" t="str">
        <f>+VLOOKUP(F235,Hoja2!$F:$I,2,FALSE)</f>
        <v>07. PILAR CARTAGENA RESILIENTE</v>
      </c>
      <c r="H235" s="2" t="str">
        <f>+VLOOKUP(F235,Hoja2!$F:$I,3,FALSE)</f>
        <v>7.7 LÍNEA ESTRATÉGICA INSTRUMENTOS DE ORDENAMIENTO TERRITORIAL.</v>
      </c>
      <c r="I235" s="2" t="str">
        <f>+VLOOKUP(F235,Hoja2!$F:$I,4,FALSE)</f>
        <v>7.7.3 ORDENACIÓN TERRITORIAL Y  RECUPERACIÓN SOCIAL, AMBIENTAL Y URBANA DE LA CIÉNAGA DE LA VIRGEN.</v>
      </c>
      <c r="J235" t="s">
        <v>907</v>
      </c>
      <c r="K235" t="str">
        <f>"938"</f>
        <v>938</v>
      </c>
      <c r="L235" t="s">
        <v>908</v>
      </c>
      <c r="M235" t="s">
        <v>26</v>
      </c>
      <c r="N235" t="s">
        <v>27</v>
      </c>
      <c r="O235" t="s">
        <v>909</v>
      </c>
      <c r="P235" t="str">
        <f t="shared" si="28"/>
        <v>2020130010203 IMPLEMENTACION DEL SISTEMA DE GESTION HIDRICA DE LA CIENAGA DE LA VIRGEN Y RECUPERACION DEL MANGLAR DE CARTAGENA DE INDIAS MONITOREO INTELIGENTE AMBIENTAL CARTAGENA DE INDIAS</v>
      </c>
      <c r="Q235" t="str">
        <f t="shared" si="25"/>
        <v>06</v>
      </c>
      <c r="R235" t="str">
        <f t="shared" si="26"/>
        <v>00</v>
      </c>
      <c r="S235" s="1">
        <v>0</v>
      </c>
      <c r="T235" s="1">
        <v>1571678653.78</v>
      </c>
      <c r="U235" s="1">
        <v>1571678653.78</v>
      </c>
      <c r="V235" s="1">
        <v>0</v>
      </c>
      <c r="W235" s="1">
        <v>1571678653.78</v>
      </c>
      <c r="X235" s="1">
        <v>0</v>
      </c>
      <c r="Y235" s="1">
        <v>0</v>
      </c>
      <c r="Z235" s="1">
        <v>0</v>
      </c>
      <c r="AA235" s="1">
        <v>0</v>
      </c>
      <c r="AB235" s="1">
        <v>1571678653.78</v>
      </c>
      <c r="AC235" s="1">
        <v>0</v>
      </c>
    </row>
    <row r="236" spans="1:29" x14ac:dyDescent="0.3">
      <c r="A236">
        <v>2022</v>
      </c>
      <c r="B236">
        <v>100</v>
      </c>
      <c r="C236" t="str">
        <f>"21"</f>
        <v>21</v>
      </c>
      <c r="D236" t="s">
        <v>893</v>
      </c>
      <c r="E236" t="str">
        <f t="shared" si="27"/>
        <v>21 ESTABLECIMIENTO PUBLICO AMBIENTAL-EPA</v>
      </c>
      <c r="F236" s="2">
        <v>2020130010203</v>
      </c>
      <c r="G236" s="2" t="str">
        <f>+VLOOKUP(F236,Hoja2!$F:$I,2,FALSE)</f>
        <v>07. PILAR CARTAGENA RESILIENTE</v>
      </c>
      <c r="H236" s="2" t="str">
        <f>+VLOOKUP(F236,Hoja2!$F:$I,3,FALSE)</f>
        <v>7.7 LÍNEA ESTRATÉGICA INSTRUMENTOS DE ORDENAMIENTO TERRITORIAL.</v>
      </c>
      <c r="I236" s="2" t="str">
        <f>+VLOOKUP(F236,Hoja2!$F:$I,4,FALSE)</f>
        <v>7.7.3 ORDENACIÓN TERRITORIAL Y  RECUPERACIÓN SOCIAL, AMBIENTAL Y URBANA DE LA CIÉNAGA DE LA VIRGEN.</v>
      </c>
      <c r="J236" t="s">
        <v>907</v>
      </c>
      <c r="K236" t="str">
        <f>"094"</f>
        <v>094</v>
      </c>
      <c r="L236" t="s">
        <v>930</v>
      </c>
      <c r="M236" t="s">
        <v>26</v>
      </c>
      <c r="N236" t="s">
        <v>27</v>
      </c>
      <c r="O236" t="s">
        <v>931</v>
      </c>
      <c r="P236" t="str">
        <f t="shared" si="28"/>
        <v>2020130010203 IMPLEMENTACION SISTEMA DE GESTION HIDRICA DE LA CIENAGA DE LA VIRGEN Y RECUPERACION DEL MANGLAR DE CARTAGENA DE INDIAS</v>
      </c>
      <c r="Q236" t="str">
        <f t="shared" si="25"/>
        <v>06</v>
      </c>
      <c r="R236" t="str">
        <f t="shared" si="26"/>
        <v>00</v>
      </c>
      <c r="S236" s="1">
        <v>1300000000</v>
      </c>
      <c r="T236" s="1">
        <v>0</v>
      </c>
      <c r="U236" s="1">
        <v>1300000000</v>
      </c>
      <c r="V236" s="1">
        <v>0</v>
      </c>
      <c r="W236" s="1">
        <v>1300000000</v>
      </c>
      <c r="X236" s="1">
        <v>0</v>
      </c>
      <c r="Y236" s="1">
        <v>0</v>
      </c>
      <c r="Z236" s="1">
        <v>0</v>
      </c>
      <c r="AA236" s="1">
        <v>0</v>
      </c>
      <c r="AB236" s="1">
        <v>1300000000</v>
      </c>
      <c r="AC236" s="1">
        <v>0</v>
      </c>
    </row>
    <row r="237" spans="1:29" x14ac:dyDescent="0.3">
      <c r="A237">
        <v>2022</v>
      </c>
      <c r="B237">
        <v>100</v>
      </c>
      <c r="C237" t="str">
        <f>"02"</f>
        <v>02</v>
      </c>
      <c r="D237" t="s">
        <v>106</v>
      </c>
      <c r="E237" t="str">
        <f t="shared" si="27"/>
        <v>02 SECRETARIA DEL INTERIOR Y CONVIVENCIA CIUDADANAL</v>
      </c>
      <c r="F237" s="2">
        <v>2020130010210</v>
      </c>
      <c r="G237" s="2" t="str">
        <f>+VLOOKUP(F237,Hoja2!$F:$I,2,FALSE)</f>
        <v>10. PILAR: CARTAGENA TRANSPARENTE</v>
      </c>
      <c r="H237" s="2" t="str">
        <f>+VLOOKUP(F237,Hoja2!$F:$I,3,FALSE)</f>
        <v>10.3 LÍNEA ESTRATÉGICA: CONVIVENCIA Y SEGURIDAD PARA LA GOBERNABILIDAD</v>
      </c>
      <c r="I237" s="2" t="str">
        <f>+VLOOKUP(F237,Hoja2!$F:$I,4,FALSE)</f>
        <v>10.3.4 PROGRAMA: FORTALECIMIENTO CAPACIDAD OPERATIVA DE LA SECRETARIA DEL INTERIOR Y CONVIVENCIA CIUDADANA</v>
      </c>
      <c r="J237" t="s">
        <v>152</v>
      </c>
      <c r="K237" t="str">
        <f>"001"</f>
        <v>001</v>
      </c>
      <c r="L237" t="s">
        <v>25</v>
      </c>
      <c r="M237" t="s">
        <v>26</v>
      </c>
      <c r="N237" t="s">
        <v>27</v>
      </c>
      <c r="O237" t="s">
        <v>153</v>
      </c>
      <c r="P237" t="str">
        <f t="shared" si="28"/>
        <v>2020130010210 FORTALECIMIENTO DE LA CAPACIDAD OPERATIVA  DE LA SECRETARIA DEL INTERIOR Y CONVIVENCIA CIUDADANA  CARTAGENA DE INDIAS</v>
      </c>
      <c r="Q237" t="str">
        <f t="shared" si="25"/>
        <v>06</v>
      </c>
      <c r="R237" t="str">
        <f t="shared" si="26"/>
        <v>00</v>
      </c>
      <c r="S237" s="1">
        <v>167507042</v>
      </c>
      <c r="T237" s="1">
        <v>0</v>
      </c>
      <c r="U237" s="1">
        <v>167507042</v>
      </c>
      <c r="V237" s="1">
        <v>167507042</v>
      </c>
      <c r="W237" s="1">
        <v>0</v>
      </c>
      <c r="X237" s="1">
        <v>162990224.00999999</v>
      </c>
      <c r="Y237" s="1">
        <v>97.3</v>
      </c>
      <c r="Z237" s="1">
        <v>150042498.66999999</v>
      </c>
      <c r="AA237" s="1">
        <v>89.57</v>
      </c>
      <c r="AB237" s="1">
        <v>4516817.99</v>
      </c>
      <c r="AC237" s="1">
        <v>148395832.66999999</v>
      </c>
    </row>
    <row r="238" spans="1:29" x14ac:dyDescent="0.3">
      <c r="A238">
        <v>2022</v>
      </c>
      <c r="B238">
        <v>100</v>
      </c>
      <c r="C238" t="str">
        <f>"01"</f>
        <v>01</v>
      </c>
      <c r="D238" t="s">
        <v>23</v>
      </c>
      <c r="E238" t="str">
        <f t="shared" si="27"/>
        <v>01 DESPACHO DEL ALCALDE</v>
      </c>
      <c r="F238" s="2">
        <v>2020130010211</v>
      </c>
      <c r="G238" s="2" t="str">
        <f>+VLOOKUP(F238,Hoja2!$F:$I,2,FALSE)</f>
        <v>07. PILAR CARTAGENA RESILIENTE</v>
      </c>
      <c r="H238" s="2" t="str">
        <f>+VLOOKUP(F238,Hoja2!$F:$I,3,FALSE)</f>
        <v>7.2 LÍNEA ESTRATÉGICA ESPACIO PÚBLICO, MOVILIDAD Y TRANSPORTE RESILIENTE</v>
      </c>
      <c r="I238" s="2" t="str">
        <f>+VLOOKUP(F238,Hoja2!$F:$I,4,FALSE)</f>
        <v>7.2.1 SOSTENIBILIDAD DEL ESPACIO PÚBLICO</v>
      </c>
      <c r="J238" t="s">
        <v>94</v>
      </c>
      <c r="K238" t="str">
        <f>"080"</f>
        <v>080</v>
      </c>
      <c r="L238" t="s">
        <v>95</v>
      </c>
      <c r="M238" t="s">
        <v>26</v>
      </c>
      <c r="N238" t="s">
        <v>27</v>
      </c>
      <c r="O238" t="s">
        <v>96</v>
      </c>
      <c r="P238" t="str">
        <f t="shared" si="28"/>
        <v>2020130010211 CONSERVACION INTEGRAL DEL ESPACIO PUBLICO  CARTAGENA DE INDIAS</v>
      </c>
      <c r="Q238" t="str">
        <f t="shared" si="25"/>
        <v>06</v>
      </c>
      <c r="R238" t="str">
        <f t="shared" si="26"/>
        <v>00</v>
      </c>
      <c r="S238" s="1">
        <v>69663233</v>
      </c>
      <c r="T238" s="1">
        <v>0</v>
      </c>
      <c r="U238" s="1">
        <v>69663233</v>
      </c>
      <c r="V238" s="1">
        <v>0</v>
      </c>
      <c r="W238" s="1">
        <v>69663233</v>
      </c>
      <c r="X238" s="1">
        <v>0</v>
      </c>
      <c r="Y238" s="1">
        <v>0</v>
      </c>
      <c r="Z238" s="1">
        <v>0</v>
      </c>
      <c r="AA238" s="1">
        <v>0</v>
      </c>
      <c r="AB238" s="1">
        <v>69663233</v>
      </c>
      <c r="AC238" s="1">
        <v>0</v>
      </c>
    </row>
    <row r="239" spans="1:29" x14ac:dyDescent="0.3">
      <c r="A239">
        <v>2022</v>
      </c>
      <c r="B239">
        <v>100</v>
      </c>
      <c r="C239" t="str">
        <f>"01"</f>
        <v>01</v>
      </c>
      <c r="D239" t="s">
        <v>23</v>
      </c>
      <c r="E239" t="str">
        <f t="shared" si="27"/>
        <v>01 DESPACHO DEL ALCALDE</v>
      </c>
      <c r="F239" s="2">
        <v>2020130010211</v>
      </c>
      <c r="G239" s="2" t="str">
        <f>+VLOOKUP(F239,Hoja2!$F:$I,2,FALSE)</f>
        <v>07. PILAR CARTAGENA RESILIENTE</v>
      </c>
      <c r="H239" s="2" t="str">
        <f>+VLOOKUP(F239,Hoja2!$F:$I,3,FALSE)</f>
        <v>7.2 LÍNEA ESTRATÉGICA ESPACIO PÚBLICO, MOVILIDAD Y TRANSPORTE RESILIENTE</v>
      </c>
      <c r="I239" s="2" t="str">
        <f>+VLOOKUP(F239,Hoja2!$F:$I,4,FALSE)</f>
        <v>7.2.1 SOSTENIBILIDAD DEL ESPACIO PÚBLICO</v>
      </c>
      <c r="J239" t="s">
        <v>94</v>
      </c>
      <c r="K239" t="str">
        <f>"001"</f>
        <v>001</v>
      </c>
      <c r="L239" t="s">
        <v>25</v>
      </c>
      <c r="M239" t="s">
        <v>26</v>
      </c>
      <c r="N239" t="s">
        <v>27</v>
      </c>
      <c r="O239" t="s">
        <v>96</v>
      </c>
      <c r="P239" t="str">
        <f t="shared" si="28"/>
        <v>2020130010211 CONSERVACION INTEGRAL DEL ESPACIO PUBLICO  CARTAGENA DE INDIAS</v>
      </c>
      <c r="Q239" t="str">
        <f t="shared" si="25"/>
        <v>06</v>
      </c>
      <c r="R239" t="str">
        <f t="shared" si="26"/>
        <v>00</v>
      </c>
      <c r="S239" s="1">
        <v>400000000</v>
      </c>
      <c r="T239" s="1">
        <v>-18000000</v>
      </c>
      <c r="U239" s="1">
        <v>382000000</v>
      </c>
      <c r="V239" s="1">
        <v>382000000</v>
      </c>
      <c r="W239" s="1">
        <v>0</v>
      </c>
      <c r="X239" s="1">
        <v>353050000</v>
      </c>
      <c r="Y239" s="1">
        <v>92.42</v>
      </c>
      <c r="Z239" s="1">
        <v>353050000</v>
      </c>
      <c r="AA239" s="1">
        <v>92.42</v>
      </c>
      <c r="AB239" s="1">
        <v>28950000</v>
      </c>
      <c r="AC239" s="1">
        <v>328450000</v>
      </c>
    </row>
    <row r="240" spans="1:29" x14ac:dyDescent="0.3">
      <c r="A240">
        <v>2022</v>
      </c>
      <c r="B240">
        <v>100</v>
      </c>
      <c r="C240" t="str">
        <f>"17"</f>
        <v>17</v>
      </c>
      <c r="D240" t="s">
        <v>852</v>
      </c>
      <c r="E240" t="str">
        <f t="shared" si="27"/>
        <v>17 INSTITUTO DE PATRIMONIO Y CULTURA DE CARTAGENA DE INDIAS</v>
      </c>
      <c r="F240" s="2">
        <v>2020130010213</v>
      </c>
      <c r="G240" s="2" t="str">
        <f>+VLOOKUP(F240,Hoja2!$F:$I,2,FALSE)</f>
        <v>08. PILAR CARTAGENA INCLUYENTE</v>
      </c>
      <c r="H240" s="2" t="str">
        <f>+VLOOKUP(F240,Hoja2!$F:$I,3,FALSE)</f>
        <v>8.5 LÍNEA ESTRATÉGICA ARTES, CULTURA Y PATRIMONIO PARA UNA CARTAGENA INCLUYENTE</v>
      </c>
      <c r="I240" s="2" t="str">
        <f>+VLOOKUP(F240,Hoja2!$F:$I,4,FALSE)</f>
        <v xml:space="preserve">8.5.4 PROGRAMA: VALORACION, CIUDADO Y APROPIACION SOCIAL DEL PATRIMONIO MATERIAL </v>
      </c>
      <c r="J240" t="s">
        <v>869</v>
      </c>
      <c r="K240" t="str">
        <f>"057"</f>
        <v>057</v>
      </c>
      <c r="L240" t="s">
        <v>861</v>
      </c>
      <c r="M240" t="s">
        <v>26</v>
      </c>
      <c r="N240" t="s">
        <v>27</v>
      </c>
      <c r="O240" t="s">
        <v>870</v>
      </c>
      <c r="P240" t="str">
        <f t="shared" si="28"/>
        <v>2020130010213 FORTALECIMIENTO A LA APROPIACION SOCIAL Y DIVULGACION DEL PATRIMONIO MATERIAL EN EL DISTRITO DE  CARTAGENA DE INDIAS</v>
      </c>
      <c r="Q240" t="str">
        <f t="shared" si="25"/>
        <v>06</v>
      </c>
      <c r="R240" t="str">
        <f t="shared" si="26"/>
        <v>00</v>
      </c>
      <c r="S240" s="1">
        <v>104951903</v>
      </c>
      <c r="T240" s="1">
        <v>0</v>
      </c>
      <c r="U240" s="1">
        <v>104951903</v>
      </c>
      <c r="V240" s="1">
        <v>104950912.64</v>
      </c>
      <c r="W240" s="1">
        <v>990.36</v>
      </c>
      <c r="X240" s="1">
        <v>104950912.64</v>
      </c>
      <c r="Y240" s="1">
        <v>100</v>
      </c>
      <c r="Z240" s="1">
        <v>104950912.64</v>
      </c>
      <c r="AA240" s="1">
        <v>100</v>
      </c>
      <c r="AB240" s="1">
        <v>990.36</v>
      </c>
      <c r="AC240" s="1">
        <v>96205911.640000001</v>
      </c>
    </row>
    <row r="241" spans="1:29" x14ac:dyDescent="0.3">
      <c r="A241">
        <v>2022</v>
      </c>
      <c r="B241">
        <v>100</v>
      </c>
      <c r="C241" t="str">
        <f>"17"</f>
        <v>17</v>
      </c>
      <c r="D241" t="s">
        <v>852</v>
      </c>
      <c r="E241" t="str">
        <f t="shared" si="27"/>
        <v>17 INSTITUTO DE PATRIMONIO Y CULTURA DE CARTAGENA DE INDIAS</v>
      </c>
      <c r="F241" s="2">
        <v>2020130010213</v>
      </c>
      <c r="G241" s="2" t="str">
        <f>+VLOOKUP(F241,Hoja2!$F:$I,2,FALSE)</f>
        <v>08. PILAR CARTAGENA INCLUYENTE</v>
      </c>
      <c r="H241" s="2" t="str">
        <f>+VLOOKUP(F241,Hoja2!$F:$I,3,FALSE)</f>
        <v>8.5 LÍNEA ESTRATÉGICA ARTES, CULTURA Y PATRIMONIO PARA UNA CARTAGENA INCLUYENTE</v>
      </c>
      <c r="I241" s="2" t="str">
        <f>+VLOOKUP(F241,Hoja2!$F:$I,4,FALSE)</f>
        <v xml:space="preserve">8.5.4 PROGRAMA: VALORACION, CIUDADO Y APROPIACION SOCIAL DEL PATRIMONIO MATERIAL </v>
      </c>
      <c r="J241" t="s">
        <v>869</v>
      </c>
      <c r="K241" t="str">
        <f>"082"</f>
        <v>082</v>
      </c>
      <c r="L241" t="s">
        <v>876</v>
      </c>
      <c r="M241" t="s">
        <v>26</v>
      </c>
      <c r="N241" t="s">
        <v>27</v>
      </c>
      <c r="O241" t="s">
        <v>870</v>
      </c>
      <c r="P241" t="str">
        <f t="shared" si="28"/>
        <v>2020130010213 FORTALECIMIENTO A LA APROPIACION SOCIAL Y DIVULGACION DEL PATRIMONIO MATERIAL EN EL DISTRITO DE  CARTAGENA DE INDIAS</v>
      </c>
      <c r="Q241" t="str">
        <f t="shared" si="25"/>
        <v>06</v>
      </c>
      <c r="R241" t="str">
        <f t="shared" si="26"/>
        <v>00</v>
      </c>
      <c r="S241" s="1">
        <v>131600000</v>
      </c>
      <c r="T241" s="1">
        <v>0</v>
      </c>
      <c r="U241" s="1">
        <v>131600000</v>
      </c>
      <c r="V241" s="1">
        <v>0</v>
      </c>
      <c r="W241" s="1">
        <v>131600000</v>
      </c>
      <c r="X241" s="1">
        <v>0</v>
      </c>
      <c r="Y241" s="1">
        <v>0</v>
      </c>
      <c r="Z241" s="1">
        <v>0</v>
      </c>
      <c r="AA241" s="1">
        <v>0</v>
      </c>
      <c r="AB241" s="1">
        <v>131600000</v>
      </c>
      <c r="AC241" s="1">
        <v>0</v>
      </c>
    </row>
    <row r="242" spans="1:29" x14ac:dyDescent="0.3">
      <c r="A242">
        <v>2022</v>
      </c>
      <c r="B242">
        <v>100</v>
      </c>
      <c r="C242" t="str">
        <f>"17"</f>
        <v>17</v>
      </c>
      <c r="D242" t="s">
        <v>852</v>
      </c>
      <c r="E242" t="str">
        <f t="shared" si="27"/>
        <v>17 INSTITUTO DE PATRIMONIO Y CULTURA DE CARTAGENA DE INDIAS</v>
      </c>
      <c r="F242" s="2">
        <v>2020130010213</v>
      </c>
      <c r="G242" s="2" t="str">
        <f>+VLOOKUP(F242,Hoja2!$F:$I,2,FALSE)</f>
        <v>08. PILAR CARTAGENA INCLUYENTE</v>
      </c>
      <c r="H242" s="2" t="str">
        <f>+VLOOKUP(F242,Hoja2!$F:$I,3,FALSE)</f>
        <v>8.5 LÍNEA ESTRATÉGICA ARTES, CULTURA Y PATRIMONIO PARA UNA CARTAGENA INCLUYENTE</v>
      </c>
      <c r="I242" s="2" t="str">
        <f>+VLOOKUP(F242,Hoja2!$F:$I,4,FALSE)</f>
        <v xml:space="preserve">8.5.4 PROGRAMA: VALORACION, CIUDADO Y APROPIACION SOCIAL DEL PATRIMONIO MATERIAL </v>
      </c>
      <c r="J242" t="s">
        <v>869</v>
      </c>
      <c r="K242" t="str">
        <f>"001"</f>
        <v>001</v>
      </c>
      <c r="L242" t="s">
        <v>25</v>
      </c>
      <c r="M242" t="s">
        <v>26</v>
      </c>
      <c r="N242" t="s">
        <v>27</v>
      </c>
      <c r="O242" t="s">
        <v>870</v>
      </c>
      <c r="P242" t="str">
        <f t="shared" si="28"/>
        <v>2020130010213 FORTALECIMIENTO A LA APROPIACION SOCIAL Y DIVULGACION DEL PATRIMONIO MATERIAL EN EL DISTRITO DE  CARTAGENA DE INDIAS</v>
      </c>
      <c r="Q242" t="str">
        <f t="shared" si="25"/>
        <v>06</v>
      </c>
      <c r="R242" t="str">
        <f t="shared" si="26"/>
        <v>00</v>
      </c>
      <c r="S242" s="1">
        <v>150000000</v>
      </c>
      <c r="T242" s="1">
        <v>0</v>
      </c>
      <c r="U242" s="1">
        <v>150000000</v>
      </c>
      <c r="V242" s="1">
        <v>150000000</v>
      </c>
      <c r="W242" s="1">
        <v>0</v>
      </c>
      <c r="X242" s="1">
        <v>150000000</v>
      </c>
      <c r="Y242" s="1">
        <v>100</v>
      </c>
      <c r="Z242" s="1">
        <v>100710000</v>
      </c>
      <c r="AA242" s="1">
        <v>67.14</v>
      </c>
      <c r="AB242" s="1">
        <v>0</v>
      </c>
      <c r="AC242" s="1">
        <v>88065000</v>
      </c>
    </row>
    <row r="243" spans="1:29" x14ac:dyDescent="0.3">
      <c r="A243">
        <v>2022</v>
      </c>
      <c r="B243">
        <v>100</v>
      </c>
      <c r="C243" t="str">
        <f>"21"</f>
        <v>21</v>
      </c>
      <c r="D243" t="s">
        <v>893</v>
      </c>
      <c r="E243" t="str">
        <f t="shared" si="27"/>
        <v>21 ESTABLECIMIENTO PUBLICO AMBIENTAL-EPA</v>
      </c>
      <c r="F243" s="2">
        <v>2020130010216</v>
      </c>
      <c r="G243" s="2" t="str">
        <f>+VLOOKUP(F243,Hoja2!$F:$I,2,FALSE)</f>
        <v>07. PILAR CARTAGENA RESILIENTE</v>
      </c>
      <c r="H243" s="2" t="str">
        <f>+VLOOKUP(F243,Hoja2!$F:$I,3,FALSE)</f>
        <v>7.1 LÍNEA ESTRATÉGICA: “SALVEMOS JUNTOS NUESTRO PATRIMONIO NATURAL”</v>
      </c>
      <c r="I243" s="2" t="str">
        <f>+VLOOKUP(F243,Hoja2!$F:$I,4,FALSE)</f>
        <v>7.1.1 RECUPERAR Y RESTAURAR NUESTRAS ÁREAS NATURALES (BOSQUES Y BIODIVERSIDAD Y SERVICIOS ECO SISTÉMICOS)</v>
      </c>
      <c r="J243" t="s">
        <v>912</v>
      </c>
      <c r="K243" t="str">
        <f>"001"</f>
        <v>001</v>
      </c>
      <c r="L243" t="s">
        <v>25</v>
      </c>
      <c r="M243" t="s">
        <v>26</v>
      </c>
      <c r="N243" t="s">
        <v>27</v>
      </c>
      <c r="O243" t="s">
        <v>913</v>
      </c>
      <c r="P243" t="str">
        <f t="shared" si="28"/>
        <v>2020130010216 DOTACION Y ADECUACION DEL CENTRO DE ATENCION VALORACION Y REHABILITACION DE FAUNA SILVESTRE (CAVR BOCANA) DEL EPA CARTAGENA DE INDIAS</v>
      </c>
      <c r="Q243" t="str">
        <f t="shared" si="25"/>
        <v>06</v>
      </c>
      <c r="R243" t="str">
        <f t="shared" si="26"/>
        <v>00</v>
      </c>
      <c r="S243" s="1">
        <v>260000000</v>
      </c>
      <c r="T243" s="1">
        <v>0</v>
      </c>
      <c r="U243" s="1">
        <v>260000000</v>
      </c>
      <c r="V243" s="1">
        <v>260000000</v>
      </c>
      <c r="W243" s="1">
        <v>0</v>
      </c>
      <c r="X243" s="1">
        <v>260000000</v>
      </c>
      <c r="Y243" s="1">
        <v>100</v>
      </c>
      <c r="Z243" s="1">
        <v>260000000</v>
      </c>
      <c r="AA243" s="1">
        <v>100</v>
      </c>
      <c r="AB243" s="1">
        <v>0</v>
      </c>
      <c r="AC243" s="1">
        <v>260000000</v>
      </c>
    </row>
    <row r="244" spans="1:29" x14ac:dyDescent="0.3">
      <c r="A244">
        <v>2022</v>
      </c>
      <c r="B244">
        <v>100</v>
      </c>
      <c r="C244" t="str">
        <f t="shared" ref="C244:C251" si="30">"17"</f>
        <v>17</v>
      </c>
      <c r="D244" t="s">
        <v>852</v>
      </c>
      <c r="E244" t="str">
        <f t="shared" si="27"/>
        <v>17 INSTITUTO DE PATRIMONIO Y CULTURA DE CARTAGENA DE INDIAS</v>
      </c>
      <c r="F244" s="2">
        <v>2020130010218</v>
      </c>
      <c r="G244" s="2" t="str">
        <f>+VLOOKUP(F244,Hoja2!$F:$I,2,FALSE)</f>
        <v>08. PILAR CARTAGENA INCLUYENTE</v>
      </c>
      <c r="H244" s="2" t="str">
        <f>+VLOOKUP(F244,Hoja2!$F:$I,3,FALSE)</f>
        <v>8.5 LÍNEA ESTRATÉGICA ARTES, CULTURA Y PATRIMONIO PARA UNA CARTAGENA INCLUYENTE</v>
      </c>
      <c r="I244" s="2" t="str">
        <f>+VLOOKUP(F244,Hoja2!$F:$I,4,FALSE)</f>
        <v>8.5.6 PROGRAMA: INFRAESTRUCTURA CULTURAL PARA LA INCLUSIÓN</v>
      </c>
      <c r="J244" t="s">
        <v>855</v>
      </c>
      <c r="K244" t="str">
        <f>"833"</f>
        <v>833</v>
      </c>
      <c r="L244" t="s">
        <v>856</v>
      </c>
      <c r="M244" t="s">
        <v>26</v>
      </c>
      <c r="N244" t="s">
        <v>27</v>
      </c>
      <c r="O244" t="s">
        <v>857</v>
      </c>
      <c r="P244" t="str">
        <f t="shared" si="28"/>
        <v>2020130010218 MANTENIMIENTO DE LA INFRAESTRUCTURA CULTURAL PARA LA INCLUSION EN EL DISTRITO DE  CARTAGENA DE INDIAS</v>
      </c>
      <c r="Q244" t="str">
        <f t="shared" si="25"/>
        <v>06</v>
      </c>
      <c r="R244" t="str">
        <f t="shared" si="26"/>
        <v>00</v>
      </c>
      <c r="S244" s="1">
        <v>0</v>
      </c>
      <c r="T244" s="1">
        <v>567491245</v>
      </c>
      <c r="U244" s="1">
        <v>567491245</v>
      </c>
      <c r="V244" s="1">
        <v>567491245</v>
      </c>
      <c r="W244" s="1">
        <v>0</v>
      </c>
      <c r="X244" s="1">
        <v>567491245</v>
      </c>
      <c r="Y244" s="1">
        <v>100</v>
      </c>
      <c r="Z244" s="1">
        <v>567491245</v>
      </c>
      <c r="AA244" s="1">
        <v>100</v>
      </c>
      <c r="AB244" s="1">
        <v>0</v>
      </c>
      <c r="AC244" s="1">
        <v>567491245</v>
      </c>
    </row>
    <row r="245" spans="1:29" x14ac:dyDescent="0.3">
      <c r="A245">
        <v>2022</v>
      </c>
      <c r="B245">
        <v>100</v>
      </c>
      <c r="C245" t="str">
        <f t="shared" si="30"/>
        <v>17</v>
      </c>
      <c r="D245" t="s">
        <v>852</v>
      </c>
      <c r="E245" t="str">
        <f t="shared" si="27"/>
        <v>17 INSTITUTO DE PATRIMONIO Y CULTURA DE CARTAGENA DE INDIAS</v>
      </c>
      <c r="F245" s="2">
        <v>2020130010218</v>
      </c>
      <c r="G245" s="2" t="str">
        <f>+VLOOKUP(F245,Hoja2!$F:$I,2,FALSE)</f>
        <v>08. PILAR CARTAGENA INCLUYENTE</v>
      </c>
      <c r="H245" s="2" t="str">
        <f>+VLOOKUP(F245,Hoja2!$F:$I,3,FALSE)</f>
        <v>8.5 LÍNEA ESTRATÉGICA ARTES, CULTURA Y PATRIMONIO PARA UNA CARTAGENA INCLUYENTE</v>
      </c>
      <c r="I245" s="2" t="str">
        <f>+VLOOKUP(F245,Hoja2!$F:$I,4,FALSE)</f>
        <v>8.5.6 PROGRAMA: INFRAESTRUCTURA CULTURAL PARA LA INCLUSIÓN</v>
      </c>
      <c r="J245" t="s">
        <v>855</v>
      </c>
      <c r="K245" t="str">
        <f>"057"</f>
        <v>057</v>
      </c>
      <c r="L245" t="s">
        <v>861</v>
      </c>
      <c r="M245" t="s">
        <v>26</v>
      </c>
      <c r="N245" t="s">
        <v>27</v>
      </c>
      <c r="O245" t="s">
        <v>857</v>
      </c>
      <c r="P245" t="str">
        <f t="shared" si="28"/>
        <v>2020130010218 MANTENIMIENTO DE LA INFRAESTRUCTURA CULTURAL PARA LA INCLUSION EN EL DISTRITO DE  CARTAGENA DE INDIAS</v>
      </c>
      <c r="Q245" t="str">
        <f t="shared" si="25"/>
        <v>06</v>
      </c>
      <c r="R245" t="str">
        <f t="shared" si="26"/>
        <v>00</v>
      </c>
      <c r="S245" s="1">
        <v>539417050</v>
      </c>
      <c r="T245" s="1">
        <v>0</v>
      </c>
      <c r="U245" s="1">
        <v>539417050</v>
      </c>
      <c r="V245" s="1">
        <v>539417049.32000005</v>
      </c>
      <c r="W245" s="1">
        <v>0.68</v>
      </c>
      <c r="X245" s="1">
        <v>539417049.32000005</v>
      </c>
      <c r="Y245" s="1">
        <v>100</v>
      </c>
      <c r="Z245" s="1">
        <v>539417049.32000005</v>
      </c>
      <c r="AA245" s="1">
        <v>100</v>
      </c>
      <c r="AB245" s="1">
        <v>0.68</v>
      </c>
      <c r="AC245" s="1">
        <v>539417049.32000005</v>
      </c>
    </row>
    <row r="246" spans="1:29" x14ac:dyDescent="0.3">
      <c r="A246">
        <v>2022</v>
      </c>
      <c r="B246">
        <v>100</v>
      </c>
      <c r="C246" t="str">
        <f t="shared" si="30"/>
        <v>17</v>
      </c>
      <c r="D246" t="s">
        <v>852</v>
      </c>
      <c r="E246" t="str">
        <f t="shared" si="27"/>
        <v>17 INSTITUTO DE PATRIMONIO Y CULTURA DE CARTAGENA DE INDIAS</v>
      </c>
      <c r="F246" s="2">
        <v>2020130010218</v>
      </c>
      <c r="G246" s="2" t="str">
        <f>+VLOOKUP(F246,Hoja2!$F:$I,2,FALSE)</f>
        <v>08. PILAR CARTAGENA INCLUYENTE</v>
      </c>
      <c r="H246" s="2" t="str">
        <f>+VLOOKUP(F246,Hoja2!$F:$I,3,FALSE)</f>
        <v>8.5 LÍNEA ESTRATÉGICA ARTES, CULTURA Y PATRIMONIO PARA UNA CARTAGENA INCLUYENTE</v>
      </c>
      <c r="I246" s="2" t="str">
        <f>+VLOOKUP(F246,Hoja2!$F:$I,4,FALSE)</f>
        <v>8.5.6 PROGRAMA: INFRAESTRUCTURA CULTURAL PARA LA INCLUSIÓN</v>
      </c>
      <c r="J246" t="s">
        <v>855</v>
      </c>
      <c r="K246" t="str">
        <f>"082"</f>
        <v>082</v>
      </c>
      <c r="L246" t="s">
        <v>876</v>
      </c>
      <c r="M246" t="s">
        <v>26</v>
      </c>
      <c r="N246" t="s">
        <v>27</v>
      </c>
      <c r="O246" t="s">
        <v>857</v>
      </c>
      <c r="P246" t="str">
        <f t="shared" si="28"/>
        <v>2020130010218 MANTENIMIENTO DE LA INFRAESTRUCTURA CULTURAL PARA LA INCLUSION EN EL DISTRITO DE  CARTAGENA DE INDIAS</v>
      </c>
      <c r="Q246" t="str">
        <f t="shared" si="25"/>
        <v>06</v>
      </c>
      <c r="R246" t="str">
        <f t="shared" si="26"/>
        <v>00</v>
      </c>
      <c r="S246" s="1">
        <v>220480160</v>
      </c>
      <c r="T246" s="1">
        <v>0</v>
      </c>
      <c r="U246" s="1">
        <v>220480160</v>
      </c>
      <c r="V246" s="1">
        <v>0</v>
      </c>
      <c r="W246" s="1">
        <v>220480160</v>
      </c>
      <c r="X246" s="1">
        <v>0</v>
      </c>
      <c r="Y246" s="1">
        <v>0</v>
      </c>
      <c r="Z246" s="1">
        <v>0</v>
      </c>
      <c r="AA246" s="1">
        <v>0</v>
      </c>
      <c r="AB246" s="1">
        <v>220480160</v>
      </c>
      <c r="AC246" s="1">
        <v>0</v>
      </c>
    </row>
    <row r="247" spans="1:29" x14ac:dyDescent="0.3">
      <c r="A247">
        <v>2022</v>
      </c>
      <c r="B247">
        <v>100</v>
      </c>
      <c r="C247" t="str">
        <f t="shared" si="30"/>
        <v>17</v>
      </c>
      <c r="D247" t="s">
        <v>852</v>
      </c>
      <c r="E247" t="str">
        <f t="shared" si="27"/>
        <v>17 INSTITUTO DE PATRIMONIO Y CULTURA DE CARTAGENA DE INDIAS</v>
      </c>
      <c r="F247" s="2">
        <v>2020130010218</v>
      </c>
      <c r="G247" s="2" t="str">
        <f>+VLOOKUP(F247,Hoja2!$F:$I,2,FALSE)</f>
        <v>08. PILAR CARTAGENA INCLUYENTE</v>
      </c>
      <c r="H247" s="2" t="str">
        <f>+VLOOKUP(F247,Hoja2!$F:$I,3,FALSE)</f>
        <v>8.5 LÍNEA ESTRATÉGICA ARTES, CULTURA Y PATRIMONIO PARA UNA CARTAGENA INCLUYENTE</v>
      </c>
      <c r="I247" s="2" t="str">
        <f>+VLOOKUP(F247,Hoja2!$F:$I,4,FALSE)</f>
        <v>8.5.6 PROGRAMA: INFRAESTRUCTURA CULTURAL PARA LA INCLUSIÓN</v>
      </c>
      <c r="J247" t="s">
        <v>855</v>
      </c>
      <c r="K247" t="str">
        <f>"123"</f>
        <v>123</v>
      </c>
      <c r="L247" t="s">
        <v>878</v>
      </c>
      <c r="M247" t="s">
        <v>26</v>
      </c>
      <c r="N247" t="s">
        <v>27</v>
      </c>
      <c r="O247" t="s">
        <v>857</v>
      </c>
      <c r="P247" t="str">
        <f t="shared" si="28"/>
        <v>2020130010218 MANTENIMIENTO DE LA INFRAESTRUCTURA CULTURAL PARA LA INCLUSION EN EL DISTRITO DE  CARTAGENA DE INDIAS</v>
      </c>
      <c r="Q247" t="str">
        <f t="shared" si="25"/>
        <v>06</v>
      </c>
      <c r="R247" t="str">
        <f t="shared" si="26"/>
        <v>00</v>
      </c>
      <c r="S247" s="1">
        <v>26179596</v>
      </c>
      <c r="T247" s="1">
        <v>0</v>
      </c>
      <c r="U247" s="1">
        <v>26179596</v>
      </c>
      <c r="V247" s="1">
        <v>26179596</v>
      </c>
      <c r="W247" s="1">
        <v>0</v>
      </c>
      <c r="X247" s="1">
        <v>26179596</v>
      </c>
      <c r="Y247" s="1">
        <v>100</v>
      </c>
      <c r="Z247" s="1">
        <v>26179596</v>
      </c>
      <c r="AA247" s="1">
        <v>100</v>
      </c>
      <c r="AB247" s="1">
        <v>0</v>
      </c>
      <c r="AC247" s="1">
        <v>13000000</v>
      </c>
    </row>
    <row r="248" spans="1:29" x14ac:dyDescent="0.3">
      <c r="A248">
        <v>2022</v>
      </c>
      <c r="B248">
        <v>100</v>
      </c>
      <c r="C248" t="str">
        <f t="shared" si="30"/>
        <v>17</v>
      </c>
      <c r="D248" t="s">
        <v>852</v>
      </c>
      <c r="E248" t="str">
        <f t="shared" si="27"/>
        <v>17 INSTITUTO DE PATRIMONIO Y CULTURA DE CARTAGENA DE INDIAS</v>
      </c>
      <c r="F248" s="2">
        <v>2020130010218</v>
      </c>
      <c r="G248" s="2" t="str">
        <f>+VLOOKUP(F248,Hoja2!$F:$I,2,FALSE)</f>
        <v>08. PILAR CARTAGENA INCLUYENTE</v>
      </c>
      <c r="H248" s="2" t="str">
        <f>+VLOOKUP(F248,Hoja2!$F:$I,3,FALSE)</f>
        <v>8.5 LÍNEA ESTRATÉGICA ARTES, CULTURA Y PATRIMONIO PARA UNA CARTAGENA INCLUYENTE</v>
      </c>
      <c r="I248" s="2" t="str">
        <f>+VLOOKUP(F248,Hoja2!$F:$I,4,FALSE)</f>
        <v>8.5.6 PROGRAMA: INFRAESTRUCTURA CULTURAL PARA LA INCLUSIÓN</v>
      </c>
      <c r="J248" t="s">
        <v>855</v>
      </c>
      <c r="K248" t="str">
        <f>"134"</f>
        <v>134</v>
      </c>
      <c r="L248" t="s">
        <v>879</v>
      </c>
      <c r="M248" t="s">
        <v>26</v>
      </c>
      <c r="N248" t="s">
        <v>27</v>
      </c>
      <c r="O248" t="s">
        <v>857</v>
      </c>
      <c r="P248" t="str">
        <f t="shared" si="28"/>
        <v>2020130010218 MANTENIMIENTO DE LA INFRAESTRUCTURA CULTURAL PARA LA INCLUSION EN EL DISTRITO DE  CARTAGENA DE INDIAS</v>
      </c>
      <c r="Q248" t="str">
        <f t="shared" si="25"/>
        <v>06</v>
      </c>
      <c r="R248" t="str">
        <f t="shared" si="26"/>
        <v>00</v>
      </c>
      <c r="S248" s="1">
        <v>213800000</v>
      </c>
      <c r="T248" s="1">
        <v>0</v>
      </c>
      <c r="U248" s="1">
        <v>213800000</v>
      </c>
      <c r="V248" s="1">
        <v>213800000</v>
      </c>
      <c r="W248" s="1">
        <v>0</v>
      </c>
      <c r="X248" s="1">
        <v>213800000</v>
      </c>
      <c r="Y248" s="1">
        <v>100</v>
      </c>
      <c r="Z248" s="1">
        <v>213800000</v>
      </c>
      <c r="AA248" s="1">
        <v>100</v>
      </c>
      <c r="AB248" s="1">
        <v>0</v>
      </c>
      <c r="AC248" s="1">
        <v>0</v>
      </c>
    </row>
    <row r="249" spans="1:29" x14ac:dyDescent="0.3">
      <c r="A249">
        <v>2022</v>
      </c>
      <c r="B249">
        <v>100</v>
      </c>
      <c r="C249" t="str">
        <f t="shared" si="30"/>
        <v>17</v>
      </c>
      <c r="D249" t="s">
        <v>852</v>
      </c>
      <c r="E249" t="str">
        <f t="shared" si="27"/>
        <v>17 INSTITUTO DE PATRIMONIO Y CULTURA DE CARTAGENA DE INDIAS</v>
      </c>
      <c r="F249" s="2">
        <v>2020130010218</v>
      </c>
      <c r="G249" s="2" t="str">
        <f>+VLOOKUP(F249,Hoja2!$F:$I,2,FALSE)</f>
        <v>08. PILAR CARTAGENA INCLUYENTE</v>
      </c>
      <c r="H249" s="2" t="str">
        <f>+VLOOKUP(F249,Hoja2!$F:$I,3,FALSE)</f>
        <v>8.5 LÍNEA ESTRATÉGICA ARTES, CULTURA Y PATRIMONIO PARA UNA CARTAGENA INCLUYENTE</v>
      </c>
      <c r="I249" s="2" t="str">
        <f>+VLOOKUP(F249,Hoja2!$F:$I,4,FALSE)</f>
        <v>8.5.6 PROGRAMA: INFRAESTRUCTURA CULTURAL PARA LA INCLUSIÓN</v>
      </c>
      <c r="J249" t="s">
        <v>855</v>
      </c>
      <c r="K249" t="str">
        <f>"032"</f>
        <v>032</v>
      </c>
      <c r="L249" t="s">
        <v>885</v>
      </c>
      <c r="M249" t="s">
        <v>26</v>
      </c>
      <c r="N249" t="s">
        <v>27</v>
      </c>
      <c r="O249" t="s">
        <v>857</v>
      </c>
      <c r="P249" t="str">
        <f t="shared" si="28"/>
        <v>2020130010218 MANTENIMIENTO DE LA INFRAESTRUCTURA CULTURAL PARA LA INCLUSION EN EL DISTRITO DE  CARTAGENA DE INDIAS</v>
      </c>
      <c r="Q249" t="str">
        <f t="shared" si="25"/>
        <v>06</v>
      </c>
      <c r="R249" t="str">
        <f t="shared" si="26"/>
        <v>00</v>
      </c>
      <c r="S249" s="1">
        <v>250000000</v>
      </c>
      <c r="T249" s="1">
        <v>0</v>
      </c>
      <c r="U249" s="1">
        <v>250000000</v>
      </c>
      <c r="V249" s="1">
        <v>0</v>
      </c>
      <c r="W249" s="1">
        <v>250000000</v>
      </c>
      <c r="X249" s="1">
        <v>0</v>
      </c>
      <c r="Y249" s="1">
        <v>0</v>
      </c>
      <c r="Z249" s="1">
        <v>0</v>
      </c>
      <c r="AA249" s="1">
        <v>0</v>
      </c>
      <c r="AB249" s="1">
        <v>250000000</v>
      </c>
      <c r="AC249" s="1">
        <v>0</v>
      </c>
    </row>
    <row r="250" spans="1:29" x14ac:dyDescent="0.3">
      <c r="A250">
        <v>2022</v>
      </c>
      <c r="B250">
        <v>100</v>
      </c>
      <c r="C250" t="str">
        <f t="shared" si="30"/>
        <v>17</v>
      </c>
      <c r="D250" t="s">
        <v>852</v>
      </c>
      <c r="E250" t="str">
        <f t="shared" si="27"/>
        <v>17 INSTITUTO DE PATRIMONIO Y CULTURA DE CARTAGENA DE INDIAS</v>
      </c>
      <c r="F250" s="2">
        <v>2020130010218</v>
      </c>
      <c r="G250" s="2" t="str">
        <f>+VLOOKUP(F250,Hoja2!$F:$I,2,FALSE)</f>
        <v>08. PILAR CARTAGENA INCLUYENTE</v>
      </c>
      <c r="H250" s="2" t="str">
        <f>+VLOOKUP(F250,Hoja2!$F:$I,3,FALSE)</f>
        <v>8.5 LÍNEA ESTRATÉGICA ARTES, CULTURA Y PATRIMONIO PARA UNA CARTAGENA INCLUYENTE</v>
      </c>
      <c r="I250" s="2" t="str">
        <f>+VLOOKUP(F250,Hoja2!$F:$I,4,FALSE)</f>
        <v>8.5.6 PROGRAMA: INFRAESTRUCTURA CULTURAL PARA LA INCLUSIÓN</v>
      </c>
      <c r="J250" t="s">
        <v>855</v>
      </c>
      <c r="K250" t="str">
        <f>"848"</f>
        <v>848</v>
      </c>
      <c r="L250" t="s">
        <v>888</v>
      </c>
      <c r="M250" t="s">
        <v>26</v>
      </c>
      <c r="N250" t="s">
        <v>27</v>
      </c>
      <c r="O250" t="s">
        <v>889</v>
      </c>
      <c r="P250" t="str">
        <f t="shared" si="28"/>
        <v>2020130010218 MANTENIMIENTO DE LA INFRAESTRUCTURA CULTURAL PARA LA INCLUSION EN EL DISTRITO DE CARTAGENA DE INDIAS</v>
      </c>
      <c r="Q250" t="str">
        <f t="shared" si="25"/>
        <v>06</v>
      </c>
      <c r="R250" t="str">
        <f t="shared" si="26"/>
        <v>00</v>
      </c>
      <c r="S250" s="1">
        <v>0</v>
      </c>
      <c r="T250" s="1">
        <v>54641497.520000003</v>
      </c>
      <c r="U250" s="1">
        <v>54641497.520000003</v>
      </c>
      <c r="V250" s="1">
        <v>54041407</v>
      </c>
      <c r="W250" s="1">
        <v>600090.52</v>
      </c>
      <c r="X250" s="1">
        <v>54041407</v>
      </c>
      <c r="Y250" s="1">
        <v>98.9</v>
      </c>
      <c r="Z250" s="1">
        <v>54041407</v>
      </c>
      <c r="AA250" s="1">
        <v>98.9</v>
      </c>
      <c r="AB250" s="1">
        <v>600090.52</v>
      </c>
      <c r="AC250" s="1">
        <v>0</v>
      </c>
    </row>
    <row r="251" spans="1:29" x14ac:dyDescent="0.3">
      <c r="A251">
        <v>2022</v>
      </c>
      <c r="B251">
        <v>100</v>
      </c>
      <c r="C251" t="str">
        <f t="shared" si="30"/>
        <v>17</v>
      </c>
      <c r="D251" t="s">
        <v>852</v>
      </c>
      <c r="E251" t="str">
        <f t="shared" si="27"/>
        <v>17 INSTITUTO DE PATRIMONIO Y CULTURA DE CARTAGENA DE INDIAS</v>
      </c>
      <c r="F251" s="2">
        <v>2020130010218</v>
      </c>
      <c r="G251" s="2" t="str">
        <f>+VLOOKUP(F251,Hoja2!$F:$I,2,FALSE)</f>
        <v>08. PILAR CARTAGENA INCLUYENTE</v>
      </c>
      <c r="H251" s="2" t="str">
        <f>+VLOOKUP(F251,Hoja2!$F:$I,3,FALSE)</f>
        <v>8.5 LÍNEA ESTRATÉGICA ARTES, CULTURA Y PATRIMONIO PARA UNA CARTAGENA INCLUYENTE</v>
      </c>
      <c r="I251" s="2" t="str">
        <f>+VLOOKUP(F251,Hoja2!$F:$I,4,FALSE)</f>
        <v>8.5.6 PROGRAMA: INFRAESTRUCTURA CULTURAL PARA LA INCLUSIÓN</v>
      </c>
      <c r="J251" t="s">
        <v>855</v>
      </c>
      <c r="K251" t="str">
        <f>"001"</f>
        <v>001</v>
      </c>
      <c r="L251" t="s">
        <v>25</v>
      </c>
      <c r="M251" t="s">
        <v>26</v>
      </c>
      <c r="N251" t="s">
        <v>27</v>
      </c>
      <c r="O251" t="s">
        <v>857</v>
      </c>
      <c r="P251" t="str">
        <f t="shared" si="28"/>
        <v>2020130010218 MANTENIMIENTO DE LA INFRAESTRUCTURA CULTURAL PARA LA INCLUSION EN EL DISTRITO DE  CARTAGENA DE INDIAS</v>
      </c>
      <c r="Q251" t="str">
        <f t="shared" si="25"/>
        <v>06</v>
      </c>
      <c r="R251" t="str">
        <f t="shared" si="26"/>
        <v>00</v>
      </c>
      <c r="S251" s="1">
        <v>800000000</v>
      </c>
      <c r="T251" s="1">
        <v>0</v>
      </c>
      <c r="U251" s="1">
        <v>800000000</v>
      </c>
      <c r="V251" s="1">
        <v>800000000</v>
      </c>
      <c r="W251" s="1">
        <v>0</v>
      </c>
      <c r="X251" s="1">
        <v>800000000</v>
      </c>
      <c r="Y251" s="1">
        <v>100</v>
      </c>
      <c r="Z251" s="1">
        <v>800000000</v>
      </c>
      <c r="AA251" s="1">
        <v>100</v>
      </c>
      <c r="AB251" s="1">
        <v>0</v>
      </c>
      <c r="AC251" s="1">
        <v>800000000</v>
      </c>
    </row>
    <row r="252" spans="1:29" x14ac:dyDescent="0.3">
      <c r="A252">
        <v>2022</v>
      </c>
      <c r="B252">
        <v>100</v>
      </c>
      <c r="C252" t="str">
        <f t="shared" ref="C252:C257" si="31">"13"</f>
        <v>13</v>
      </c>
      <c r="D252" t="s">
        <v>767</v>
      </c>
      <c r="E252" t="str">
        <f t="shared" si="27"/>
        <v>13 DEPARTAMENTO ADMINISTRATIVO DE VALORIZACION</v>
      </c>
      <c r="F252" s="2">
        <v>2020130010239</v>
      </c>
      <c r="G252" s="2" t="str">
        <f>+VLOOKUP(F252,Hoja2!$F:$I,2,FALSE)</f>
        <v>07. PILAR CARTAGENA RESILIENTE</v>
      </c>
      <c r="H252" s="2" t="str">
        <f>+VLOOKUP(F252,Hoja2!$F:$I,3,FALSE)</f>
        <v>7.3 LÍNEA ESTRATÉGICA DESARROLLO URBANO</v>
      </c>
      <c r="I252" s="2" t="str">
        <f>+VLOOKUP(F252,Hoja2!$F:$I,4,FALSE)</f>
        <v>7.3.2 SISTEMA HÍDRICO Y PLAN MAESTRO DE ALCANTARILLADO PLUVIALES EN LA CIUDAD PARA SALVAR EL HÁBITAT</v>
      </c>
      <c r="J252" t="s">
        <v>768</v>
      </c>
      <c r="K252" t="str">
        <f>"858"</f>
        <v>858</v>
      </c>
      <c r="L252" t="s">
        <v>769</v>
      </c>
      <c r="M252" t="s">
        <v>26</v>
      </c>
      <c r="N252" t="s">
        <v>27</v>
      </c>
      <c r="O252" t="s">
        <v>770</v>
      </c>
      <c r="P252" t="str">
        <f t="shared" si="28"/>
        <v>2020130010239 CONSTRUCCION SISTEMA HIDRICO Y PLAN MAESTRO DE DRENAJES PLUVIALES EN LA CIUDAD DE CARTAGENA PARA SALVAR EL HABITAT CARTAGENA DE INDIAS</v>
      </c>
      <c r="Q252" t="str">
        <f t="shared" si="25"/>
        <v>06</v>
      </c>
      <c r="R252" t="str">
        <f t="shared" si="26"/>
        <v>00</v>
      </c>
      <c r="S252" s="1">
        <v>0</v>
      </c>
      <c r="T252" s="1">
        <v>0.47</v>
      </c>
      <c r="U252" s="1">
        <v>0.47</v>
      </c>
      <c r="V252" s="1">
        <v>0</v>
      </c>
      <c r="W252" s="1">
        <v>0.47</v>
      </c>
      <c r="X252" s="1">
        <v>0</v>
      </c>
      <c r="Y252" s="1">
        <v>0</v>
      </c>
      <c r="Z252" s="1">
        <v>0</v>
      </c>
      <c r="AA252" s="1">
        <v>0</v>
      </c>
      <c r="AB252" s="1">
        <v>0.47</v>
      </c>
      <c r="AC252" s="1">
        <v>0</v>
      </c>
    </row>
    <row r="253" spans="1:29" x14ac:dyDescent="0.3">
      <c r="A253">
        <v>2022</v>
      </c>
      <c r="B253">
        <v>100</v>
      </c>
      <c r="C253" t="str">
        <f t="shared" si="31"/>
        <v>13</v>
      </c>
      <c r="D253" t="s">
        <v>767</v>
      </c>
      <c r="E253" t="str">
        <f t="shared" si="27"/>
        <v>13 DEPARTAMENTO ADMINISTRATIVO DE VALORIZACION</v>
      </c>
      <c r="F253" s="2">
        <v>2020130010239</v>
      </c>
      <c r="G253" s="2" t="str">
        <f>+VLOOKUP(F253,Hoja2!$F:$I,2,FALSE)</f>
        <v>07. PILAR CARTAGENA RESILIENTE</v>
      </c>
      <c r="H253" s="2" t="str">
        <f>+VLOOKUP(F253,Hoja2!$F:$I,3,FALSE)</f>
        <v>7.3 LÍNEA ESTRATÉGICA DESARROLLO URBANO</v>
      </c>
      <c r="I253" s="2" t="str">
        <f>+VLOOKUP(F253,Hoja2!$F:$I,4,FALSE)</f>
        <v>7.3.2 SISTEMA HÍDRICO Y PLAN MAESTRO DE ALCANTARILLADO PLUVIALES EN LA CIUDAD PARA SALVAR EL HÁBITAT</v>
      </c>
      <c r="J253" t="s">
        <v>768</v>
      </c>
      <c r="K253" t="str">
        <f>"881"</f>
        <v>881</v>
      </c>
      <c r="L253" t="s">
        <v>773</v>
      </c>
      <c r="M253" t="s">
        <v>26</v>
      </c>
      <c r="N253" t="s">
        <v>27</v>
      </c>
      <c r="O253" t="s">
        <v>770</v>
      </c>
      <c r="P253" t="str">
        <f t="shared" si="28"/>
        <v>2020130010239 CONSTRUCCION SISTEMA HIDRICO Y PLAN MAESTRO DE DRENAJES PLUVIALES EN LA CIUDAD DE CARTAGENA PARA SALVAR EL HABITAT CARTAGENA DE INDIAS</v>
      </c>
      <c r="Q253" t="str">
        <f t="shared" si="25"/>
        <v>06</v>
      </c>
      <c r="R253" t="str">
        <f t="shared" si="26"/>
        <v>00</v>
      </c>
      <c r="S253" s="1">
        <v>0</v>
      </c>
      <c r="T253" s="1">
        <v>0.12</v>
      </c>
      <c r="U253" s="1">
        <v>0.12</v>
      </c>
      <c r="V253" s="1">
        <v>0</v>
      </c>
      <c r="W253" s="1">
        <v>0.12</v>
      </c>
      <c r="X253" s="1">
        <v>0</v>
      </c>
      <c r="Y253" s="1">
        <v>0</v>
      </c>
      <c r="Z253" s="1">
        <v>0</v>
      </c>
      <c r="AA253" s="1">
        <v>0</v>
      </c>
      <c r="AB253" s="1">
        <v>0.12</v>
      </c>
      <c r="AC253" s="1">
        <v>0</v>
      </c>
    </row>
    <row r="254" spans="1:29" x14ac:dyDescent="0.3">
      <c r="A254">
        <v>2022</v>
      </c>
      <c r="B254">
        <v>100</v>
      </c>
      <c r="C254" t="str">
        <f t="shared" si="31"/>
        <v>13</v>
      </c>
      <c r="D254" t="s">
        <v>767</v>
      </c>
      <c r="E254" t="str">
        <f t="shared" si="27"/>
        <v>13 DEPARTAMENTO ADMINISTRATIVO DE VALORIZACION</v>
      </c>
      <c r="F254" s="2">
        <v>2020130010239</v>
      </c>
      <c r="G254" s="2" t="str">
        <f>+VLOOKUP(F254,Hoja2!$F:$I,2,FALSE)</f>
        <v>07. PILAR CARTAGENA RESILIENTE</v>
      </c>
      <c r="H254" s="2" t="str">
        <f>+VLOOKUP(F254,Hoja2!$F:$I,3,FALSE)</f>
        <v>7.3 LÍNEA ESTRATÉGICA DESARROLLO URBANO</v>
      </c>
      <c r="I254" s="2" t="str">
        <f>+VLOOKUP(F254,Hoja2!$F:$I,4,FALSE)</f>
        <v>7.3.2 SISTEMA HÍDRICO Y PLAN MAESTRO DE ALCANTARILLADO PLUVIALES EN LA CIUDAD PARA SALVAR EL HÁBITAT</v>
      </c>
      <c r="J254" t="s">
        <v>768</v>
      </c>
      <c r="K254" t="str">
        <f>"885"</f>
        <v>885</v>
      </c>
      <c r="L254" t="s">
        <v>774</v>
      </c>
      <c r="M254" t="s">
        <v>26</v>
      </c>
      <c r="N254" t="s">
        <v>27</v>
      </c>
      <c r="O254" t="s">
        <v>770</v>
      </c>
      <c r="P254" t="str">
        <f t="shared" si="28"/>
        <v>2020130010239 CONSTRUCCION SISTEMA HIDRICO Y PLAN MAESTRO DE DRENAJES PLUVIALES EN LA CIUDAD DE CARTAGENA PARA SALVAR EL HABITAT CARTAGENA DE INDIAS</v>
      </c>
      <c r="Q254" t="str">
        <f t="shared" si="25"/>
        <v>06</v>
      </c>
      <c r="R254" t="str">
        <f t="shared" si="26"/>
        <v>00</v>
      </c>
      <c r="S254" s="1">
        <v>0</v>
      </c>
      <c r="T254" s="1">
        <v>0</v>
      </c>
      <c r="U254" s="1">
        <v>0</v>
      </c>
      <c r="V254" s="1">
        <v>0</v>
      </c>
      <c r="W254" s="1">
        <v>0</v>
      </c>
      <c r="X254" s="1">
        <v>0</v>
      </c>
      <c r="Y254" s="1">
        <v>0</v>
      </c>
      <c r="Z254" s="1">
        <v>0</v>
      </c>
      <c r="AA254" s="1">
        <v>0</v>
      </c>
      <c r="AB254" s="1">
        <v>0</v>
      </c>
      <c r="AC254" s="1">
        <v>0</v>
      </c>
    </row>
    <row r="255" spans="1:29" x14ac:dyDescent="0.3">
      <c r="A255">
        <v>2022</v>
      </c>
      <c r="B255">
        <v>100</v>
      </c>
      <c r="C255" t="str">
        <f t="shared" si="31"/>
        <v>13</v>
      </c>
      <c r="D255" t="s">
        <v>767</v>
      </c>
      <c r="E255" t="str">
        <f t="shared" si="27"/>
        <v>13 DEPARTAMENTO ADMINISTRATIVO DE VALORIZACION</v>
      </c>
      <c r="F255" s="2">
        <v>2020130010239</v>
      </c>
      <c r="G255" s="2" t="str">
        <f>+VLOOKUP(F255,Hoja2!$F:$I,2,FALSE)</f>
        <v>07. PILAR CARTAGENA RESILIENTE</v>
      </c>
      <c r="H255" s="2" t="str">
        <f>+VLOOKUP(F255,Hoja2!$F:$I,3,FALSE)</f>
        <v>7.3 LÍNEA ESTRATÉGICA DESARROLLO URBANO</v>
      </c>
      <c r="I255" s="2" t="str">
        <f>+VLOOKUP(F255,Hoja2!$F:$I,4,FALSE)</f>
        <v>7.3.2 SISTEMA HÍDRICO Y PLAN MAESTRO DE ALCANTARILLADO PLUVIALES EN LA CIUDAD PARA SALVAR EL HÁBITAT</v>
      </c>
      <c r="J255" t="s">
        <v>768</v>
      </c>
      <c r="K255" t="str">
        <f>"001"</f>
        <v>001</v>
      </c>
      <c r="L255" t="s">
        <v>25</v>
      </c>
      <c r="M255" t="s">
        <v>26</v>
      </c>
      <c r="N255" t="s">
        <v>27</v>
      </c>
      <c r="O255" t="s">
        <v>779</v>
      </c>
      <c r="P255" t="str">
        <f t="shared" si="28"/>
        <v>2020130010239 CONSTRUCCION SISTEMA HIDRICO Y PLAN MAESTRO DE DRENAJES PLUVIALES EN LA CIUDAD DE CARTAGENA PARA SALVAR EL HABITAT  CARTAGENA DE INDIAS</v>
      </c>
      <c r="Q255" t="str">
        <f t="shared" si="25"/>
        <v>06</v>
      </c>
      <c r="R255" t="str">
        <f t="shared" si="26"/>
        <v>00</v>
      </c>
      <c r="S255" s="1">
        <v>2088612467</v>
      </c>
      <c r="T255" s="1">
        <v>-85483428</v>
      </c>
      <c r="U255" s="1">
        <v>2003129039</v>
      </c>
      <c r="V255" s="1">
        <v>1850219171</v>
      </c>
      <c r="W255" s="1">
        <v>152909868</v>
      </c>
      <c r="X255" s="1">
        <v>691043335</v>
      </c>
      <c r="Y255" s="1">
        <v>34.5</v>
      </c>
      <c r="Z255" s="1">
        <v>548043335</v>
      </c>
      <c r="AA255" s="1">
        <v>27.36</v>
      </c>
      <c r="AB255" s="1">
        <v>1312085704</v>
      </c>
      <c r="AC255" s="1">
        <v>532170000</v>
      </c>
    </row>
    <row r="256" spans="1:29" x14ac:dyDescent="0.3">
      <c r="A256">
        <v>2022</v>
      </c>
      <c r="B256">
        <v>100</v>
      </c>
      <c r="C256" t="str">
        <f t="shared" si="31"/>
        <v>13</v>
      </c>
      <c r="D256" t="s">
        <v>767</v>
      </c>
      <c r="E256" t="str">
        <f t="shared" si="27"/>
        <v>13 DEPARTAMENTO ADMINISTRATIVO DE VALORIZACION</v>
      </c>
      <c r="F256" s="2">
        <v>2020130010239</v>
      </c>
      <c r="G256" s="2" t="str">
        <f>+VLOOKUP(F256,Hoja2!$F:$I,2,FALSE)</f>
        <v>07. PILAR CARTAGENA RESILIENTE</v>
      </c>
      <c r="H256" s="2" t="str">
        <f>+VLOOKUP(F256,Hoja2!$F:$I,3,FALSE)</f>
        <v>7.3 LÍNEA ESTRATÉGICA DESARROLLO URBANO</v>
      </c>
      <c r="I256" s="2" t="str">
        <f>+VLOOKUP(F256,Hoja2!$F:$I,4,FALSE)</f>
        <v>7.3.2 SISTEMA HÍDRICO Y PLAN MAESTRO DE ALCANTARILLADO PLUVIALES EN LA CIUDAD PARA SALVAR EL HÁBITAT</v>
      </c>
      <c r="J256" t="s">
        <v>768</v>
      </c>
      <c r="K256" t="str">
        <f>"023"</f>
        <v>023</v>
      </c>
      <c r="L256" t="s">
        <v>775</v>
      </c>
      <c r="M256" t="s">
        <v>26</v>
      </c>
      <c r="N256" t="s">
        <v>27</v>
      </c>
      <c r="O256" t="s">
        <v>779</v>
      </c>
      <c r="P256" t="str">
        <f t="shared" si="28"/>
        <v>2020130010239 CONSTRUCCION SISTEMA HIDRICO Y PLAN MAESTRO DE DRENAJES PLUVIALES EN LA CIUDAD DE CARTAGENA PARA SALVAR EL HABITAT  CARTAGENA DE INDIAS</v>
      </c>
      <c r="Q256" t="str">
        <f t="shared" si="25"/>
        <v>06</v>
      </c>
      <c r="R256" t="str">
        <f t="shared" si="26"/>
        <v>00</v>
      </c>
      <c r="S256" s="1">
        <v>11058604</v>
      </c>
      <c r="T256" s="1">
        <v>-11058604</v>
      </c>
      <c r="U256" s="1">
        <v>0</v>
      </c>
      <c r="V256" s="1">
        <v>0</v>
      </c>
      <c r="W256" s="1">
        <v>0</v>
      </c>
      <c r="X256" s="1">
        <v>0</v>
      </c>
      <c r="Y256" s="1">
        <v>0</v>
      </c>
      <c r="Z256" s="1">
        <v>0</v>
      </c>
      <c r="AA256" s="1">
        <v>0</v>
      </c>
      <c r="AB256" s="1">
        <v>0</v>
      </c>
      <c r="AC256" s="1">
        <v>0</v>
      </c>
    </row>
    <row r="257" spans="1:29" x14ac:dyDescent="0.3">
      <c r="A257">
        <v>2022</v>
      </c>
      <c r="B257">
        <v>100</v>
      </c>
      <c r="C257" t="str">
        <f t="shared" si="31"/>
        <v>13</v>
      </c>
      <c r="D257" t="s">
        <v>767</v>
      </c>
      <c r="E257" t="str">
        <f t="shared" si="27"/>
        <v>13 DEPARTAMENTO ADMINISTRATIVO DE VALORIZACION</v>
      </c>
      <c r="F257" s="2">
        <v>2020130010239</v>
      </c>
      <c r="G257" s="2" t="str">
        <f>+VLOOKUP(F257,Hoja2!$F:$I,2,FALSE)</f>
        <v>07. PILAR CARTAGENA RESILIENTE</v>
      </c>
      <c r="H257" s="2" t="str">
        <f>+VLOOKUP(F257,Hoja2!$F:$I,3,FALSE)</f>
        <v>7.3 LÍNEA ESTRATÉGICA DESARROLLO URBANO</v>
      </c>
      <c r="I257" s="2" t="str">
        <f>+VLOOKUP(F257,Hoja2!$F:$I,4,FALSE)</f>
        <v>7.3.2 SISTEMA HÍDRICO Y PLAN MAESTRO DE ALCANTARILLADO PLUVIALES EN LA CIUDAD PARA SALVAR EL HÁBITAT</v>
      </c>
      <c r="J257" t="s">
        <v>768</v>
      </c>
      <c r="K257" t="str">
        <f>"043"</f>
        <v>043</v>
      </c>
      <c r="L257" t="s">
        <v>776</v>
      </c>
      <c r="M257" t="s">
        <v>26</v>
      </c>
      <c r="N257" t="s">
        <v>27</v>
      </c>
      <c r="O257" t="s">
        <v>779</v>
      </c>
      <c r="P257" t="str">
        <f t="shared" si="28"/>
        <v>2020130010239 CONSTRUCCION SISTEMA HIDRICO Y PLAN MAESTRO DE DRENAJES PLUVIALES EN LA CIUDAD DE CARTAGENA PARA SALVAR EL HABITAT  CARTAGENA DE INDIAS</v>
      </c>
      <c r="Q257" t="str">
        <f t="shared" si="25"/>
        <v>06</v>
      </c>
      <c r="R257" t="str">
        <f t="shared" si="26"/>
        <v>00</v>
      </c>
      <c r="S257" s="1">
        <v>57670853</v>
      </c>
      <c r="T257" s="1">
        <v>-57670853</v>
      </c>
      <c r="U257" s="1">
        <v>0</v>
      </c>
      <c r="V257" s="1">
        <v>0</v>
      </c>
      <c r="W257" s="1">
        <v>0</v>
      </c>
      <c r="X257" s="1">
        <v>0</v>
      </c>
      <c r="Y257" s="1">
        <v>0</v>
      </c>
      <c r="Z257" s="1">
        <v>0</v>
      </c>
      <c r="AA257" s="1">
        <v>0</v>
      </c>
      <c r="AB257" s="1">
        <v>0</v>
      </c>
      <c r="AC257" s="1">
        <v>0</v>
      </c>
    </row>
    <row r="258" spans="1:29" x14ac:dyDescent="0.3">
      <c r="A258">
        <v>2022</v>
      </c>
      <c r="B258">
        <v>100</v>
      </c>
      <c r="C258" t="str">
        <f>"07"</f>
        <v>07</v>
      </c>
      <c r="D258" t="s">
        <v>399</v>
      </c>
      <c r="E258" t="str">
        <f t="shared" si="27"/>
        <v>07 SECRETARIA DE EDUCACION</v>
      </c>
      <c r="F258" s="2">
        <v>2020130010240</v>
      </c>
      <c r="G258" s="2" t="str">
        <f>+VLOOKUP(F258,Hoja2!$F:$I,2,FALSE)</f>
        <v>08. PILAR CARTAGENA INCLUYENTE</v>
      </c>
      <c r="H258" s="2" t="str">
        <f>+VLOOKUP(F258,Hoja2!$F:$I,3,FALSE)</f>
        <v>8.2 LÍNEA ESTRATEGICA DE EDUCACION: CULTURA DE LA FORMACION "CON LA EDUCACION PARA TODOS Y TODAS SALVAMOS JUNTOS A CARTAGENA"</v>
      </c>
      <c r="I258" s="2" t="str">
        <f>+VLOOKUP(F258,Hoja2!$F:$I,4,FALSE)</f>
        <v>8.2.5 PARTICIPACIÓN, DEMOCRACIA Y AUTONOMÍA</v>
      </c>
      <c r="J258" t="s">
        <v>461</v>
      </c>
      <c r="K258" t="str">
        <f>"001"</f>
        <v>001</v>
      </c>
      <c r="L258" t="s">
        <v>25</v>
      </c>
      <c r="M258" t="s">
        <v>26</v>
      </c>
      <c r="N258" t="s">
        <v>27</v>
      </c>
      <c r="O258" t="s">
        <v>462</v>
      </c>
      <c r="P258" t="str">
        <f t="shared" si="28"/>
        <v>2020130010240 FORMACION DE LOS DERECHOS HUMANOS DE LAS MUJERES DIRIGIDO A NI?AS NI?OS Y JOVENES DE LAS INSTITUCIONES EDUCATIVAS OFICIALES DEL DISTRITO: PARTICIPACION DEMOCRACIA Y AUTONOMIA  CARTAGENA DE INDIAS</v>
      </c>
      <c r="Q258" t="str">
        <f t="shared" ref="Q258:Q321" si="32">"06"</f>
        <v>06</v>
      </c>
      <c r="R258" t="str">
        <f t="shared" ref="R258:R321" si="33">"00"</f>
        <v>00</v>
      </c>
      <c r="S258" s="1">
        <v>240000000</v>
      </c>
      <c r="T258" s="1">
        <v>0</v>
      </c>
      <c r="U258" s="1">
        <v>240000000</v>
      </c>
      <c r="V258" s="1">
        <v>235261110</v>
      </c>
      <c r="W258" s="1">
        <v>4738890</v>
      </c>
      <c r="X258" s="1">
        <v>230661110</v>
      </c>
      <c r="Y258" s="1">
        <v>96.11</v>
      </c>
      <c r="Z258" s="1">
        <v>108511110</v>
      </c>
      <c r="AA258" s="1">
        <v>45.21</v>
      </c>
      <c r="AB258" s="1">
        <v>9338890</v>
      </c>
      <c r="AC258" s="1">
        <v>108511110</v>
      </c>
    </row>
    <row r="259" spans="1:29" x14ac:dyDescent="0.3">
      <c r="A259">
        <v>2022</v>
      </c>
      <c r="B259">
        <v>100</v>
      </c>
      <c r="C259" t="str">
        <f t="shared" ref="C259:C264" si="34">"13"</f>
        <v>13</v>
      </c>
      <c r="D259" t="s">
        <v>767</v>
      </c>
      <c r="E259" t="str">
        <f t="shared" ref="E259:E322" si="35">+CONCATENATE(C259," ",D259)</f>
        <v>13 DEPARTAMENTO ADMINISTRATIVO DE VALORIZACION</v>
      </c>
      <c r="F259" s="2">
        <v>2020130010241</v>
      </c>
      <c r="G259" s="2" t="str">
        <f>+VLOOKUP(F259,Hoja2!$F:$I,2,FALSE)</f>
        <v>07. PILAR CARTAGENA RESILIENTE</v>
      </c>
      <c r="H259" s="2" t="str">
        <f>+VLOOKUP(F259,Hoja2!$F:$I,3,FALSE)</f>
        <v>7.3 LÍNEA ESTRATÉGICA DESARROLLO URBANO</v>
      </c>
      <c r="I259" s="2" t="str">
        <f>+VLOOKUP(F259,Hoja2!$F:$I,4,FALSE)</f>
        <v xml:space="preserve">7.3.3 CARTAGENA CIUDAD DE BORDES Y ORILLAS RESILIENTE </v>
      </c>
      <c r="J259" t="s">
        <v>771</v>
      </c>
      <c r="K259" t="str">
        <f>"858"</f>
        <v>858</v>
      </c>
      <c r="L259" t="s">
        <v>769</v>
      </c>
      <c r="M259" t="s">
        <v>26</v>
      </c>
      <c r="N259" t="s">
        <v>27</v>
      </c>
      <c r="O259" t="s">
        <v>772</v>
      </c>
      <c r="P259" t="str">
        <f t="shared" ref="P259:P322" si="36">+CONCATENATE(F259," ",O259)</f>
        <v>2020130010241 CONSTRUCCION PROTECCION COSTERA DE CARTAGENA CIUDAD DE BORDES Y ORILLAS RESILIENTE  CARTAGENA DE INDIAS</v>
      </c>
      <c r="Q259" t="str">
        <f t="shared" si="32"/>
        <v>06</v>
      </c>
      <c r="R259" t="str">
        <f t="shared" si="33"/>
        <v>00</v>
      </c>
      <c r="S259" s="1">
        <v>0</v>
      </c>
      <c r="T259" s="1">
        <v>756242326</v>
      </c>
      <c r="U259" s="1">
        <v>756242326</v>
      </c>
      <c r="V259" s="1">
        <v>756242326</v>
      </c>
      <c r="W259" s="1">
        <v>0</v>
      </c>
      <c r="X259" s="1">
        <v>0</v>
      </c>
      <c r="Y259" s="1">
        <v>0</v>
      </c>
      <c r="Z259" s="1">
        <v>0</v>
      </c>
      <c r="AA259" s="1">
        <v>0</v>
      </c>
      <c r="AB259" s="1">
        <v>756242326</v>
      </c>
      <c r="AC259" s="1">
        <v>0</v>
      </c>
    </row>
    <row r="260" spans="1:29" x14ac:dyDescent="0.3">
      <c r="A260">
        <v>2022</v>
      </c>
      <c r="B260">
        <v>100</v>
      </c>
      <c r="C260" t="str">
        <f t="shared" si="34"/>
        <v>13</v>
      </c>
      <c r="D260" t="s">
        <v>767</v>
      </c>
      <c r="E260" t="str">
        <f t="shared" si="35"/>
        <v>13 DEPARTAMENTO ADMINISTRATIVO DE VALORIZACION</v>
      </c>
      <c r="F260" s="2">
        <v>2020130010241</v>
      </c>
      <c r="G260" s="2" t="str">
        <f>+VLOOKUP(F260,Hoja2!$F:$I,2,FALSE)</f>
        <v>07. PILAR CARTAGENA RESILIENTE</v>
      </c>
      <c r="H260" s="2" t="str">
        <f>+VLOOKUP(F260,Hoja2!$F:$I,3,FALSE)</f>
        <v>7.3 LÍNEA ESTRATÉGICA DESARROLLO URBANO</v>
      </c>
      <c r="I260" s="2" t="str">
        <f>+VLOOKUP(F260,Hoja2!$F:$I,4,FALSE)</f>
        <v xml:space="preserve">7.3.3 CARTAGENA CIUDAD DE BORDES Y ORILLAS RESILIENTE </v>
      </c>
      <c r="J260" t="s">
        <v>771</v>
      </c>
      <c r="K260" t="str">
        <f>"881"</f>
        <v>881</v>
      </c>
      <c r="L260" t="s">
        <v>773</v>
      </c>
      <c r="M260" t="s">
        <v>26</v>
      </c>
      <c r="N260" t="s">
        <v>27</v>
      </c>
      <c r="O260" t="s">
        <v>772</v>
      </c>
      <c r="P260" t="str">
        <f t="shared" si="36"/>
        <v>2020130010241 CONSTRUCCION PROTECCION COSTERA DE CARTAGENA CIUDAD DE BORDES Y ORILLAS RESILIENTE  CARTAGENA DE INDIAS</v>
      </c>
      <c r="Q260" t="str">
        <f t="shared" si="32"/>
        <v>06</v>
      </c>
      <c r="R260" t="str">
        <f t="shared" si="33"/>
        <v>00</v>
      </c>
      <c r="S260" s="1">
        <v>0</v>
      </c>
      <c r="T260" s="1">
        <v>732347830</v>
      </c>
      <c r="U260" s="1">
        <v>732347830</v>
      </c>
      <c r="V260" s="1">
        <v>732347830</v>
      </c>
      <c r="W260" s="1">
        <v>0</v>
      </c>
      <c r="X260" s="1">
        <v>337228593</v>
      </c>
      <c r="Y260" s="1">
        <v>46.05</v>
      </c>
      <c r="Z260" s="1">
        <v>0</v>
      </c>
      <c r="AA260" s="1">
        <v>0</v>
      </c>
      <c r="AB260" s="1">
        <v>395119237</v>
      </c>
      <c r="AC260" s="1">
        <v>0</v>
      </c>
    </row>
    <row r="261" spans="1:29" x14ac:dyDescent="0.3">
      <c r="A261">
        <v>2022</v>
      </c>
      <c r="B261">
        <v>100</v>
      </c>
      <c r="C261" t="str">
        <f t="shared" si="34"/>
        <v>13</v>
      </c>
      <c r="D261" t="s">
        <v>767</v>
      </c>
      <c r="E261" t="str">
        <f t="shared" si="35"/>
        <v>13 DEPARTAMENTO ADMINISTRATIVO DE VALORIZACION</v>
      </c>
      <c r="F261" s="2">
        <v>2020130010241</v>
      </c>
      <c r="G261" s="2" t="str">
        <f>+VLOOKUP(F261,Hoja2!$F:$I,2,FALSE)</f>
        <v>07. PILAR CARTAGENA RESILIENTE</v>
      </c>
      <c r="H261" s="2" t="str">
        <f>+VLOOKUP(F261,Hoja2!$F:$I,3,FALSE)</f>
        <v>7.3 LÍNEA ESTRATÉGICA DESARROLLO URBANO</v>
      </c>
      <c r="I261" s="2" t="str">
        <f>+VLOOKUP(F261,Hoja2!$F:$I,4,FALSE)</f>
        <v xml:space="preserve">7.3.3 CARTAGENA CIUDAD DE BORDES Y ORILLAS RESILIENTE </v>
      </c>
      <c r="J261" t="s">
        <v>771</v>
      </c>
      <c r="K261" t="str">
        <f>"885"</f>
        <v>885</v>
      </c>
      <c r="L261" t="s">
        <v>774</v>
      </c>
      <c r="M261" t="s">
        <v>26</v>
      </c>
      <c r="N261" t="s">
        <v>27</v>
      </c>
      <c r="O261" t="s">
        <v>772</v>
      </c>
      <c r="P261" t="str">
        <f t="shared" si="36"/>
        <v>2020130010241 CONSTRUCCION PROTECCION COSTERA DE CARTAGENA CIUDAD DE BORDES Y ORILLAS RESILIENTE  CARTAGENA DE INDIAS</v>
      </c>
      <c r="Q261" t="str">
        <f t="shared" si="32"/>
        <v>06</v>
      </c>
      <c r="R261" t="str">
        <f t="shared" si="33"/>
        <v>00</v>
      </c>
      <c r="S261" s="1">
        <v>0</v>
      </c>
      <c r="T261" s="1">
        <v>3520000</v>
      </c>
      <c r="U261" s="1">
        <v>3520000</v>
      </c>
      <c r="V261" s="1">
        <v>3520000</v>
      </c>
      <c r="W261" s="1">
        <v>0</v>
      </c>
      <c r="X261" s="1">
        <v>3520000</v>
      </c>
      <c r="Y261" s="1">
        <v>100</v>
      </c>
      <c r="Z261" s="1">
        <v>0</v>
      </c>
      <c r="AA261" s="1">
        <v>0</v>
      </c>
      <c r="AB261" s="1">
        <v>0</v>
      </c>
      <c r="AC261" s="1">
        <v>0</v>
      </c>
    </row>
    <row r="262" spans="1:29" x14ac:dyDescent="0.3">
      <c r="A262">
        <v>2022</v>
      </c>
      <c r="B262">
        <v>100</v>
      </c>
      <c r="C262" t="str">
        <f t="shared" si="34"/>
        <v>13</v>
      </c>
      <c r="D262" t="s">
        <v>767</v>
      </c>
      <c r="E262" t="str">
        <f t="shared" si="35"/>
        <v>13 DEPARTAMENTO ADMINISTRATIVO DE VALORIZACION</v>
      </c>
      <c r="F262" s="2">
        <v>2020130010241</v>
      </c>
      <c r="G262" s="2" t="str">
        <f>+VLOOKUP(F262,Hoja2!$F:$I,2,FALSE)</f>
        <v>07. PILAR CARTAGENA RESILIENTE</v>
      </c>
      <c r="H262" s="2" t="str">
        <f>+VLOOKUP(F262,Hoja2!$F:$I,3,FALSE)</f>
        <v>7.3 LÍNEA ESTRATÉGICA DESARROLLO URBANO</v>
      </c>
      <c r="I262" s="2" t="str">
        <f>+VLOOKUP(F262,Hoja2!$F:$I,4,FALSE)</f>
        <v xml:space="preserve">7.3.3 CARTAGENA CIUDAD DE BORDES Y ORILLAS RESILIENTE </v>
      </c>
      <c r="J262" t="s">
        <v>771</v>
      </c>
      <c r="K262" t="str">
        <f>"023"</f>
        <v>023</v>
      </c>
      <c r="L262" t="s">
        <v>775</v>
      </c>
      <c r="M262" t="s">
        <v>26</v>
      </c>
      <c r="N262" t="s">
        <v>27</v>
      </c>
      <c r="O262" t="s">
        <v>772</v>
      </c>
      <c r="P262" t="str">
        <f t="shared" si="36"/>
        <v>2020130010241 CONSTRUCCION PROTECCION COSTERA DE CARTAGENA CIUDAD DE BORDES Y ORILLAS RESILIENTE  CARTAGENA DE INDIAS</v>
      </c>
      <c r="Q262" t="str">
        <f t="shared" si="32"/>
        <v>06</v>
      </c>
      <c r="R262" t="str">
        <f t="shared" si="33"/>
        <v>00</v>
      </c>
      <c r="S262" s="1">
        <v>0</v>
      </c>
      <c r="T262" s="1">
        <v>11058604</v>
      </c>
      <c r="U262" s="1">
        <v>11058604</v>
      </c>
      <c r="V262" s="1">
        <v>11058604</v>
      </c>
      <c r="W262" s="1">
        <v>0</v>
      </c>
      <c r="X262" s="1">
        <v>11058604</v>
      </c>
      <c r="Y262" s="1">
        <v>100</v>
      </c>
      <c r="Z262" s="1">
        <v>0</v>
      </c>
      <c r="AA262" s="1">
        <v>0</v>
      </c>
      <c r="AB262" s="1">
        <v>0</v>
      </c>
      <c r="AC262" s="1">
        <v>0</v>
      </c>
    </row>
    <row r="263" spans="1:29" x14ac:dyDescent="0.3">
      <c r="A263">
        <v>2022</v>
      </c>
      <c r="B263">
        <v>100</v>
      </c>
      <c r="C263" t="str">
        <f t="shared" si="34"/>
        <v>13</v>
      </c>
      <c r="D263" t="s">
        <v>767</v>
      </c>
      <c r="E263" t="str">
        <f t="shared" si="35"/>
        <v>13 DEPARTAMENTO ADMINISTRATIVO DE VALORIZACION</v>
      </c>
      <c r="F263" s="2">
        <v>2020130010241</v>
      </c>
      <c r="G263" s="2" t="str">
        <f>+VLOOKUP(F263,Hoja2!$F:$I,2,FALSE)</f>
        <v>07. PILAR CARTAGENA RESILIENTE</v>
      </c>
      <c r="H263" s="2" t="str">
        <f>+VLOOKUP(F263,Hoja2!$F:$I,3,FALSE)</f>
        <v>7.3 LÍNEA ESTRATÉGICA DESARROLLO URBANO</v>
      </c>
      <c r="I263" s="2" t="str">
        <f>+VLOOKUP(F263,Hoja2!$F:$I,4,FALSE)</f>
        <v xml:space="preserve">7.3.3 CARTAGENA CIUDAD DE BORDES Y ORILLAS RESILIENTE </v>
      </c>
      <c r="J263" t="s">
        <v>771</v>
      </c>
      <c r="K263" t="str">
        <f>"043"</f>
        <v>043</v>
      </c>
      <c r="L263" t="s">
        <v>776</v>
      </c>
      <c r="M263" t="s">
        <v>26</v>
      </c>
      <c r="N263" t="s">
        <v>27</v>
      </c>
      <c r="O263" t="s">
        <v>772</v>
      </c>
      <c r="P263" t="str">
        <f t="shared" si="36"/>
        <v>2020130010241 CONSTRUCCION PROTECCION COSTERA DE CARTAGENA CIUDAD DE BORDES Y ORILLAS RESILIENTE  CARTAGENA DE INDIAS</v>
      </c>
      <c r="Q263" t="str">
        <f t="shared" si="32"/>
        <v>06</v>
      </c>
      <c r="R263" t="str">
        <f t="shared" si="33"/>
        <v>00</v>
      </c>
      <c r="S263" s="1">
        <v>0</v>
      </c>
      <c r="T263" s="1">
        <v>57670853</v>
      </c>
      <c r="U263" s="1">
        <v>57670853</v>
      </c>
      <c r="V263" s="1">
        <v>57670853</v>
      </c>
      <c r="W263" s="1">
        <v>0</v>
      </c>
      <c r="X263" s="1">
        <v>57670853</v>
      </c>
      <c r="Y263" s="1">
        <v>100</v>
      </c>
      <c r="Z263" s="1">
        <v>0</v>
      </c>
      <c r="AA263" s="1">
        <v>0</v>
      </c>
      <c r="AB263" s="1">
        <v>0</v>
      </c>
      <c r="AC263" s="1">
        <v>0</v>
      </c>
    </row>
    <row r="264" spans="1:29" x14ac:dyDescent="0.3">
      <c r="A264">
        <v>2022</v>
      </c>
      <c r="B264">
        <v>100</v>
      </c>
      <c r="C264" t="str">
        <f t="shared" si="34"/>
        <v>13</v>
      </c>
      <c r="D264" t="s">
        <v>767</v>
      </c>
      <c r="E264" t="str">
        <f t="shared" si="35"/>
        <v>13 DEPARTAMENTO ADMINISTRATIVO DE VALORIZACION</v>
      </c>
      <c r="F264" s="2">
        <v>2020130010241</v>
      </c>
      <c r="G264" s="2" t="str">
        <f>+VLOOKUP(F264,Hoja2!$F:$I,2,FALSE)</f>
        <v>07. PILAR CARTAGENA RESILIENTE</v>
      </c>
      <c r="H264" s="2" t="str">
        <f>+VLOOKUP(F264,Hoja2!$F:$I,3,FALSE)</f>
        <v>7.3 LÍNEA ESTRATÉGICA DESARROLLO URBANO</v>
      </c>
      <c r="I264" s="2" t="str">
        <f>+VLOOKUP(F264,Hoja2!$F:$I,4,FALSE)</f>
        <v xml:space="preserve">7.3.3 CARTAGENA CIUDAD DE BORDES Y ORILLAS RESILIENTE </v>
      </c>
      <c r="J264" t="s">
        <v>771</v>
      </c>
      <c r="K264" t="str">
        <f>"001"</f>
        <v>001</v>
      </c>
      <c r="L264" t="s">
        <v>25</v>
      </c>
      <c r="M264" t="s">
        <v>26</v>
      </c>
      <c r="N264" t="s">
        <v>27</v>
      </c>
      <c r="O264" t="s">
        <v>772</v>
      </c>
      <c r="P264" t="str">
        <f t="shared" si="36"/>
        <v>2020130010241 CONSTRUCCION PROTECCION COSTERA DE CARTAGENA CIUDAD DE BORDES Y ORILLAS RESILIENTE  CARTAGENA DE INDIAS</v>
      </c>
      <c r="Q264" t="str">
        <f t="shared" si="32"/>
        <v>06</v>
      </c>
      <c r="R264" t="str">
        <f t="shared" si="33"/>
        <v>00</v>
      </c>
      <c r="S264" s="1">
        <v>43311592</v>
      </c>
      <c r="T264" s="1">
        <v>85483428</v>
      </c>
      <c r="U264" s="1">
        <v>128795020</v>
      </c>
      <c r="V264" s="1">
        <v>128795020</v>
      </c>
      <c r="W264" s="1">
        <v>0</v>
      </c>
      <c r="X264" s="1">
        <v>128795020</v>
      </c>
      <c r="Y264" s="1">
        <v>100</v>
      </c>
      <c r="Z264" s="1">
        <v>38107000</v>
      </c>
      <c r="AA264" s="1">
        <v>29.59</v>
      </c>
      <c r="AB264" s="1">
        <v>0</v>
      </c>
      <c r="AC264" s="1">
        <v>38107000</v>
      </c>
    </row>
    <row r="265" spans="1:29" x14ac:dyDescent="0.3">
      <c r="A265">
        <v>2022</v>
      </c>
      <c r="B265">
        <v>100</v>
      </c>
      <c r="C265" t="str">
        <f>"02"</f>
        <v>02</v>
      </c>
      <c r="D265" t="s">
        <v>106</v>
      </c>
      <c r="E265" t="str">
        <f t="shared" si="35"/>
        <v>02 SECRETARIA DEL INTERIOR Y CONVIVENCIA CIUDADANAL</v>
      </c>
      <c r="F265" s="2">
        <v>2020130010254</v>
      </c>
      <c r="G265" s="2" t="str">
        <f>+VLOOKUP(F265,Hoja2!$F:$I,2,FALSE)</f>
        <v>10. PILAR: CARTAGENA TRANSPARENTE</v>
      </c>
      <c r="H265" s="2" t="str">
        <f>+VLOOKUP(F265,Hoja2!$F:$I,3,FALSE)</f>
        <v>10.3 LÍNEA ESTRATÉGICA: CONVIVENCIA Y SEGURIDAD PARA LA GOBERNABILIDAD</v>
      </c>
      <c r="I265" s="2" t="str">
        <f>+VLOOKUP(F265,Hoja2!$F:$I,4,FALSE)</f>
        <v>10.3.1 PLAN INTEGRAL DE SEGURIDAD Y CONVIVENCIA CIUDADANA</v>
      </c>
      <c r="J265" t="s">
        <v>125</v>
      </c>
      <c r="K265" t="str">
        <f>"856"</f>
        <v>856</v>
      </c>
      <c r="L265" t="s">
        <v>126</v>
      </c>
      <c r="M265" t="s">
        <v>26</v>
      </c>
      <c r="N265" t="s">
        <v>27</v>
      </c>
      <c r="O265" t="s">
        <v>127</v>
      </c>
      <c r="P265" t="str">
        <f t="shared" si="36"/>
        <v>2020130010254 FORTALECIMIENTO EN PARQUE AUTOMOTOR Y TECNOLOGIA PARA LA POLICIA METROPOLITANA DE   CARTAGENA DE INDIAS</v>
      </c>
      <c r="Q265" t="str">
        <f t="shared" si="32"/>
        <v>06</v>
      </c>
      <c r="R265" t="str">
        <f t="shared" si="33"/>
        <v>00</v>
      </c>
      <c r="S265" s="1">
        <v>0</v>
      </c>
      <c r="T265" s="1">
        <v>210506121.09999999</v>
      </c>
      <c r="U265" s="1">
        <v>210506121.09999999</v>
      </c>
      <c r="V265" s="1">
        <v>200978295.69999999</v>
      </c>
      <c r="W265" s="1">
        <v>9527825.4000000004</v>
      </c>
      <c r="X265" s="1">
        <v>176331629.03</v>
      </c>
      <c r="Y265" s="1">
        <v>83.77</v>
      </c>
      <c r="Z265" s="1">
        <v>145881629.03</v>
      </c>
      <c r="AA265" s="1">
        <v>69.3</v>
      </c>
      <c r="AB265" s="1">
        <v>34174492.07</v>
      </c>
      <c r="AC265" s="1">
        <v>52153333.329999998</v>
      </c>
    </row>
    <row r="266" spans="1:29" x14ac:dyDescent="0.3">
      <c r="A266">
        <v>2022</v>
      </c>
      <c r="B266">
        <v>100</v>
      </c>
      <c r="C266" t="str">
        <f>"02"</f>
        <v>02</v>
      </c>
      <c r="D266" t="s">
        <v>106</v>
      </c>
      <c r="E266" t="str">
        <f t="shared" si="35"/>
        <v>02 SECRETARIA DEL INTERIOR Y CONVIVENCIA CIUDADANAL</v>
      </c>
      <c r="F266" s="2">
        <v>2020130010254</v>
      </c>
      <c r="G266" s="2" t="str">
        <f>+VLOOKUP(F266,Hoja2!$F:$I,2,FALSE)</f>
        <v>10. PILAR: CARTAGENA TRANSPARENTE</v>
      </c>
      <c r="H266" s="2" t="str">
        <f>+VLOOKUP(F266,Hoja2!$F:$I,3,FALSE)</f>
        <v>10.3 LÍNEA ESTRATÉGICA: CONVIVENCIA Y SEGURIDAD PARA LA GOBERNABILIDAD</v>
      </c>
      <c r="I266" s="2" t="str">
        <f>+VLOOKUP(F266,Hoja2!$F:$I,4,FALSE)</f>
        <v>10.3.1 PLAN INTEGRAL DE SEGURIDAD Y CONVIVENCIA CIUDADANA</v>
      </c>
      <c r="J266" t="s">
        <v>125</v>
      </c>
      <c r="K266" t="str">
        <f>"040"</f>
        <v>040</v>
      </c>
      <c r="L266" t="s">
        <v>148</v>
      </c>
      <c r="M266" t="s">
        <v>26</v>
      </c>
      <c r="N266" t="s">
        <v>27</v>
      </c>
      <c r="O266" t="s">
        <v>127</v>
      </c>
      <c r="P266" t="str">
        <f t="shared" si="36"/>
        <v>2020130010254 FORTALECIMIENTO EN PARQUE AUTOMOTOR Y TECNOLOGIA PARA LA POLICIA METROPOLITANA DE   CARTAGENA DE INDIAS</v>
      </c>
      <c r="Q266" t="str">
        <f t="shared" si="32"/>
        <v>06</v>
      </c>
      <c r="R266" t="str">
        <f t="shared" si="33"/>
        <v>00</v>
      </c>
      <c r="S266" s="1">
        <v>1786572895</v>
      </c>
      <c r="T266" s="1">
        <v>0</v>
      </c>
      <c r="U266" s="1">
        <v>1786572895</v>
      </c>
      <c r="V266" s="1">
        <v>1767144976</v>
      </c>
      <c r="W266" s="1">
        <v>19427919</v>
      </c>
      <c r="X266" s="1">
        <v>1455832808.05</v>
      </c>
      <c r="Y266" s="1">
        <v>81.489999999999995</v>
      </c>
      <c r="Z266" s="1">
        <v>1455832808.05</v>
      </c>
      <c r="AA266" s="1">
        <v>81.489999999999995</v>
      </c>
      <c r="AB266" s="1">
        <v>330740086.94999999</v>
      </c>
      <c r="AC266" s="1">
        <v>85800000</v>
      </c>
    </row>
    <row r="267" spans="1:29" x14ac:dyDescent="0.3">
      <c r="A267">
        <v>2022</v>
      </c>
      <c r="B267">
        <v>100</v>
      </c>
      <c r="C267" t="str">
        <f t="shared" ref="C267:C273" si="37">"07"</f>
        <v>07</v>
      </c>
      <c r="D267" t="s">
        <v>399</v>
      </c>
      <c r="E267" t="str">
        <f t="shared" si="35"/>
        <v>07 SECRETARIA DE EDUCACION</v>
      </c>
      <c r="F267" s="2">
        <v>2020130010256</v>
      </c>
      <c r="G267" s="2" t="str">
        <f>+VLOOKUP(F267,Hoja2!$F:$I,2,FALSE)</f>
        <v>08. PILAR CARTAGENA INCLUYENTE</v>
      </c>
      <c r="H267" s="2" t="str">
        <f>+VLOOKUP(F267,Hoja2!$F:$I,3,FALSE)</f>
        <v>8.2 LÍNEA ESTRATEGICA DE EDUCACION: CULTURA DE LA FORMACION "CON LA EDUCACION PARA TODOS Y TODAS SALVAMOS JUNTOS A CARTAGENA"</v>
      </c>
      <c r="I267" s="2" t="str">
        <f>+VLOOKUP(F267,Hoja2!$F:$I,4,FALSE)</f>
        <v>8.2.2 PROGRAMA: SABIDURÍA DE LA PRIMERA INFANCIA “GRANDES BANDERAS, GESTO E IDEAS PARA CAMBIAR EL PLANETA”</v>
      </c>
      <c r="J267" t="s">
        <v>463</v>
      </c>
      <c r="K267" t="str">
        <f>"001"</f>
        <v>001</v>
      </c>
      <c r="L267" t="s">
        <v>25</v>
      </c>
      <c r="M267" t="s">
        <v>26</v>
      </c>
      <c r="N267" t="s">
        <v>27</v>
      </c>
      <c r="O267" t="s">
        <v>464</v>
      </c>
      <c r="P267" t="str">
        <f t="shared" si="36"/>
        <v>2020130010256 IMPLEMENTACION DE LA ESTRATEGIA SENDERO DE LA CREATIVIDAD: TRANSITO ARMONICO DE EDUCACION INICIAL A PREESCOLAR EN EL MARCO DEL PROGRAMA SABIDURIA DE LA PRIMERA INFANCIA  EN  CARTAGENA DE INDIAS</v>
      </c>
      <c r="Q267" t="str">
        <f t="shared" si="32"/>
        <v>06</v>
      </c>
      <c r="R267" t="str">
        <f t="shared" si="33"/>
        <v>00</v>
      </c>
      <c r="S267" s="1">
        <v>176686273.12</v>
      </c>
      <c r="T267" s="1">
        <v>-10912650</v>
      </c>
      <c r="U267" s="1">
        <v>165773623.12</v>
      </c>
      <c r="V267" s="1">
        <v>163672541</v>
      </c>
      <c r="W267" s="1">
        <v>2101082.12</v>
      </c>
      <c r="X267" s="1">
        <v>163672541</v>
      </c>
      <c r="Y267" s="1">
        <v>98.73</v>
      </c>
      <c r="Z267" s="1">
        <v>162130800</v>
      </c>
      <c r="AA267" s="1">
        <v>97.8</v>
      </c>
      <c r="AB267" s="1">
        <v>2101082.12</v>
      </c>
      <c r="AC267" s="1">
        <v>162130800</v>
      </c>
    </row>
    <row r="268" spans="1:29" x14ac:dyDescent="0.3">
      <c r="A268">
        <v>2022</v>
      </c>
      <c r="B268">
        <v>100</v>
      </c>
      <c r="C268" t="str">
        <f t="shared" si="37"/>
        <v>07</v>
      </c>
      <c r="D268" t="s">
        <v>399</v>
      </c>
      <c r="E268" t="str">
        <f t="shared" si="35"/>
        <v>07 SECRETARIA DE EDUCACION</v>
      </c>
      <c r="F268" s="2">
        <v>2020130010257</v>
      </c>
      <c r="G268" s="2" t="str">
        <f>+VLOOKUP(F268,Hoja2!$F:$I,2,FALSE)</f>
        <v>08. PILAR CARTAGENA INCLUYENTE</v>
      </c>
      <c r="H268" s="2" t="str">
        <f>+VLOOKUP(F268,Hoja2!$F:$I,3,FALSE)</f>
        <v>8.2 LÍNEA ESTRATEGICA DE EDUCACION: CULTURA DE LA FORMACION "CON LA EDUCACION PARA TODOS Y TODAS SALVAMOS JUNTOS A CARTAGENA"</v>
      </c>
      <c r="I268" s="2" t="str">
        <f>+VLOOKUP(F268,Hoja2!$F:$I,4,FALSE)</f>
        <v>8.2.3 PROGRAMA: FORMANDO CON AMOR “GENIO SINGULAR”</v>
      </c>
      <c r="J268" t="s">
        <v>465</v>
      </c>
      <c r="K268" t="str">
        <f>"001"</f>
        <v>001</v>
      </c>
      <c r="L268" t="s">
        <v>25</v>
      </c>
      <c r="M268" t="s">
        <v>26</v>
      </c>
      <c r="N268" t="s">
        <v>27</v>
      </c>
      <c r="O268" t="s">
        <v>466</v>
      </c>
      <c r="P268" t="str">
        <f t="shared" si="36"/>
        <v>2020130010257 FORTALECIMIENTO DE LAS PRACTICAS ETNOEDUCATIVAS EN INSTITUCIONES EDUCATIVAS OFICIALES  DEL DISTRITO   CARTAGENA DE INDIAS</v>
      </c>
      <c r="Q268" t="str">
        <f t="shared" si="32"/>
        <v>06</v>
      </c>
      <c r="R268" t="str">
        <f t="shared" si="33"/>
        <v>00</v>
      </c>
      <c r="S268" s="1">
        <v>82500000</v>
      </c>
      <c r="T268" s="1">
        <v>0</v>
      </c>
      <c r="U268" s="1">
        <v>82500000</v>
      </c>
      <c r="V268" s="1">
        <v>81800000</v>
      </c>
      <c r="W268" s="1">
        <v>700000</v>
      </c>
      <c r="X268" s="1">
        <v>81800000</v>
      </c>
      <c r="Y268" s="1">
        <v>99.15</v>
      </c>
      <c r="Z268" s="1">
        <v>78000000</v>
      </c>
      <c r="AA268" s="1">
        <v>94.55</v>
      </c>
      <c r="AB268" s="1">
        <v>700000</v>
      </c>
      <c r="AC268" s="1">
        <v>78000000</v>
      </c>
    </row>
    <row r="269" spans="1:29" x14ac:dyDescent="0.3">
      <c r="A269">
        <v>2022</v>
      </c>
      <c r="B269">
        <v>100</v>
      </c>
      <c r="C269" t="str">
        <f t="shared" si="37"/>
        <v>07</v>
      </c>
      <c r="D269" t="s">
        <v>399</v>
      </c>
      <c r="E269" t="str">
        <f t="shared" si="35"/>
        <v>07 SECRETARIA DE EDUCACION</v>
      </c>
      <c r="F269" s="2">
        <v>2020130010268</v>
      </c>
      <c r="G269" s="2" t="str">
        <f>+VLOOKUP(F269,Hoja2!$F:$I,2,FALSE)</f>
        <v>08. PILAR CARTAGENA INCLUYENTE</v>
      </c>
      <c r="H269" s="2" t="str">
        <f>+VLOOKUP(F269,Hoja2!$F:$I,3,FALSE)</f>
        <v>8.2 LÍNEA ESTRATEGICA DE EDUCACION: CULTURA DE LA FORMACION "CON LA EDUCACION PARA TODOS Y TODAS SALVAMOS JUNTOS A CARTAGENA"</v>
      </c>
      <c r="I269" s="2" t="str">
        <f>+VLOOKUP(F269,Hoja2!$F:$I,4,FALSE)</f>
        <v>8.2.7 PROGRAMA: EDUCACIÓN PARA TRANSFORMAR “EDUCACIÓN MEDIA TÉCNICA Y SUPERIOR”</v>
      </c>
      <c r="J269" t="s">
        <v>417</v>
      </c>
      <c r="K269" t="str">
        <f>"831"</f>
        <v>831</v>
      </c>
      <c r="L269" t="s">
        <v>418</v>
      </c>
      <c r="M269" t="s">
        <v>26</v>
      </c>
      <c r="N269" t="s">
        <v>27</v>
      </c>
      <c r="O269" t="s">
        <v>419</v>
      </c>
      <c r="P269" t="str">
        <f t="shared" si="36"/>
        <v>2020130010268 CONSOLIDACION DE BECAS UNIVERSITARIAS PARA EGRESADOS DE LAS INSTITUCIONES EDUCATIVAS OFICIALES DE  CARTAGENA DE INDIAS</v>
      </c>
      <c r="Q269" t="str">
        <f t="shared" si="32"/>
        <v>06</v>
      </c>
      <c r="R269" t="str">
        <f t="shared" si="33"/>
        <v>00</v>
      </c>
      <c r="S269" s="1">
        <v>0</v>
      </c>
      <c r="T269" s="1">
        <v>4155811781.6300001</v>
      </c>
      <c r="U269" s="1">
        <v>4155811781.6300001</v>
      </c>
      <c r="V269" s="1">
        <v>4155811781</v>
      </c>
      <c r="W269" s="1">
        <v>0.63</v>
      </c>
      <c r="X269" s="1">
        <v>4155811781</v>
      </c>
      <c r="Y269" s="1">
        <v>100</v>
      </c>
      <c r="Z269" s="1">
        <v>0</v>
      </c>
      <c r="AA269" s="1">
        <v>0</v>
      </c>
      <c r="AB269" s="1">
        <v>0.63</v>
      </c>
      <c r="AC269" s="1">
        <v>0</v>
      </c>
    </row>
    <row r="270" spans="1:29" x14ac:dyDescent="0.3">
      <c r="A270">
        <v>2022</v>
      </c>
      <c r="B270">
        <v>100</v>
      </c>
      <c r="C270" t="str">
        <f t="shared" si="37"/>
        <v>07</v>
      </c>
      <c r="D270" t="s">
        <v>399</v>
      </c>
      <c r="E270" t="str">
        <f t="shared" si="35"/>
        <v>07 SECRETARIA DE EDUCACION</v>
      </c>
      <c r="F270" s="2">
        <v>2020130010268</v>
      </c>
      <c r="G270" s="2" t="str">
        <f>+VLOOKUP(F270,Hoja2!$F:$I,2,FALSE)</f>
        <v>08. PILAR CARTAGENA INCLUYENTE</v>
      </c>
      <c r="H270" s="2" t="str">
        <f>+VLOOKUP(F270,Hoja2!$F:$I,3,FALSE)</f>
        <v>8.2 LÍNEA ESTRATEGICA DE EDUCACION: CULTURA DE LA FORMACION "CON LA EDUCACION PARA TODOS Y TODAS SALVAMOS JUNTOS A CARTAGENA"</v>
      </c>
      <c r="I270" s="2" t="str">
        <f>+VLOOKUP(F270,Hoja2!$F:$I,4,FALSE)</f>
        <v>8.2.7 PROGRAMA: EDUCACIÓN PARA TRANSFORMAR “EDUCACIÓN MEDIA TÉCNICA Y SUPERIOR”</v>
      </c>
      <c r="J270" t="s">
        <v>417</v>
      </c>
      <c r="K270" t="str">
        <f>"839"</f>
        <v>839</v>
      </c>
      <c r="L270" t="s">
        <v>420</v>
      </c>
      <c r="M270" t="s">
        <v>26</v>
      </c>
      <c r="N270" t="s">
        <v>27</v>
      </c>
      <c r="O270" t="s">
        <v>421</v>
      </c>
      <c r="P270" t="str">
        <f t="shared" si="36"/>
        <v>2020130010268 CONSOLIDACION DE BECAS UNIVERSITARIAS PARA EGRESADOS DE LAS INSTITUCIONES EDUCATIVAS OFICIALES DE CARTAGENA DE INDIAS</v>
      </c>
      <c r="Q270" t="str">
        <f t="shared" si="32"/>
        <v>06</v>
      </c>
      <c r="R270" t="str">
        <f t="shared" si="33"/>
        <v>00</v>
      </c>
      <c r="S270" s="1">
        <v>0</v>
      </c>
      <c r="T270" s="1">
        <v>712273642</v>
      </c>
      <c r="U270" s="1">
        <v>712273642</v>
      </c>
      <c r="V270" s="1">
        <v>712273642</v>
      </c>
      <c r="W270" s="1">
        <v>0</v>
      </c>
      <c r="X270" s="1">
        <v>712273642</v>
      </c>
      <c r="Y270" s="1">
        <v>100</v>
      </c>
      <c r="Z270" s="1">
        <v>0</v>
      </c>
      <c r="AA270" s="1">
        <v>0</v>
      </c>
      <c r="AB270" s="1">
        <v>0</v>
      </c>
      <c r="AC270" s="1">
        <v>0</v>
      </c>
    </row>
    <row r="271" spans="1:29" x14ac:dyDescent="0.3">
      <c r="A271">
        <v>2022</v>
      </c>
      <c r="B271">
        <v>100</v>
      </c>
      <c r="C271" t="str">
        <f t="shared" si="37"/>
        <v>07</v>
      </c>
      <c r="D271" t="s">
        <v>399</v>
      </c>
      <c r="E271" t="str">
        <f t="shared" si="35"/>
        <v>07 SECRETARIA DE EDUCACION</v>
      </c>
      <c r="F271" s="2">
        <v>2020130010268</v>
      </c>
      <c r="G271" s="2" t="str">
        <f>+VLOOKUP(F271,Hoja2!$F:$I,2,FALSE)</f>
        <v>08. PILAR CARTAGENA INCLUYENTE</v>
      </c>
      <c r="H271" s="2" t="str">
        <f>+VLOOKUP(F271,Hoja2!$F:$I,3,FALSE)</f>
        <v>8.2 LÍNEA ESTRATEGICA DE EDUCACION: CULTURA DE LA FORMACION "CON LA EDUCACION PARA TODOS Y TODAS SALVAMOS JUNTOS A CARTAGENA"</v>
      </c>
      <c r="I271" s="2" t="str">
        <f>+VLOOKUP(F271,Hoja2!$F:$I,4,FALSE)</f>
        <v>8.2.7 PROGRAMA: EDUCACIÓN PARA TRANSFORMAR “EDUCACIÓN MEDIA TÉCNICA Y SUPERIOR”</v>
      </c>
      <c r="J271" t="s">
        <v>417</v>
      </c>
      <c r="K271" t="str">
        <f>"056"</f>
        <v>056</v>
      </c>
      <c r="L271" t="s">
        <v>446</v>
      </c>
      <c r="M271" t="s">
        <v>26</v>
      </c>
      <c r="N271" t="s">
        <v>27</v>
      </c>
      <c r="O271" t="s">
        <v>447</v>
      </c>
      <c r="P271" t="str">
        <f t="shared" si="36"/>
        <v>2020130010268 CONSOLIDACION DE BECAS UNIVERSITARIAS PARA EGRESADOS DE LAS INSTITUCIONES EDUCATIVAS  OFICIALES  DE  CARTAGENA DE INDIAS</v>
      </c>
      <c r="Q271" t="str">
        <f t="shared" si="32"/>
        <v>06</v>
      </c>
      <c r="R271" t="str">
        <f t="shared" si="33"/>
        <v>00</v>
      </c>
      <c r="S271" s="1">
        <v>9369087428</v>
      </c>
      <c r="T271" s="1">
        <v>2961691538</v>
      </c>
      <c r="U271" s="1">
        <v>12330778966</v>
      </c>
      <c r="V271" s="1">
        <v>12330778965.629999</v>
      </c>
      <c r="W271" s="1">
        <v>0.37</v>
      </c>
      <c r="X271" s="1">
        <v>12330778965.629999</v>
      </c>
      <c r="Y271" s="1">
        <v>100</v>
      </c>
      <c r="Z271" s="1">
        <v>4700146854</v>
      </c>
      <c r="AA271" s="1">
        <v>38.119999999999997</v>
      </c>
      <c r="AB271" s="1">
        <v>0.37</v>
      </c>
      <c r="AC271" s="1">
        <v>4700146854</v>
      </c>
    </row>
    <row r="272" spans="1:29" x14ac:dyDescent="0.3">
      <c r="A272">
        <v>2022</v>
      </c>
      <c r="B272">
        <v>100</v>
      </c>
      <c r="C272" t="str">
        <f t="shared" si="37"/>
        <v>07</v>
      </c>
      <c r="D272" t="s">
        <v>399</v>
      </c>
      <c r="E272" t="str">
        <f t="shared" si="35"/>
        <v>07 SECRETARIA DE EDUCACION</v>
      </c>
      <c r="F272" s="2">
        <v>2020130010268</v>
      </c>
      <c r="G272" s="2" t="str">
        <f>+VLOOKUP(F272,Hoja2!$F:$I,2,FALSE)</f>
        <v>08. PILAR CARTAGENA INCLUYENTE</v>
      </c>
      <c r="H272" s="2" t="str">
        <f>+VLOOKUP(F272,Hoja2!$F:$I,3,FALSE)</f>
        <v>8.2 LÍNEA ESTRATEGICA DE EDUCACION: CULTURA DE LA FORMACION "CON LA EDUCACION PARA TODOS Y TODAS SALVAMOS JUNTOS A CARTAGENA"</v>
      </c>
      <c r="I272" s="2" t="str">
        <f>+VLOOKUP(F272,Hoja2!$F:$I,4,FALSE)</f>
        <v>8.2.7 PROGRAMA: EDUCACIÓN PARA TRANSFORMAR “EDUCACIÓN MEDIA TÉCNICA Y SUPERIOR”</v>
      </c>
      <c r="J272" t="s">
        <v>417</v>
      </c>
      <c r="K272" t="str">
        <f>"001"</f>
        <v>001</v>
      </c>
      <c r="L272" t="s">
        <v>25</v>
      </c>
      <c r="M272" t="s">
        <v>26</v>
      </c>
      <c r="N272" t="s">
        <v>27</v>
      </c>
      <c r="O272" t="s">
        <v>447</v>
      </c>
      <c r="P272" t="str">
        <f t="shared" si="36"/>
        <v>2020130010268 CONSOLIDACION DE BECAS UNIVERSITARIAS PARA EGRESADOS DE LAS INSTITUCIONES EDUCATIVAS  OFICIALES  DE  CARTAGENA DE INDIAS</v>
      </c>
      <c r="Q272" t="str">
        <f t="shared" si="32"/>
        <v>06</v>
      </c>
      <c r="R272" t="str">
        <f t="shared" si="33"/>
        <v>00</v>
      </c>
      <c r="S272" s="1">
        <v>44000000</v>
      </c>
      <c r="T272" s="1">
        <v>-44000000</v>
      </c>
      <c r="U272" s="1">
        <v>0</v>
      </c>
      <c r="V272" s="1">
        <v>0</v>
      </c>
      <c r="W272" s="1">
        <v>0</v>
      </c>
      <c r="X272" s="1">
        <v>0</v>
      </c>
      <c r="Y272" s="1">
        <v>0</v>
      </c>
      <c r="Z272" s="1">
        <v>0</v>
      </c>
      <c r="AA272" s="1">
        <v>0</v>
      </c>
      <c r="AB272" s="1">
        <v>0</v>
      </c>
      <c r="AC272" s="1">
        <v>0</v>
      </c>
    </row>
    <row r="273" spans="1:29" x14ac:dyDescent="0.3">
      <c r="A273">
        <v>2022</v>
      </c>
      <c r="B273">
        <v>100</v>
      </c>
      <c r="C273" t="str">
        <f t="shared" si="37"/>
        <v>07</v>
      </c>
      <c r="D273" t="s">
        <v>399</v>
      </c>
      <c r="E273" t="str">
        <f t="shared" si="35"/>
        <v>07 SECRETARIA DE EDUCACION</v>
      </c>
      <c r="F273" s="2">
        <v>2020130010270</v>
      </c>
      <c r="G273" s="2" t="str">
        <f>+VLOOKUP(F273,Hoja2!$F:$I,2,FALSE)</f>
        <v>08. PILAR CARTAGENA INCLUYENTE</v>
      </c>
      <c r="H273" s="2" t="str">
        <f>+VLOOKUP(F273,Hoja2!$F:$I,3,FALSE)</f>
        <v>8.2 LÍNEA ESTRATEGICA DE EDUCACION: CULTURA DE LA FORMACION "CON LA EDUCACION PARA TODOS Y TODAS SALVAMOS JUNTOS A CARTAGENA"</v>
      </c>
      <c r="I273" s="2" t="str">
        <f>+VLOOKUP(F273,Hoja2!$F:$I,4,FALSE)</f>
        <v>8.2.2 PROGRAMA: SABIDURÍA DE LA PRIMERA INFANCIA “GRANDES BANDERAS, GESTO E IDEAS PARA CAMBIAR EL PLANETA”</v>
      </c>
      <c r="J273" t="s">
        <v>467</v>
      </c>
      <c r="K273" t="str">
        <f>"001"</f>
        <v>001</v>
      </c>
      <c r="L273" t="s">
        <v>25</v>
      </c>
      <c r="M273" t="s">
        <v>26</v>
      </c>
      <c r="N273" t="s">
        <v>27</v>
      </c>
      <c r="O273" t="s">
        <v>468</v>
      </c>
      <c r="P273" t="str">
        <f t="shared" si="36"/>
        <v>2020130010270 IMPLEMENTACION DE LA ESTRATEGIA DESCUBRIENDO EL MUNDO: UNA ESCUELA QUE ACOGE LA PRIMERA INFANCIA EN EL MARCO DEL PROGRAMA SABIDURIA DE LA PRIMERA INFANCIA EN  CARTAGENA DE INDIAS</v>
      </c>
      <c r="Q273" t="str">
        <f t="shared" si="32"/>
        <v>06</v>
      </c>
      <c r="R273" t="str">
        <f t="shared" si="33"/>
        <v>00</v>
      </c>
      <c r="S273" s="1">
        <v>315511202</v>
      </c>
      <c r="T273" s="1">
        <v>0</v>
      </c>
      <c r="U273" s="1">
        <v>315511202</v>
      </c>
      <c r="V273" s="1">
        <v>315511202</v>
      </c>
      <c r="W273" s="1">
        <v>0</v>
      </c>
      <c r="X273" s="1">
        <v>312817644.83999997</v>
      </c>
      <c r="Y273" s="1">
        <v>99.15</v>
      </c>
      <c r="Z273" s="1">
        <v>171511775</v>
      </c>
      <c r="AA273" s="1">
        <v>54.36</v>
      </c>
      <c r="AB273" s="1">
        <v>2693557.16</v>
      </c>
      <c r="AC273" s="1">
        <v>171511775</v>
      </c>
    </row>
    <row r="274" spans="1:29" x14ac:dyDescent="0.3">
      <c r="A274">
        <v>2022</v>
      </c>
      <c r="B274">
        <v>100</v>
      </c>
      <c r="C274" t="str">
        <f>"02"</f>
        <v>02</v>
      </c>
      <c r="D274" t="s">
        <v>106</v>
      </c>
      <c r="E274" t="str">
        <f t="shared" si="35"/>
        <v>02 SECRETARIA DEL INTERIOR Y CONVIVENCIA CIUDADANAL</v>
      </c>
      <c r="F274" s="2">
        <v>2020130010272</v>
      </c>
      <c r="G274" s="2" t="str">
        <f>+VLOOKUP(F274,Hoja2!$F:$I,2,FALSE)</f>
        <v>10. PILAR: CARTAGENA TRANSPARENTE</v>
      </c>
      <c r="H274" s="2" t="str">
        <f>+VLOOKUP(F274,Hoja2!$F:$I,3,FALSE)</f>
        <v>10.3 LÍNEA ESTRATÉGICA: CONVIVENCIA Y SEGURIDAD PARA LA GOBERNABILIDAD</v>
      </c>
      <c r="I274" s="2" t="str">
        <f>+VLOOKUP(F274,Hoja2!$F:$I,4,FALSE)</f>
        <v>10.3.1 PLAN INTEGRAL DE SEGURIDAD Y CONVIVENCIA CIUDADANA</v>
      </c>
      <c r="J274" t="s">
        <v>128</v>
      </c>
      <c r="K274" t="str">
        <f>"856"</f>
        <v>856</v>
      </c>
      <c r="L274" t="s">
        <v>126</v>
      </c>
      <c r="M274" t="s">
        <v>26</v>
      </c>
      <c r="N274" t="s">
        <v>27</v>
      </c>
      <c r="O274" t="s">
        <v>129</v>
      </c>
      <c r="P274" t="str">
        <f t="shared" si="36"/>
        <v>2020130010272 FORTALECIMIENTO DE LAS CAPACIDADES OPERATIVAS DE LA ARMADA NACIONAL PARA LA OPORTUNA ASISTENCIA MILITAR E INCREMENTO DE LA PROTECCION Y SEGURIDAD CIUDADANA EN EL DISTRITO DE   CARTAGENA DE INDIAS</v>
      </c>
      <c r="Q274" t="str">
        <f t="shared" si="32"/>
        <v>06</v>
      </c>
      <c r="R274" t="str">
        <f t="shared" si="33"/>
        <v>00</v>
      </c>
      <c r="S274" s="1">
        <v>0</v>
      </c>
      <c r="T274" s="1">
        <v>2122307508.77</v>
      </c>
      <c r="U274" s="1">
        <v>2122307508.77</v>
      </c>
      <c r="V274" s="1">
        <v>986033717.19000006</v>
      </c>
      <c r="W274" s="1">
        <v>1136273791.5799999</v>
      </c>
      <c r="X274" s="1">
        <v>886401996</v>
      </c>
      <c r="Y274" s="1">
        <v>41.77</v>
      </c>
      <c r="Z274" s="1">
        <v>644801996</v>
      </c>
      <c r="AA274" s="1">
        <v>30.38</v>
      </c>
      <c r="AB274" s="1">
        <v>1235905512.77</v>
      </c>
      <c r="AC274" s="1">
        <v>0</v>
      </c>
    </row>
    <row r="275" spans="1:29" x14ac:dyDescent="0.3">
      <c r="A275">
        <v>2022</v>
      </c>
      <c r="B275">
        <v>100</v>
      </c>
      <c r="C275" t="str">
        <f>"02"</f>
        <v>02</v>
      </c>
      <c r="D275" t="s">
        <v>106</v>
      </c>
      <c r="E275" t="str">
        <f t="shared" si="35"/>
        <v>02 SECRETARIA DEL INTERIOR Y CONVIVENCIA CIUDADANAL</v>
      </c>
      <c r="F275" s="2">
        <v>2020130010272</v>
      </c>
      <c r="G275" s="2" t="str">
        <f>+VLOOKUP(F275,Hoja2!$F:$I,2,FALSE)</f>
        <v>10. PILAR: CARTAGENA TRANSPARENTE</v>
      </c>
      <c r="H275" s="2" t="str">
        <f>+VLOOKUP(F275,Hoja2!$F:$I,3,FALSE)</f>
        <v>10.3 LÍNEA ESTRATÉGICA: CONVIVENCIA Y SEGURIDAD PARA LA GOBERNABILIDAD</v>
      </c>
      <c r="I275" s="2" t="str">
        <f>+VLOOKUP(F275,Hoja2!$F:$I,4,FALSE)</f>
        <v>10.3.1 PLAN INTEGRAL DE SEGURIDAD Y CONVIVENCIA CIUDADANA</v>
      </c>
      <c r="J275" t="s">
        <v>128</v>
      </c>
      <c r="K275" t="str">
        <f>"174"</f>
        <v>174</v>
      </c>
      <c r="L275" t="s">
        <v>138</v>
      </c>
      <c r="M275" t="s">
        <v>26</v>
      </c>
      <c r="N275" t="s">
        <v>27</v>
      </c>
      <c r="O275" t="s">
        <v>129</v>
      </c>
      <c r="P275" t="str">
        <f t="shared" si="36"/>
        <v>2020130010272 FORTALECIMIENTO DE LAS CAPACIDADES OPERATIVAS DE LA ARMADA NACIONAL PARA LA OPORTUNA ASISTENCIA MILITAR E INCREMENTO DE LA PROTECCION Y SEGURIDAD CIUDADANA EN EL DISTRITO DE   CARTAGENA DE INDIAS</v>
      </c>
      <c r="Q275" t="str">
        <f t="shared" si="32"/>
        <v>06</v>
      </c>
      <c r="R275" t="str">
        <f t="shared" si="33"/>
        <v>00</v>
      </c>
      <c r="S275" s="1">
        <v>1</v>
      </c>
      <c r="T275" s="1">
        <v>0</v>
      </c>
      <c r="U275" s="1">
        <v>1</v>
      </c>
      <c r="V275" s="1">
        <v>0</v>
      </c>
      <c r="W275" s="1">
        <v>1</v>
      </c>
      <c r="X275" s="1">
        <v>0</v>
      </c>
      <c r="Y275" s="1">
        <v>0</v>
      </c>
      <c r="Z275" s="1">
        <v>0</v>
      </c>
      <c r="AA275" s="1">
        <v>0</v>
      </c>
      <c r="AB275" s="1">
        <v>1</v>
      </c>
      <c r="AC275" s="1">
        <v>0</v>
      </c>
    </row>
    <row r="276" spans="1:29" x14ac:dyDescent="0.3">
      <c r="A276">
        <v>2022</v>
      </c>
      <c r="B276">
        <v>100</v>
      </c>
      <c r="C276" t="str">
        <f>"02"</f>
        <v>02</v>
      </c>
      <c r="D276" t="s">
        <v>106</v>
      </c>
      <c r="E276" t="str">
        <f t="shared" si="35"/>
        <v>02 SECRETARIA DEL INTERIOR Y CONVIVENCIA CIUDADANAL</v>
      </c>
      <c r="F276" s="2">
        <v>2020130010272</v>
      </c>
      <c r="G276" s="2" t="str">
        <f>+VLOOKUP(F276,Hoja2!$F:$I,2,FALSE)</f>
        <v>10. PILAR: CARTAGENA TRANSPARENTE</v>
      </c>
      <c r="H276" s="2" t="str">
        <f>+VLOOKUP(F276,Hoja2!$F:$I,3,FALSE)</f>
        <v>10.3 LÍNEA ESTRATÉGICA: CONVIVENCIA Y SEGURIDAD PARA LA GOBERNABILIDAD</v>
      </c>
      <c r="I276" s="2" t="str">
        <f>+VLOOKUP(F276,Hoja2!$F:$I,4,FALSE)</f>
        <v>10.3.1 PLAN INTEGRAL DE SEGURIDAD Y CONVIVENCIA CIUDADANA</v>
      </c>
      <c r="J276" t="s">
        <v>128</v>
      </c>
      <c r="K276" t="str">
        <f>"040"</f>
        <v>040</v>
      </c>
      <c r="L276" t="s">
        <v>148</v>
      </c>
      <c r="M276" t="s">
        <v>26</v>
      </c>
      <c r="N276" t="s">
        <v>27</v>
      </c>
      <c r="O276" t="s">
        <v>129</v>
      </c>
      <c r="P276" t="str">
        <f t="shared" si="36"/>
        <v>2020130010272 FORTALECIMIENTO DE LAS CAPACIDADES OPERATIVAS DE LA ARMADA NACIONAL PARA LA OPORTUNA ASISTENCIA MILITAR E INCREMENTO DE LA PROTECCION Y SEGURIDAD CIUDADANA EN EL DISTRITO DE   CARTAGENA DE INDIAS</v>
      </c>
      <c r="Q276" t="str">
        <f t="shared" si="32"/>
        <v>06</v>
      </c>
      <c r="R276" t="str">
        <f t="shared" si="33"/>
        <v>00</v>
      </c>
      <c r="S276" s="1">
        <v>1463476709</v>
      </c>
      <c r="T276" s="1">
        <v>0</v>
      </c>
      <c r="U276" s="1">
        <v>1463476709</v>
      </c>
      <c r="V276" s="1">
        <v>1162809547.24</v>
      </c>
      <c r="W276" s="1">
        <v>300667161.75999999</v>
      </c>
      <c r="X276" s="1">
        <v>1073258767.6</v>
      </c>
      <c r="Y276" s="1">
        <v>73.34</v>
      </c>
      <c r="Z276" s="1">
        <v>955441161</v>
      </c>
      <c r="AA276" s="1">
        <v>65.290000000000006</v>
      </c>
      <c r="AB276" s="1">
        <v>390217941.39999998</v>
      </c>
      <c r="AC276" s="1">
        <v>282999998</v>
      </c>
    </row>
    <row r="277" spans="1:29" x14ac:dyDescent="0.3">
      <c r="A277">
        <v>2022</v>
      </c>
      <c r="B277">
        <v>100</v>
      </c>
      <c r="C277" t="str">
        <f>"05"</f>
        <v>05</v>
      </c>
      <c r="D277" t="s">
        <v>292</v>
      </c>
      <c r="E277" t="str">
        <f t="shared" si="35"/>
        <v>05 SECRETARIA GENERAL</v>
      </c>
      <c r="F277" s="2">
        <v>2020130010277</v>
      </c>
      <c r="G277" s="2" t="str">
        <f>+VLOOKUP(F277,Hoja2!$F:$I,2,FALSE)</f>
        <v>10. PILAR: CARTAGENA TRANSPARENTE</v>
      </c>
      <c r="H277" s="2" t="str">
        <f>+VLOOKUP(F277,Hoja2!$F:$I,3,FALSE)</f>
        <v>10.1 LÍNEA ESTRATÉGICA GESTIÓN Y DESEMPEÑO INSTITUCIONAL PARA LA GOBERNANZA</v>
      </c>
      <c r="I277" s="2" t="str">
        <f>+VLOOKUP(F277,Hoja2!$F:$I,4,FALSE)</f>
        <v>10.1.1 PROGRAMA: GESTIÓN PÚBLICA INTEGRADA Y TRANSPARENTE</v>
      </c>
      <c r="J277" t="s">
        <v>331</v>
      </c>
      <c r="K277" t="str">
        <f>"001"</f>
        <v>001</v>
      </c>
      <c r="L277" t="s">
        <v>25</v>
      </c>
      <c r="M277" t="s">
        <v>26</v>
      </c>
      <c r="N277" t="s">
        <v>27</v>
      </c>
      <c r="O277" t="s">
        <v>332</v>
      </c>
      <c r="P277" t="str">
        <f t="shared" si="36"/>
        <v>2020130010277 INTEGRACION DEL SISTEMA DE GESTION DE LA CALIDAD Y EL SERVICIO AL CIUDADANO PARA LA IMPLEMENTACION DEL MODELO INTEGRADO DE PLANEACION Y GESTION EN LA SECRETARIA GENERAL -TG+ CARTAGENA DE INDIAS</v>
      </c>
      <c r="Q277" t="str">
        <f t="shared" si="32"/>
        <v>06</v>
      </c>
      <c r="R277" t="str">
        <f t="shared" si="33"/>
        <v>00</v>
      </c>
      <c r="S277" s="1">
        <v>400000000</v>
      </c>
      <c r="T277" s="1">
        <v>-158382653.59999999</v>
      </c>
      <c r="U277" s="1">
        <v>241617346.40000001</v>
      </c>
      <c r="V277" s="1">
        <v>241617346.40000001</v>
      </c>
      <c r="W277" s="1">
        <v>0</v>
      </c>
      <c r="X277" s="1">
        <v>198516666</v>
      </c>
      <c r="Y277" s="1">
        <v>82.16</v>
      </c>
      <c r="Z277" s="1">
        <v>198516666</v>
      </c>
      <c r="AA277" s="1">
        <v>82.16</v>
      </c>
      <c r="AB277" s="1">
        <v>43100680.399999999</v>
      </c>
      <c r="AC277" s="1">
        <v>193150000</v>
      </c>
    </row>
    <row r="278" spans="1:29" x14ac:dyDescent="0.3">
      <c r="A278">
        <v>2022</v>
      </c>
      <c r="B278">
        <v>100</v>
      </c>
      <c r="C278" t="str">
        <f>"05"</f>
        <v>05</v>
      </c>
      <c r="D278" t="s">
        <v>292</v>
      </c>
      <c r="E278" t="str">
        <f t="shared" si="35"/>
        <v>05 SECRETARIA GENERAL</v>
      </c>
      <c r="F278" s="2">
        <v>2020130010292</v>
      </c>
      <c r="G278" s="2" t="str">
        <f>+VLOOKUP(F278,Hoja2!$F:$I,2,FALSE)</f>
        <v>07. PILAR CARTAGENA RESILIENTE</v>
      </c>
      <c r="H278" s="2" t="str">
        <f>+VLOOKUP(F278,Hoja2!$F:$I,3,FALSE)</f>
        <v>7.6 LÍNEA ESTRATÉGICA SERVICIOS PÚBLICOS BÁSICOS DEL DISTRITO DE CARTAGENA DE INDIAS: “TODOS CON TODO”</v>
      </c>
      <c r="I278" s="2" t="str">
        <f>+VLOOKUP(F278,Hoja2!$F:$I,4,FALSE)</f>
        <v>7.6.1 DE AHORRO Y USO EFICIENTE DE LOS SERVICIOS PÚBLICOS, "AGUA Y SANEAMIENTO BÁSICO PARA TODOS"</v>
      </c>
      <c r="J278" t="s">
        <v>354</v>
      </c>
      <c r="K278" t="str">
        <f>"001"</f>
        <v>001</v>
      </c>
      <c r="L278" t="s">
        <v>25</v>
      </c>
      <c r="M278" t="s">
        <v>26</v>
      </c>
      <c r="N278" t="s">
        <v>27</v>
      </c>
      <c r="O278" t="s">
        <v>355</v>
      </c>
      <c r="P278" t="str">
        <f t="shared" si="36"/>
        <v>2020130010292 ACTUALIZACION  PLAN DE SANEAMIENTO Y MANEJO DE VERTIMIENTOS PSMV ETV+  CARTAGENA DE INDIAS</v>
      </c>
      <c r="Q278" t="str">
        <f t="shared" si="32"/>
        <v>06</v>
      </c>
      <c r="R278" t="str">
        <f t="shared" si="33"/>
        <v>00</v>
      </c>
      <c r="S278" s="1">
        <v>1</v>
      </c>
      <c r="T278" s="1">
        <v>0</v>
      </c>
      <c r="U278" s="1">
        <v>1</v>
      </c>
      <c r="V278" s="1">
        <v>0</v>
      </c>
      <c r="W278" s="1">
        <v>1</v>
      </c>
      <c r="X278" s="1">
        <v>0</v>
      </c>
      <c r="Y278" s="1">
        <v>0</v>
      </c>
      <c r="Z278" s="1">
        <v>0</v>
      </c>
      <c r="AA278" s="1">
        <v>0</v>
      </c>
      <c r="AB278" s="1">
        <v>1</v>
      </c>
      <c r="AC278" s="1">
        <v>0</v>
      </c>
    </row>
    <row r="279" spans="1:29" x14ac:dyDescent="0.3">
      <c r="A279">
        <v>2022</v>
      </c>
      <c r="B279">
        <v>100</v>
      </c>
      <c r="C279" t="str">
        <f>"03"</f>
        <v>03</v>
      </c>
      <c r="D279" t="s">
        <v>164</v>
      </c>
      <c r="E279" t="str">
        <f t="shared" si="35"/>
        <v>03 SECRETARIA DE HACIENDA PUBLICA</v>
      </c>
      <c r="F279" s="2">
        <v>2020130010296</v>
      </c>
      <c r="G279" s="2" t="str">
        <f>+VLOOKUP(F279,Hoja2!$F:$I,2,FALSE)</f>
        <v>09. PILAR CARTAGENA CONTINGENTE</v>
      </c>
      <c r="H279" s="2" t="str">
        <f>+VLOOKUP(F279,Hoja2!$F:$I,3,FALSE)</f>
        <v>9.1 LÍNEA ESTRATÉGICA: DESARROLLO ECONÓMICO Y EMPLEABILIDAD</v>
      </c>
      <c r="I279" s="2" t="str">
        <f>+VLOOKUP(F279,Hoja2!$F:$I,4,FALSE)</f>
        <v>9.1.5 PROGRAMA: CARTAGENA FACILITA EL EMPRENDIMIENTO</v>
      </c>
      <c r="J279" t="s">
        <v>173</v>
      </c>
      <c r="K279" t="str">
        <f>"813"</f>
        <v>813</v>
      </c>
      <c r="L279" t="s">
        <v>169</v>
      </c>
      <c r="M279" t="s">
        <v>26</v>
      </c>
      <c r="N279" t="s">
        <v>27</v>
      </c>
      <c r="O279" t="s">
        <v>174</v>
      </c>
      <c r="P279" t="str">
        <f t="shared" si="36"/>
        <v>2020130010296 IMPLEMENTACION DEL CENTRO DE FOMENTO AL EMPRENDIMIENTO Y A LA EMPLEABILIDAD PARA UNA CARTAGENA DE INDIAS INCLUSIVA Y MAS COMPETITIVA EN  CARTAGENA DE INDIAS</v>
      </c>
      <c r="Q279" t="str">
        <f t="shared" si="32"/>
        <v>06</v>
      </c>
      <c r="R279" t="str">
        <f t="shared" si="33"/>
        <v>00</v>
      </c>
      <c r="S279" s="1">
        <v>0</v>
      </c>
      <c r="T279" s="1">
        <v>500000000</v>
      </c>
      <c r="U279" s="1">
        <v>500000000</v>
      </c>
      <c r="V279" s="1">
        <v>500000000</v>
      </c>
      <c r="W279" s="1">
        <v>0</v>
      </c>
      <c r="X279" s="1">
        <v>6024000</v>
      </c>
      <c r="Y279" s="1">
        <v>1.2</v>
      </c>
      <c r="Z279" s="1">
        <v>5964000</v>
      </c>
      <c r="AA279" s="1">
        <v>1.19</v>
      </c>
      <c r="AB279" s="1">
        <v>493976000</v>
      </c>
      <c r="AC279" s="1">
        <v>5964000</v>
      </c>
    </row>
    <row r="280" spans="1:29" x14ac:dyDescent="0.3">
      <c r="A280">
        <v>2022</v>
      </c>
      <c r="B280">
        <v>100</v>
      </c>
      <c r="C280" t="str">
        <f>"03"</f>
        <v>03</v>
      </c>
      <c r="D280" t="s">
        <v>164</v>
      </c>
      <c r="E280" t="str">
        <f t="shared" si="35"/>
        <v>03 SECRETARIA DE HACIENDA PUBLICA</v>
      </c>
      <c r="F280" s="2">
        <v>2020130010296</v>
      </c>
      <c r="G280" s="2" t="str">
        <f>+VLOOKUP(F280,Hoja2!$F:$I,2,FALSE)</f>
        <v>09. PILAR CARTAGENA CONTINGENTE</v>
      </c>
      <c r="H280" s="2" t="str">
        <f>+VLOOKUP(F280,Hoja2!$F:$I,3,FALSE)</f>
        <v>9.1 LÍNEA ESTRATÉGICA: DESARROLLO ECONÓMICO Y EMPLEABILIDAD</v>
      </c>
      <c r="I280" s="2" t="str">
        <f>+VLOOKUP(F280,Hoja2!$F:$I,4,FALSE)</f>
        <v>9.1.5 PROGRAMA: CARTAGENA FACILITA EL EMPRENDIMIENTO</v>
      </c>
      <c r="J280" t="s">
        <v>173</v>
      </c>
      <c r="K280" t="str">
        <f>"001"</f>
        <v>001</v>
      </c>
      <c r="L280" t="s">
        <v>25</v>
      </c>
      <c r="M280" t="s">
        <v>26</v>
      </c>
      <c r="N280" t="s">
        <v>27</v>
      </c>
      <c r="O280" t="s">
        <v>174</v>
      </c>
      <c r="P280" t="str">
        <f t="shared" si="36"/>
        <v>2020130010296 IMPLEMENTACION DEL CENTRO DE FOMENTO AL EMPRENDIMIENTO Y A LA EMPLEABILIDAD PARA UNA CARTAGENA DE INDIAS INCLUSIVA Y MAS COMPETITIVA EN  CARTAGENA DE INDIAS</v>
      </c>
      <c r="Q280" t="str">
        <f t="shared" si="32"/>
        <v>06</v>
      </c>
      <c r="R280" t="str">
        <f t="shared" si="33"/>
        <v>00</v>
      </c>
      <c r="S280" s="1">
        <v>4902189566</v>
      </c>
      <c r="T280" s="1">
        <v>-4700000000</v>
      </c>
      <c r="U280" s="1">
        <v>202189566</v>
      </c>
      <c r="V280" s="1">
        <v>202184000</v>
      </c>
      <c r="W280" s="1">
        <v>5566</v>
      </c>
      <c r="X280" s="1">
        <v>41184000</v>
      </c>
      <c r="Y280" s="1">
        <v>20.37</v>
      </c>
      <c r="Z280" s="1">
        <v>41184000</v>
      </c>
      <c r="AA280" s="1">
        <v>20.37</v>
      </c>
      <c r="AB280" s="1">
        <v>161005566</v>
      </c>
      <c r="AC280" s="1">
        <v>41184000</v>
      </c>
    </row>
    <row r="281" spans="1:29" x14ac:dyDescent="0.3">
      <c r="A281">
        <v>2022</v>
      </c>
      <c r="B281">
        <v>100</v>
      </c>
      <c r="C281" t="str">
        <f>"03"</f>
        <v>03</v>
      </c>
      <c r="D281" t="s">
        <v>164</v>
      </c>
      <c r="E281" t="str">
        <f t="shared" si="35"/>
        <v>03 SECRETARIA DE HACIENDA PUBLICA</v>
      </c>
      <c r="F281" s="2">
        <v>2020130010297</v>
      </c>
      <c r="G281" s="2" t="str">
        <f>+VLOOKUP(F281,Hoja2!$F:$I,2,FALSE)</f>
        <v>09. PILAR CARTAGENA CONTINGENTE</v>
      </c>
      <c r="H281" s="2" t="str">
        <f>+VLOOKUP(F281,Hoja2!$F:$I,3,FALSE)</f>
        <v>9.2 LÍNEA ESTRATÉGICA: COMPETITIVIDAD E INNOVACIÓN</v>
      </c>
      <c r="I281" s="2" t="str">
        <f>+VLOOKUP(F281,Hoja2!$F:$I,4,FALSE)</f>
        <v>9.2.1 PROGRAMA: CARTAGENA CIUDAD INNOVADORA</v>
      </c>
      <c r="J281" t="s">
        <v>175</v>
      </c>
      <c r="K281" t="str">
        <f>"813"</f>
        <v>813</v>
      </c>
      <c r="L281" t="s">
        <v>169</v>
      </c>
      <c r="M281" t="s">
        <v>26</v>
      </c>
      <c r="N281" t="s">
        <v>27</v>
      </c>
      <c r="O281" t="s">
        <v>176</v>
      </c>
      <c r="P281" t="str">
        <f t="shared" si="36"/>
        <v>2020130010297 IMPLEMENTACION DE ESTRATEGIAS DE ARTICULACION ENTRE ACTORES E INICIATIVAS PARA EL IMPULSO DE UNA CULTURA DE LA INNOVACION EN CARTAGENA DE INDIAS</v>
      </c>
      <c r="Q281" t="str">
        <f t="shared" si="32"/>
        <v>06</v>
      </c>
      <c r="R281" t="str">
        <f t="shared" si="33"/>
        <v>00</v>
      </c>
      <c r="S281" s="1">
        <v>0</v>
      </c>
      <c r="T281" s="1">
        <v>1000000000</v>
      </c>
      <c r="U281" s="1">
        <v>1000000000</v>
      </c>
      <c r="V281" s="1">
        <v>6206667</v>
      </c>
      <c r="W281" s="1">
        <v>993793333</v>
      </c>
      <c r="X281" s="1">
        <v>0</v>
      </c>
      <c r="Y281" s="1">
        <v>0</v>
      </c>
      <c r="Z281" s="1">
        <v>0</v>
      </c>
      <c r="AA281" s="1">
        <v>0</v>
      </c>
      <c r="AB281" s="1">
        <v>1000000000</v>
      </c>
      <c r="AC281" s="1">
        <v>0</v>
      </c>
    </row>
    <row r="282" spans="1:29" x14ac:dyDescent="0.3">
      <c r="A282">
        <v>2022</v>
      </c>
      <c r="B282">
        <v>100</v>
      </c>
      <c r="C282" t="str">
        <f>"03"</f>
        <v>03</v>
      </c>
      <c r="D282" t="s">
        <v>164</v>
      </c>
      <c r="E282" t="str">
        <f t="shared" si="35"/>
        <v>03 SECRETARIA DE HACIENDA PUBLICA</v>
      </c>
      <c r="F282" s="2">
        <v>2020130010297</v>
      </c>
      <c r="G282" s="2" t="str">
        <f>+VLOOKUP(F282,Hoja2!$F:$I,2,FALSE)</f>
        <v>09. PILAR CARTAGENA CONTINGENTE</v>
      </c>
      <c r="H282" s="2" t="str">
        <f>+VLOOKUP(F282,Hoja2!$F:$I,3,FALSE)</f>
        <v>9.2 LÍNEA ESTRATÉGICA: COMPETITIVIDAD E INNOVACIÓN</v>
      </c>
      <c r="I282" s="2" t="str">
        <f>+VLOOKUP(F282,Hoja2!$F:$I,4,FALSE)</f>
        <v>9.2.1 PROGRAMA: CARTAGENA CIUDAD INNOVADORA</v>
      </c>
      <c r="J282" t="s">
        <v>175</v>
      </c>
      <c r="K282" t="str">
        <f>"001"</f>
        <v>001</v>
      </c>
      <c r="L282" t="s">
        <v>25</v>
      </c>
      <c r="M282" t="s">
        <v>26</v>
      </c>
      <c r="N282" t="s">
        <v>27</v>
      </c>
      <c r="O282" t="s">
        <v>203</v>
      </c>
      <c r="P282" t="str">
        <f t="shared" si="36"/>
        <v>2020130010297 IMPLEMENTACION DE ESTRATEGIAS DE ARTICULACION ENTRE ACTORES E INICIATIVAS PARA EL IMPULSO DE UNA CULTURA DE LA INNOVACION EN  CARTAGENA DE INDIAS</v>
      </c>
      <c r="Q282" t="str">
        <f t="shared" si="32"/>
        <v>06</v>
      </c>
      <c r="R282" t="str">
        <f t="shared" si="33"/>
        <v>00</v>
      </c>
      <c r="S282" s="1">
        <v>451094783</v>
      </c>
      <c r="T282" s="1">
        <v>-200000000</v>
      </c>
      <c r="U282" s="1">
        <v>251094783</v>
      </c>
      <c r="V282" s="1">
        <v>246194783</v>
      </c>
      <c r="W282" s="1">
        <v>4900000</v>
      </c>
      <c r="X282" s="1">
        <v>244994783</v>
      </c>
      <c r="Y282" s="1">
        <v>97.57</v>
      </c>
      <c r="Z282" s="1">
        <v>244994783</v>
      </c>
      <c r="AA282" s="1">
        <v>97.57</v>
      </c>
      <c r="AB282" s="1">
        <v>6100000</v>
      </c>
      <c r="AC282" s="1">
        <v>106958435</v>
      </c>
    </row>
    <row r="283" spans="1:29" x14ac:dyDescent="0.3">
      <c r="A283">
        <v>2022</v>
      </c>
      <c r="B283">
        <v>100</v>
      </c>
      <c r="C283" t="str">
        <f>"09"</f>
        <v>09</v>
      </c>
      <c r="D283" t="s">
        <v>559</v>
      </c>
      <c r="E283" t="str">
        <f t="shared" si="35"/>
        <v>09 SECRETARIA DE PLANEACION</v>
      </c>
      <c r="F283" s="2">
        <v>2020130010300</v>
      </c>
      <c r="G283" s="2" t="str">
        <f>+VLOOKUP(F283,Hoja2!$F:$I,2,FALSE)</f>
        <v>07. PILAR CARTAGENA RESILIENTE</v>
      </c>
      <c r="H283" s="2" t="str">
        <f>+VLOOKUP(F283,Hoja2!$F:$I,3,FALSE)</f>
        <v>7.7 LÍNEA ESTRATÉGICA INSTRUMENTOS DE ORDENAMIENTO TERRITORIAL.</v>
      </c>
      <c r="I283" s="2" t="str">
        <f>+VLOOKUP(F283,Hoja2!$F:$I,4,FALSE)</f>
        <v>7.7.1 PLAN DE ORDENAMIENTO TERRITORIAL Y ESPECIAL DE MANEJO DE PATRIMONIO.</v>
      </c>
      <c r="J283" t="s">
        <v>598</v>
      </c>
      <c r="K283" t="str">
        <f>"001"</f>
        <v>001</v>
      </c>
      <c r="L283" t="s">
        <v>25</v>
      </c>
      <c r="M283" t="s">
        <v>26</v>
      </c>
      <c r="N283" t="s">
        <v>27</v>
      </c>
      <c r="O283" t="s">
        <v>599</v>
      </c>
      <c r="P283" t="str">
        <f t="shared" si="36"/>
        <v>2020130010300 IMPLEMENTACION OBSERVATORIO DE DINAMICAS URBANAS Y SOCIALES DE CARTAGENA DE INDIAS TG+  CARTAGENA DE INDIAS</v>
      </c>
      <c r="Q283" t="str">
        <f t="shared" si="32"/>
        <v>06</v>
      </c>
      <c r="R283" t="str">
        <f t="shared" si="33"/>
        <v>00</v>
      </c>
      <c r="S283" s="1">
        <v>556000000</v>
      </c>
      <c r="T283" s="1">
        <v>-248000000</v>
      </c>
      <c r="U283" s="1">
        <v>308000000</v>
      </c>
      <c r="V283" s="1">
        <v>259600000</v>
      </c>
      <c r="W283" s="1">
        <v>48400000</v>
      </c>
      <c r="X283" s="1">
        <v>259600000</v>
      </c>
      <c r="Y283" s="1">
        <v>84.29</v>
      </c>
      <c r="Z283" s="1">
        <v>253600000</v>
      </c>
      <c r="AA283" s="1">
        <v>82.34</v>
      </c>
      <c r="AB283" s="1">
        <v>48400000</v>
      </c>
      <c r="AC283" s="1">
        <v>253600000</v>
      </c>
    </row>
    <row r="284" spans="1:29" x14ac:dyDescent="0.3">
      <c r="A284">
        <v>2022</v>
      </c>
      <c r="B284">
        <v>100</v>
      </c>
      <c r="C284" t="str">
        <f>"02"</f>
        <v>02</v>
      </c>
      <c r="D284" t="s">
        <v>106</v>
      </c>
      <c r="E284" t="str">
        <f t="shared" si="35"/>
        <v>02 SECRETARIA DEL INTERIOR Y CONVIVENCIA CIUDADANAL</v>
      </c>
      <c r="F284" s="2">
        <v>2020130010304</v>
      </c>
      <c r="G284" s="2" t="str">
        <f>+VLOOKUP(F284,Hoja2!$F:$I,2,FALSE)</f>
        <v>10. PILAR: CARTAGENA TRANSPARENTE</v>
      </c>
      <c r="H284" s="2" t="str">
        <f>+VLOOKUP(F284,Hoja2!$F:$I,3,FALSE)</f>
        <v>10.3 LÍNEA ESTRATÉGICA: CONVIVENCIA Y SEGURIDAD PARA LA GOBERNABILIDAD</v>
      </c>
      <c r="I284" s="2" t="str">
        <f>+VLOOKUP(F284,Hoja2!$F:$I,4,FALSE)</f>
        <v>10.3.1 PLAN INTEGRAL DE SEGURIDAD Y CONVIVENCIA CIUDADANA</v>
      </c>
      <c r="J284" t="s">
        <v>130</v>
      </c>
      <c r="K284" t="str">
        <f>"856"</f>
        <v>856</v>
      </c>
      <c r="L284" t="s">
        <v>126</v>
      </c>
      <c r="M284" t="s">
        <v>26</v>
      </c>
      <c r="N284" t="s">
        <v>27</v>
      </c>
      <c r="O284" t="s">
        <v>131</v>
      </c>
      <c r="P284" t="str">
        <f t="shared" si="36"/>
        <v>2020130010304 MEJORAMIENTO DE LA SEDE DE LA FISCALIA GENERAL DE LA NACION UBICADA EN EL BARRIO CRESPO CALLE 66 4 -86 EDIFICIO HOCOL PISOS 1 Y 2 DEL DISTRITO DE CARTAGENA DE INDIAS</v>
      </c>
      <c r="Q284" t="str">
        <f t="shared" si="32"/>
        <v>06</v>
      </c>
      <c r="R284" t="str">
        <f t="shared" si="33"/>
        <v>00</v>
      </c>
      <c r="S284" s="1">
        <v>0</v>
      </c>
      <c r="T284" s="1">
        <v>1912307508.77</v>
      </c>
      <c r="U284" s="1">
        <v>1912307508.77</v>
      </c>
      <c r="V284" s="1">
        <v>1855036590.3299999</v>
      </c>
      <c r="W284" s="1">
        <v>57270918.439999998</v>
      </c>
      <c r="X284" s="1">
        <v>0</v>
      </c>
      <c r="Y284" s="1">
        <v>0</v>
      </c>
      <c r="Z284" s="1">
        <v>0</v>
      </c>
      <c r="AA284" s="1">
        <v>0</v>
      </c>
      <c r="AB284" s="1">
        <v>1912307508.77</v>
      </c>
      <c r="AC284" s="1">
        <v>0</v>
      </c>
    </row>
    <row r="285" spans="1:29" x14ac:dyDescent="0.3">
      <c r="A285">
        <v>2022</v>
      </c>
      <c r="B285">
        <v>100</v>
      </c>
      <c r="C285" t="str">
        <f>"02"</f>
        <v>02</v>
      </c>
      <c r="D285" t="s">
        <v>106</v>
      </c>
      <c r="E285" t="str">
        <f t="shared" si="35"/>
        <v>02 SECRETARIA DEL INTERIOR Y CONVIVENCIA CIUDADANAL</v>
      </c>
      <c r="F285" s="2">
        <v>2020130010304</v>
      </c>
      <c r="G285" s="2" t="str">
        <f>+VLOOKUP(F285,Hoja2!$F:$I,2,FALSE)</f>
        <v>10. PILAR: CARTAGENA TRANSPARENTE</v>
      </c>
      <c r="H285" s="2" t="str">
        <f>+VLOOKUP(F285,Hoja2!$F:$I,3,FALSE)</f>
        <v>10.3 LÍNEA ESTRATÉGICA: CONVIVENCIA Y SEGURIDAD PARA LA GOBERNABILIDAD</v>
      </c>
      <c r="I285" s="2" t="str">
        <f>+VLOOKUP(F285,Hoja2!$F:$I,4,FALSE)</f>
        <v>10.3.1 PLAN INTEGRAL DE SEGURIDAD Y CONVIVENCIA CIUDADANA</v>
      </c>
      <c r="J285" t="s">
        <v>130</v>
      </c>
      <c r="K285" t="str">
        <f>"040"</f>
        <v>040</v>
      </c>
      <c r="L285" t="s">
        <v>148</v>
      </c>
      <c r="M285" t="s">
        <v>26</v>
      </c>
      <c r="N285" t="s">
        <v>27</v>
      </c>
      <c r="O285" t="s">
        <v>131</v>
      </c>
      <c r="P285" t="str">
        <f t="shared" si="36"/>
        <v>2020130010304 MEJORAMIENTO DE LA SEDE DE LA FISCALIA GENERAL DE LA NACION UBICADA EN EL BARRIO CRESPO CALLE 66 4 -86 EDIFICIO HOCOL PISOS 1 Y 2 DEL DISTRITO DE CARTAGENA DE INDIAS</v>
      </c>
      <c r="Q285" t="str">
        <f t="shared" si="32"/>
        <v>06</v>
      </c>
      <c r="R285" t="str">
        <f t="shared" si="33"/>
        <v>00</v>
      </c>
      <c r="S285" s="1">
        <v>1500000000</v>
      </c>
      <c r="T285" s="1">
        <v>0</v>
      </c>
      <c r="U285" s="1">
        <v>1500000000</v>
      </c>
      <c r="V285" s="1">
        <v>0</v>
      </c>
      <c r="W285" s="1">
        <v>1500000000</v>
      </c>
      <c r="X285" s="1">
        <v>0</v>
      </c>
      <c r="Y285" s="1">
        <v>0</v>
      </c>
      <c r="Z285" s="1">
        <v>0</v>
      </c>
      <c r="AA285" s="1">
        <v>0</v>
      </c>
      <c r="AB285" s="1">
        <v>1500000000</v>
      </c>
      <c r="AC285" s="1">
        <v>0</v>
      </c>
    </row>
    <row r="286" spans="1:29" x14ac:dyDescent="0.3">
      <c r="A286">
        <v>2022</v>
      </c>
      <c r="B286">
        <v>100</v>
      </c>
      <c r="C286" t="str">
        <f>"16"</f>
        <v>16</v>
      </c>
      <c r="D286" t="s">
        <v>833</v>
      </c>
      <c r="E286" t="str">
        <f t="shared" si="35"/>
        <v>16 FONDO DE VIVIENDA DE INTERES SOCIAL Y REFORMA URBANA</v>
      </c>
      <c r="F286" s="2">
        <v>2020130010306</v>
      </c>
      <c r="G286" s="2" t="str">
        <f>+VLOOKUP(F286,Hoja2!$F:$I,2,FALSE)</f>
        <v>07. PILAR CARTAGENA RESILIENTE</v>
      </c>
      <c r="H286" s="2" t="str">
        <f>+VLOOKUP(F286,Hoja2!$F:$I,3,FALSE)</f>
        <v>7.5 LÍNEA ESTRATÉGICA VIVIENDA PARA TODOS</v>
      </c>
      <c r="I286" s="2" t="str">
        <f>+VLOOKUP(F286,Hoja2!$F:$I,4,FALSE)</f>
        <v xml:space="preserve">7.5.5 MI CASA, MI ENTORNO, MI HABITAT    </v>
      </c>
      <c r="J286" t="s">
        <v>843</v>
      </c>
      <c r="K286" t="str">
        <f>"039"</f>
        <v>039</v>
      </c>
      <c r="L286" t="s">
        <v>839</v>
      </c>
      <c r="M286" t="s">
        <v>26</v>
      </c>
      <c r="N286" t="s">
        <v>27</v>
      </c>
      <c r="O286" t="s">
        <v>844</v>
      </c>
      <c r="P286" t="str">
        <f t="shared" si="36"/>
        <v>2020130010306 ELABORACION DE ESTUDIOS SECTORIALES Y SEGUIMIENTO A LA LINEA ESTRATEGICA DE VIVIENDA A TRAVES DE UN OBSERVATORIO DE VIVIENDA DE INTERES SOCIAL DEL PROGRAMA MI CASA MI ENTORNO MI HABITAT DE LA CIUDAD DE CARTAGENA DE INDIAS</v>
      </c>
      <c r="Q286" t="str">
        <f t="shared" si="32"/>
        <v>06</v>
      </c>
      <c r="R286" t="str">
        <f t="shared" si="33"/>
        <v>00</v>
      </c>
      <c r="S286" s="1">
        <v>190861993</v>
      </c>
      <c r="T286" s="1">
        <v>0</v>
      </c>
      <c r="U286" s="1">
        <v>190861993</v>
      </c>
      <c r="V286" s="1">
        <v>152718000</v>
      </c>
      <c r="W286" s="1">
        <v>38143993</v>
      </c>
      <c r="X286" s="1">
        <v>152718000</v>
      </c>
      <c r="Y286" s="1">
        <v>80.010000000000005</v>
      </c>
      <c r="Z286" s="1">
        <v>152718000</v>
      </c>
      <c r="AA286" s="1">
        <v>80.010000000000005</v>
      </c>
      <c r="AB286" s="1">
        <v>38143993</v>
      </c>
      <c r="AC286" s="1">
        <v>152718000</v>
      </c>
    </row>
    <row r="287" spans="1:29" x14ac:dyDescent="0.3">
      <c r="A287">
        <v>2022</v>
      </c>
      <c r="B287">
        <v>100</v>
      </c>
      <c r="C287" t="str">
        <f>"16"</f>
        <v>16</v>
      </c>
      <c r="D287" t="s">
        <v>833</v>
      </c>
      <c r="E287" t="str">
        <f t="shared" si="35"/>
        <v>16 FONDO DE VIVIENDA DE INTERES SOCIAL Y REFORMA URBANA</v>
      </c>
      <c r="F287" s="2">
        <v>2020130010307</v>
      </c>
      <c r="G287" s="2" t="str">
        <f>+VLOOKUP(F287,Hoja2!$F:$I,2,FALSE)</f>
        <v>07. PILAR CARTAGENA RESILIENTE</v>
      </c>
      <c r="H287" s="2" t="str">
        <f>+VLOOKUP(F287,Hoja2!$F:$I,3,FALSE)</f>
        <v>7.5 LÍNEA ESTRATÉGICA VIVIENDA PARA TODOS</v>
      </c>
      <c r="I287" s="2" t="str">
        <f>+VLOOKUP(F287,Hoja2!$F:$I,4,FALSE)</f>
        <v xml:space="preserve">7.5.5 MI CASA, MI ENTORNO, MI HABITAT    </v>
      </c>
      <c r="J287" t="s">
        <v>841</v>
      </c>
      <c r="K287" t="str">
        <f>"039"</f>
        <v>039</v>
      </c>
      <c r="L287" t="s">
        <v>839</v>
      </c>
      <c r="M287" t="s">
        <v>26</v>
      </c>
      <c r="N287" t="s">
        <v>27</v>
      </c>
      <c r="O287" t="s">
        <v>842</v>
      </c>
      <c r="P287" t="str">
        <f t="shared" si="36"/>
        <v>2020130010307 ELABORACION DE ESTUDIOS PARA LA FORMULACION YO PARTICIPACION EN PLANES PARCIALES DEL PROGRAMA MI CASA MI ENTORNO MI HABITAT DE LA CIUDAD DE CARTAGENA DE INDIAS</v>
      </c>
      <c r="Q287" t="str">
        <f t="shared" si="32"/>
        <v>06</v>
      </c>
      <c r="R287" t="str">
        <f t="shared" si="33"/>
        <v>00</v>
      </c>
      <c r="S287" s="1">
        <v>81775793</v>
      </c>
      <c r="T287" s="1">
        <v>0</v>
      </c>
      <c r="U287" s="1">
        <v>81775793</v>
      </c>
      <c r="V287" s="1">
        <v>72000000</v>
      </c>
      <c r="W287" s="1">
        <v>9775793</v>
      </c>
      <c r="X287" s="1">
        <v>72000000</v>
      </c>
      <c r="Y287" s="1">
        <v>88.05</v>
      </c>
      <c r="Z287" s="1">
        <v>72000000</v>
      </c>
      <c r="AA287" s="1">
        <v>88.05</v>
      </c>
      <c r="AB287" s="1">
        <v>9775793</v>
      </c>
      <c r="AC287" s="1">
        <v>72000000</v>
      </c>
    </row>
    <row r="288" spans="1:29" x14ac:dyDescent="0.3">
      <c r="A288">
        <v>2022</v>
      </c>
      <c r="B288">
        <v>100</v>
      </c>
      <c r="C288" t="str">
        <f>"16"</f>
        <v>16</v>
      </c>
      <c r="D288" t="s">
        <v>833</v>
      </c>
      <c r="E288" t="str">
        <f t="shared" si="35"/>
        <v>16 FONDO DE VIVIENDA DE INTERES SOCIAL Y REFORMA URBANA</v>
      </c>
      <c r="F288" s="2">
        <v>2020130010308</v>
      </c>
      <c r="G288" s="2" t="str">
        <f>+VLOOKUP(F288,Hoja2!$F:$I,2,FALSE)</f>
        <v>07. PILAR CARTAGENA RESILIENTE</v>
      </c>
      <c r="H288" s="2" t="str">
        <f>+VLOOKUP(F288,Hoja2!$F:$I,3,FALSE)</f>
        <v>7.5 LÍNEA ESTRATÉGICA VIVIENDA PARA TODOS</v>
      </c>
      <c r="I288" s="2" t="str">
        <f>+VLOOKUP(F288,Hoja2!$F:$I,4,FALSE)</f>
        <v xml:space="preserve">7.5.5 MI CASA, MI ENTORNO, MI HABITAT    </v>
      </c>
      <c r="J288" t="s">
        <v>838</v>
      </c>
      <c r="K288" t="str">
        <f>"039"</f>
        <v>039</v>
      </c>
      <c r="L288" t="s">
        <v>839</v>
      </c>
      <c r="M288" t="s">
        <v>26</v>
      </c>
      <c r="N288" t="s">
        <v>27</v>
      </c>
      <c r="O288" t="s">
        <v>840</v>
      </c>
      <c r="P288" t="str">
        <f t="shared" si="36"/>
        <v>2020130010308 ELABORACION DE ESTUDIOS Y TRAMITES DE LEGALIZACION URBANISTICA DE BARRIOS DEL PROGRAMA MI CASA MI ENTORNO MI HABITAT DE LA CIUDAD DE CARTAGENA DE INDIAS</v>
      </c>
      <c r="Q288" t="str">
        <f t="shared" si="32"/>
        <v>06</v>
      </c>
      <c r="R288" t="str">
        <f t="shared" si="33"/>
        <v>00</v>
      </c>
      <c r="S288" s="1">
        <v>208000000</v>
      </c>
      <c r="T288" s="1">
        <v>0</v>
      </c>
      <c r="U288" s="1">
        <v>208000000</v>
      </c>
      <c r="V288" s="1">
        <v>208000000</v>
      </c>
      <c r="W288" s="1">
        <v>0</v>
      </c>
      <c r="X288" s="1">
        <v>208000000</v>
      </c>
      <c r="Y288" s="1">
        <v>100</v>
      </c>
      <c r="Z288" s="1">
        <v>208000000</v>
      </c>
      <c r="AA288" s="1">
        <v>100</v>
      </c>
      <c r="AB288" s="1">
        <v>0</v>
      </c>
      <c r="AC288" s="1">
        <v>208000000</v>
      </c>
    </row>
    <row r="289" spans="1:29" x14ac:dyDescent="0.3">
      <c r="A289">
        <v>2022</v>
      </c>
      <c r="B289">
        <v>100</v>
      </c>
      <c r="C289" t="str">
        <f>"16"</f>
        <v>16</v>
      </c>
      <c r="D289" t="s">
        <v>833</v>
      </c>
      <c r="E289" t="str">
        <f t="shared" si="35"/>
        <v>16 FONDO DE VIVIENDA DE INTERES SOCIAL Y REFORMA URBANA</v>
      </c>
      <c r="F289" s="2">
        <v>2020130010308</v>
      </c>
      <c r="G289" s="2" t="str">
        <f>+VLOOKUP(F289,Hoja2!$F:$I,2,FALSE)</f>
        <v>07. PILAR CARTAGENA RESILIENTE</v>
      </c>
      <c r="H289" s="2" t="str">
        <f>+VLOOKUP(F289,Hoja2!$F:$I,3,FALSE)</f>
        <v>7.5 LÍNEA ESTRATÉGICA VIVIENDA PARA TODOS</v>
      </c>
      <c r="I289" s="2" t="str">
        <f>+VLOOKUP(F289,Hoja2!$F:$I,4,FALSE)</f>
        <v xml:space="preserve">7.5.5 MI CASA, MI ENTORNO, MI HABITAT    </v>
      </c>
      <c r="J289" t="s">
        <v>838</v>
      </c>
      <c r="K289" t="str">
        <f>"837"</f>
        <v>837</v>
      </c>
      <c r="L289" t="s">
        <v>835</v>
      </c>
      <c r="M289" t="s">
        <v>26</v>
      </c>
      <c r="N289" t="s">
        <v>27</v>
      </c>
      <c r="O289" t="s">
        <v>840</v>
      </c>
      <c r="P289" t="str">
        <f t="shared" si="36"/>
        <v>2020130010308 ELABORACION DE ESTUDIOS Y TRAMITES DE LEGALIZACION URBANISTICA DE BARRIOS DEL PROGRAMA MI CASA MI ENTORNO MI HABITAT DE LA CIUDAD DE CARTAGENA DE INDIAS</v>
      </c>
      <c r="Q289" t="str">
        <f t="shared" si="32"/>
        <v>06</v>
      </c>
      <c r="R289" t="str">
        <f t="shared" si="33"/>
        <v>00</v>
      </c>
      <c r="S289" s="1">
        <v>0</v>
      </c>
      <c r="T289" s="1">
        <v>842000000</v>
      </c>
      <c r="U289" s="1">
        <v>842000000</v>
      </c>
      <c r="V289" s="1">
        <v>842000000</v>
      </c>
      <c r="W289" s="1">
        <v>0</v>
      </c>
      <c r="X289" s="1">
        <v>842000000</v>
      </c>
      <c r="Y289" s="1">
        <v>100</v>
      </c>
      <c r="Z289" s="1">
        <v>842000000</v>
      </c>
      <c r="AA289" s="1">
        <v>100</v>
      </c>
      <c r="AB289" s="1">
        <v>0</v>
      </c>
      <c r="AC289" s="1">
        <v>842000000</v>
      </c>
    </row>
    <row r="290" spans="1:29" x14ac:dyDescent="0.3">
      <c r="A290">
        <v>2022</v>
      </c>
      <c r="B290">
        <v>100</v>
      </c>
      <c r="C290" t="str">
        <f>"07"</f>
        <v>07</v>
      </c>
      <c r="D290" t="s">
        <v>399</v>
      </c>
      <c r="E290" t="str">
        <f t="shared" si="35"/>
        <v>07 SECRETARIA DE EDUCACION</v>
      </c>
      <c r="F290" s="2">
        <v>2020130010309</v>
      </c>
      <c r="G290" s="2" t="str">
        <f>+VLOOKUP(F290,Hoja2!$F:$I,2,FALSE)</f>
        <v>08. PILAR CARTAGENA INCLUYENTE</v>
      </c>
      <c r="H290" s="2" t="str">
        <f>+VLOOKUP(F290,Hoja2!$F:$I,3,FALSE)</f>
        <v>8.2 LÍNEA ESTRATEGICA DE EDUCACION: CULTURA DE LA FORMACION "CON LA EDUCACION PARA TODOS Y TODAS SALVAMOS JUNTOS A CARTAGENA"</v>
      </c>
      <c r="I290" s="2" t="str">
        <f>+VLOOKUP(F290,Hoja2!$F:$I,4,FALSE)</f>
        <v>8.2.7 PROGRAMA: EDUCACIÓN PARA TRANSFORMAR “EDUCACIÓN MEDIA TÉCNICA Y SUPERIOR”</v>
      </c>
      <c r="J290" t="s">
        <v>475</v>
      </c>
      <c r="K290" t="str">
        <f>"001"</f>
        <v>001</v>
      </c>
      <c r="L290" t="s">
        <v>25</v>
      </c>
      <c r="M290" t="s">
        <v>26</v>
      </c>
      <c r="N290" t="s">
        <v>27</v>
      </c>
      <c r="O290" t="s">
        <v>476</v>
      </c>
      <c r="P290" t="str">
        <f t="shared" si="36"/>
        <v>2020130010309 APOYO AL MEJORAMIENTO DE LAS COMPETENCIAS LABORALES DE LOS EGRESADOS DE LAS INSTITUCIONES EDUCATIVAS OFICIALES DE   CARTAGENA DE INDIAS</v>
      </c>
      <c r="Q290" t="str">
        <f t="shared" si="32"/>
        <v>06</v>
      </c>
      <c r="R290" t="str">
        <f t="shared" si="33"/>
        <v>00</v>
      </c>
      <c r="S290" s="1">
        <v>200000000</v>
      </c>
      <c r="T290" s="1">
        <v>-200000000</v>
      </c>
      <c r="U290" s="1">
        <v>0</v>
      </c>
      <c r="V290" s="1">
        <v>0</v>
      </c>
      <c r="W290" s="1">
        <v>0</v>
      </c>
      <c r="X290" s="1">
        <v>0</v>
      </c>
      <c r="Y290" s="1">
        <v>0</v>
      </c>
      <c r="Z290" s="1">
        <v>0</v>
      </c>
      <c r="AA290" s="1">
        <v>0</v>
      </c>
      <c r="AB290" s="1">
        <v>0</v>
      </c>
      <c r="AC290" s="1">
        <v>0</v>
      </c>
    </row>
    <row r="291" spans="1:29" x14ac:dyDescent="0.3">
      <c r="A291">
        <v>2022</v>
      </c>
      <c r="B291">
        <v>100</v>
      </c>
      <c r="C291" t="str">
        <f>"08"</f>
        <v>08</v>
      </c>
      <c r="D291" t="s">
        <v>479</v>
      </c>
      <c r="E291" t="str">
        <f t="shared" si="35"/>
        <v>08 SECRETARIA DE PARTICIPACION Y DESARROLLO SOCIAL</v>
      </c>
      <c r="F291" s="2">
        <v>2020130010319</v>
      </c>
      <c r="G291" s="2" t="str">
        <f>+VLOOKUP(F291,Hoja2!$F:$I,2,FALSE)</f>
        <v>11. EJE TRANSVERSAL: CARTAGENA CON ATENCION Y GARANTIA DE DERECHOS A POBLACION DIFERENCIAL.</v>
      </c>
      <c r="H291" s="2" t="str">
        <f>+VLOOKUP(F291,Hoja2!$F:$I,3,FALSE)</f>
        <v>11.5 LÍNEA ESTRATÉGICA EN CARTAGENA SALVAMOS NUESTROS ADULTOS MAYORES</v>
      </c>
      <c r="I291" s="2" t="str">
        <f>+VLOOKUP(F291,Hoja2!$F:$I,4,FALSE)</f>
        <v>11.5.1 PROGRAMA: ATENCION INTEGRAL PARA MANTENER A SALVO LOS ADULTOS MAYORES</v>
      </c>
      <c r="J291" t="s">
        <v>495</v>
      </c>
      <c r="K291" t="str">
        <f>"088"</f>
        <v>088</v>
      </c>
      <c r="L291" t="s">
        <v>493</v>
      </c>
      <c r="M291" t="s">
        <v>26</v>
      </c>
      <c r="N291" t="s">
        <v>27</v>
      </c>
      <c r="O291" t="s">
        <v>496</v>
      </c>
      <c r="P291" t="str">
        <f t="shared" si="36"/>
        <v>2020130010319 APOYO PARA LA ATENCION INTEGRAL AL ADULTO MAYOR EN ESTADO DE ABANDONO MALTRATO Y SITUACION DE CALLE EN EL DISTRITO DE   CARTAGENA DE INDIAS</v>
      </c>
      <c r="Q291" t="str">
        <f t="shared" si="32"/>
        <v>06</v>
      </c>
      <c r="R291" t="str">
        <f t="shared" si="33"/>
        <v>00</v>
      </c>
      <c r="S291" s="1">
        <v>1747600000</v>
      </c>
      <c r="T291" s="1">
        <v>0</v>
      </c>
      <c r="U291" s="1">
        <v>1747600000</v>
      </c>
      <c r="V291" s="1">
        <v>1747363723</v>
      </c>
      <c r="W291" s="1">
        <v>236277</v>
      </c>
      <c r="X291" s="1">
        <v>1522039444</v>
      </c>
      <c r="Y291" s="1">
        <v>87.09</v>
      </c>
      <c r="Z291" s="1">
        <v>1215065973.3699999</v>
      </c>
      <c r="AA291" s="1">
        <v>69.53</v>
      </c>
      <c r="AB291" s="1">
        <v>225560556</v>
      </c>
      <c r="AC291" s="1">
        <v>1186814973.3699999</v>
      </c>
    </row>
    <row r="292" spans="1:29" x14ac:dyDescent="0.3">
      <c r="A292">
        <v>2022</v>
      </c>
      <c r="B292">
        <v>100</v>
      </c>
      <c r="C292" t="str">
        <f>"09"</f>
        <v>09</v>
      </c>
      <c r="D292" t="s">
        <v>559</v>
      </c>
      <c r="E292" t="str">
        <f t="shared" si="35"/>
        <v>09 SECRETARIA DE PLANEACION</v>
      </c>
      <c r="F292" s="2">
        <v>2020130010320</v>
      </c>
      <c r="G292" s="2" t="str">
        <f>+VLOOKUP(F292,Hoja2!$F:$I,2,FALSE)</f>
        <v>09. PILAR CARTAGENA CONTINGENTE</v>
      </c>
      <c r="H292" s="2" t="str">
        <f>+VLOOKUP(F292,Hoja2!$F:$I,3,FALSE)</f>
        <v>9.4 LÍNEA ESTRATÉGICA: PLANEACIÓN E INTEGRACIÓN CONTINGENTE DEL TERRITORIO</v>
      </c>
      <c r="I292" s="2" t="str">
        <f>+VLOOKUP(F292,Hoja2!$F:$I,4,FALSE)</f>
        <v>9.4.2 PROGRAMA: NORMAS DE PROMOCIÓN DEL DESARROLLO URBANO Y ECONÓMICO</v>
      </c>
      <c r="J292" t="s">
        <v>574</v>
      </c>
      <c r="K292" t="str">
        <f>"813"</f>
        <v>813</v>
      </c>
      <c r="L292" t="s">
        <v>169</v>
      </c>
      <c r="M292" t="s">
        <v>26</v>
      </c>
      <c r="N292" t="s">
        <v>27</v>
      </c>
      <c r="O292" t="s">
        <v>575</v>
      </c>
      <c r="P292" t="str">
        <f t="shared" si="36"/>
        <v>2020130010320 IMPLEMENTACION REGLAMENTACION URBANISTICA PARA LA HABILITACION DE SUELO PARA DESARROLLO ECONOMICO Y URBANO EN EL DISTRITO TG+  CARTAGENA DE INDIAS</v>
      </c>
      <c r="Q292" t="str">
        <f t="shared" si="32"/>
        <v>06</v>
      </c>
      <c r="R292" t="str">
        <f t="shared" si="33"/>
        <v>00</v>
      </c>
      <c r="S292" s="1">
        <v>0</v>
      </c>
      <c r="T292" s="1">
        <v>67500000</v>
      </c>
      <c r="U292" s="1">
        <v>67500000</v>
      </c>
      <c r="V292" s="1">
        <v>10533333</v>
      </c>
      <c r="W292" s="1">
        <v>56966667</v>
      </c>
      <c r="X292" s="1">
        <v>10533333</v>
      </c>
      <c r="Y292" s="1">
        <v>15.6</v>
      </c>
      <c r="Z292" s="1">
        <v>8000000</v>
      </c>
      <c r="AA292" s="1">
        <v>11.85</v>
      </c>
      <c r="AB292" s="1">
        <v>56966667</v>
      </c>
      <c r="AC292" s="1">
        <v>8000000</v>
      </c>
    </row>
    <row r="293" spans="1:29" x14ac:dyDescent="0.3">
      <c r="A293">
        <v>2022</v>
      </c>
      <c r="B293">
        <v>100</v>
      </c>
      <c r="C293" t="str">
        <f>"09"</f>
        <v>09</v>
      </c>
      <c r="D293" t="s">
        <v>559</v>
      </c>
      <c r="E293" t="str">
        <f t="shared" si="35"/>
        <v>09 SECRETARIA DE PLANEACION</v>
      </c>
      <c r="F293" s="2">
        <v>2020130010320</v>
      </c>
      <c r="G293" s="2" t="str">
        <f>+VLOOKUP(F293,Hoja2!$F:$I,2,FALSE)</f>
        <v>09. PILAR CARTAGENA CONTINGENTE</v>
      </c>
      <c r="H293" s="2" t="str">
        <f>+VLOOKUP(F293,Hoja2!$F:$I,3,FALSE)</f>
        <v>9.4 LÍNEA ESTRATÉGICA: PLANEACIÓN E INTEGRACIÓN CONTINGENTE DEL TERRITORIO</v>
      </c>
      <c r="I293" s="2" t="str">
        <f>+VLOOKUP(F293,Hoja2!$F:$I,4,FALSE)</f>
        <v>9.4.2 PROGRAMA: NORMAS DE PROMOCIÓN DEL DESARROLLO URBANO Y ECONÓMICO</v>
      </c>
      <c r="J293" t="s">
        <v>574</v>
      </c>
      <c r="K293" t="str">
        <f>"001"</f>
        <v>001</v>
      </c>
      <c r="L293" t="s">
        <v>25</v>
      </c>
      <c r="M293" t="s">
        <v>26</v>
      </c>
      <c r="N293" t="s">
        <v>27</v>
      </c>
      <c r="O293" t="s">
        <v>575</v>
      </c>
      <c r="P293" t="str">
        <f t="shared" si="36"/>
        <v>2020130010320 IMPLEMENTACION REGLAMENTACION URBANISTICA PARA LA HABILITACION DE SUELO PARA DESARROLLO ECONOMICO Y URBANO EN EL DISTRITO TG+  CARTAGENA DE INDIAS</v>
      </c>
      <c r="Q293" t="str">
        <f t="shared" si="32"/>
        <v>06</v>
      </c>
      <c r="R293" t="str">
        <f t="shared" si="33"/>
        <v>00</v>
      </c>
      <c r="S293" s="1">
        <v>277200000.06999999</v>
      </c>
      <c r="T293" s="1">
        <v>0</v>
      </c>
      <c r="U293" s="1">
        <v>277200000.06999999</v>
      </c>
      <c r="V293" s="1">
        <v>272606666</v>
      </c>
      <c r="W293" s="1">
        <v>4593334.07</v>
      </c>
      <c r="X293" s="1">
        <v>272606666</v>
      </c>
      <c r="Y293" s="1">
        <v>98.34</v>
      </c>
      <c r="Z293" s="1">
        <v>272606666</v>
      </c>
      <c r="AA293" s="1">
        <v>98.34</v>
      </c>
      <c r="AB293" s="1">
        <v>4593334.07</v>
      </c>
      <c r="AC293" s="1">
        <v>269006666</v>
      </c>
    </row>
    <row r="294" spans="1:29" x14ac:dyDescent="0.3">
      <c r="A294">
        <v>2022</v>
      </c>
      <c r="B294">
        <v>100</v>
      </c>
      <c r="C294" t="str">
        <f>"08"</f>
        <v>08</v>
      </c>
      <c r="D294" t="s">
        <v>479</v>
      </c>
      <c r="E294" t="str">
        <f t="shared" si="35"/>
        <v>08 SECRETARIA DE PARTICIPACION Y DESARROLLO SOCIAL</v>
      </c>
      <c r="F294" s="2">
        <v>2020130010321</v>
      </c>
      <c r="G294" s="2" t="str">
        <f>+VLOOKUP(F294,Hoja2!$F:$I,2,FALSE)</f>
        <v>11. EJE TRANSVERSAL: CARTAGENA CON ATENCION Y GARANTIA DE DERECHOS A POBLACION DIFERENCIAL.</v>
      </c>
      <c r="H294" s="2" t="str">
        <f>+VLOOKUP(F294,Hoja2!$F:$I,3,FALSE)</f>
        <v>11.7 LÍNEA ESTRATÉGICA TRATO HUMANITARIO AL HABITANTE DE CALLE</v>
      </c>
      <c r="I294" s="2" t="str">
        <f>+VLOOKUP(F294,Hoja2!$F:$I,4,FALSE)</f>
        <v>11.7.2 FORMACIÓN PARA EL TRABAJO - GENERACIÓN DE INGRESOS Y RESPONSABILIDAD SOCIAL EMPRESARIAL</v>
      </c>
      <c r="J294" t="s">
        <v>548</v>
      </c>
      <c r="K294" t="str">
        <f>"001"</f>
        <v>001</v>
      </c>
      <c r="L294" t="s">
        <v>25</v>
      </c>
      <c r="M294" t="s">
        <v>26</v>
      </c>
      <c r="N294" t="s">
        <v>27</v>
      </c>
      <c r="O294" t="s">
        <v>549</v>
      </c>
      <c r="P294" t="str">
        <f t="shared" si="36"/>
        <v>2020130010321 APOYO A LA FORMACION PARA EL TRABAJO GENERACION DE INGRESOS Y RESPONSABILIDAD SOCIAL EMPRESARIAL A PERSONAS HABITANTES DE CALLE EN  CARTAGENA DE INDIAS</v>
      </c>
      <c r="Q294" t="str">
        <f t="shared" si="32"/>
        <v>06</v>
      </c>
      <c r="R294" t="str">
        <f t="shared" si="33"/>
        <v>00</v>
      </c>
      <c r="S294" s="1">
        <v>50000000</v>
      </c>
      <c r="T294" s="1">
        <v>0</v>
      </c>
      <c r="U294" s="1">
        <v>50000000</v>
      </c>
      <c r="V294" s="1">
        <v>49999996</v>
      </c>
      <c r="W294" s="1">
        <v>4</v>
      </c>
      <c r="X294" s="1">
        <v>49999996</v>
      </c>
      <c r="Y294" s="1">
        <v>100</v>
      </c>
      <c r="Z294" s="1">
        <v>0</v>
      </c>
      <c r="AA294" s="1">
        <v>0</v>
      </c>
      <c r="AB294" s="1">
        <v>4</v>
      </c>
      <c r="AC294" s="1">
        <v>0</v>
      </c>
    </row>
    <row r="295" spans="1:29" x14ac:dyDescent="0.3">
      <c r="A295">
        <v>2022</v>
      </c>
      <c r="B295">
        <v>100</v>
      </c>
      <c r="C295" t="str">
        <f t="shared" ref="C295:C301" si="38">"03"</f>
        <v>03</v>
      </c>
      <c r="D295" t="s">
        <v>164</v>
      </c>
      <c r="E295" t="str">
        <f t="shared" si="35"/>
        <v>03 SECRETARIA DE HACIENDA PUBLICA</v>
      </c>
      <c r="F295" s="2">
        <v>2020130010324</v>
      </c>
      <c r="G295" s="2" t="str">
        <f>+VLOOKUP(F295,Hoja2!$F:$I,2,FALSE)</f>
        <v>09. PILAR CARTAGENA CONTINGENTE</v>
      </c>
      <c r="H295" s="2" t="str">
        <f>+VLOOKUP(F295,Hoja2!$F:$I,3,FALSE)</f>
        <v>9.1 LÍNEA ESTRATÉGICA: DESARROLLO ECONÓMICO Y EMPLEABILIDAD</v>
      </c>
      <c r="I295" s="2" t="str">
        <f>+VLOOKUP(F295,Hoja2!$F:$I,4,FALSE)</f>
        <v>9.1.4 PROGRAMA: ENCADENAMIENTOS PRODUCTIVOS</v>
      </c>
      <c r="J295" t="s">
        <v>201</v>
      </c>
      <c r="K295" t="str">
        <f>"001"</f>
        <v>001</v>
      </c>
      <c r="L295" t="s">
        <v>25</v>
      </c>
      <c r="M295" t="s">
        <v>26</v>
      </c>
      <c r="N295" t="s">
        <v>27</v>
      </c>
      <c r="O295" t="s">
        <v>202</v>
      </c>
      <c r="P295" t="str">
        <f t="shared" si="36"/>
        <v>2020130010324 DESARROLLO DE ESTRATEGIAS PARA EL FORTALECIMIENTO DE LOS ENCADENAMIENTOS PRODUCTIVOS Y REDES DE PROVEEDURIA EN EL DISTRITO DE CARTAGENA DE INDIAS</v>
      </c>
      <c r="Q295" t="str">
        <f t="shared" si="32"/>
        <v>06</v>
      </c>
      <c r="R295" t="str">
        <f t="shared" si="33"/>
        <v>00</v>
      </c>
      <c r="S295" s="1">
        <v>476577126</v>
      </c>
      <c r="T295" s="1">
        <v>-200000000</v>
      </c>
      <c r="U295" s="1">
        <v>276577126</v>
      </c>
      <c r="V295" s="1">
        <v>46320000</v>
      </c>
      <c r="W295" s="1">
        <v>230257126</v>
      </c>
      <c r="X295" s="1">
        <v>34320000</v>
      </c>
      <c r="Y295" s="1">
        <v>12.41</v>
      </c>
      <c r="Z295" s="1">
        <v>34320000</v>
      </c>
      <c r="AA295" s="1">
        <v>12.41</v>
      </c>
      <c r="AB295" s="1">
        <v>242257126</v>
      </c>
      <c r="AC295" s="1">
        <v>34320000</v>
      </c>
    </row>
    <row r="296" spans="1:29" x14ac:dyDescent="0.3">
      <c r="A296">
        <v>2022</v>
      </c>
      <c r="B296">
        <v>100</v>
      </c>
      <c r="C296" t="str">
        <f t="shared" si="38"/>
        <v>03</v>
      </c>
      <c r="D296" t="s">
        <v>164</v>
      </c>
      <c r="E296" t="str">
        <f t="shared" si="35"/>
        <v>03 SECRETARIA DE HACIENDA PUBLICA</v>
      </c>
      <c r="F296" s="2">
        <v>2020130010325</v>
      </c>
      <c r="G296" s="2" t="str">
        <f>+VLOOKUP(F296,Hoja2!$F:$I,2,FALSE)</f>
        <v>09. PILAR CARTAGENA CONTINGENTE</v>
      </c>
      <c r="H296" s="2" t="str">
        <f>+VLOOKUP(F296,Hoja2!$F:$I,3,FALSE)</f>
        <v>9.1 LÍNEA ESTRATÉGICA: DESARROLLO ECONÓMICO Y EMPLEABILIDAD</v>
      </c>
      <c r="I296" s="2" t="str">
        <f>+VLOOKUP(F296,Hoja2!$F:$I,4,FALSE)</f>
        <v>9.1.7 PROGRAMA: CIERRE DE BRECHAS DE EMPLEABILIDAD</v>
      </c>
      <c r="J296" t="s">
        <v>168</v>
      </c>
      <c r="K296" t="str">
        <f>"813"</f>
        <v>813</v>
      </c>
      <c r="L296" t="s">
        <v>169</v>
      </c>
      <c r="M296" t="s">
        <v>26</v>
      </c>
      <c r="N296" t="s">
        <v>27</v>
      </c>
      <c r="O296" t="s">
        <v>170</v>
      </c>
      <c r="P296" t="str">
        <f t="shared" si="36"/>
        <v>2020130010325 CONSOLIDACION DEL CIERRE DE BRECHAS PARA LA EMPLEABILIDAD Y EMPLEOS INCLUSIVOS A LOS GRUPOS POBLACIONALES VULNERABLES EN EL DISTRITO DE   CARTAGENA DE INDIAS</v>
      </c>
      <c r="Q296" t="str">
        <f t="shared" si="32"/>
        <v>06</v>
      </c>
      <c r="R296" t="str">
        <f t="shared" si="33"/>
        <v>00</v>
      </c>
      <c r="S296" s="1">
        <v>0</v>
      </c>
      <c r="T296" s="1">
        <v>67499284.840000004</v>
      </c>
      <c r="U296" s="1">
        <v>67499284.840000004</v>
      </c>
      <c r="V296" s="1">
        <v>50000000</v>
      </c>
      <c r="W296" s="1">
        <v>17499284.84</v>
      </c>
      <c r="X296" s="1">
        <v>49525420</v>
      </c>
      <c r="Y296" s="1">
        <v>73.37</v>
      </c>
      <c r="Z296" s="1">
        <v>0</v>
      </c>
      <c r="AA296" s="1">
        <v>0</v>
      </c>
      <c r="AB296" s="1">
        <v>17973864.84</v>
      </c>
      <c r="AC296" s="1">
        <v>0</v>
      </c>
    </row>
    <row r="297" spans="1:29" x14ac:dyDescent="0.3">
      <c r="A297">
        <v>2022</v>
      </c>
      <c r="B297">
        <v>100</v>
      </c>
      <c r="C297" t="str">
        <f t="shared" si="38"/>
        <v>03</v>
      </c>
      <c r="D297" t="s">
        <v>164</v>
      </c>
      <c r="E297" t="str">
        <f t="shared" si="35"/>
        <v>03 SECRETARIA DE HACIENDA PUBLICA</v>
      </c>
      <c r="F297" s="2">
        <v>2020130010325</v>
      </c>
      <c r="G297" s="2" t="str">
        <f>+VLOOKUP(F297,Hoja2!$F:$I,2,FALSE)</f>
        <v>09. PILAR CARTAGENA CONTINGENTE</v>
      </c>
      <c r="H297" s="2" t="str">
        <f>+VLOOKUP(F297,Hoja2!$F:$I,3,FALSE)</f>
        <v>9.1 LÍNEA ESTRATÉGICA: DESARROLLO ECONÓMICO Y EMPLEABILIDAD</v>
      </c>
      <c r="I297" s="2" t="str">
        <f>+VLOOKUP(F297,Hoja2!$F:$I,4,FALSE)</f>
        <v>9.1.7 PROGRAMA: CIERRE DE BRECHAS DE EMPLEABILIDAD</v>
      </c>
      <c r="J297" t="s">
        <v>168</v>
      </c>
      <c r="K297" t="str">
        <f>"816"</f>
        <v>816</v>
      </c>
      <c r="L297" t="s">
        <v>116</v>
      </c>
      <c r="M297" t="s">
        <v>26</v>
      </c>
      <c r="N297" t="s">
        <v>27</v>
      </c>
      <c r="O297" t="s">
        <v>170</v>
      </c>
      <c r="P297" t="str">
        <f t="shared" si="36"/>
        <v>2020130010325 CONSOLIDACION DEL CIERRE DE BRECHAS PARA LA EMPLEABILIDAD Y EMPLEOS INCLUSIVOS A LOS GRUPOS POBLACIONALES VULNERABLES EN EL DISTRITO DE   CARTAGENA DE INDIAS</v>
      </c>
      <c r="Q297" t="str">
        <f t="shared" si="32"/>
        <v>06</v>
      </c>
      <c r="R297" t="str">
        <f t="shared" si="33"/>
        <v>00</v>
      </c>
      <c r="S297" s="1">
        <v>0</v>
      </c>
      <c r="T297" s="1">
        <v>32500715.16</v>
      </c>
      <c r="U297" s="1">
        <v>32500715.16</v>
      </c>
      <c r="V297" s="1">
        <v>0</v>
      </c>
      <c r="W297" s="1">
        <v>32500715.16</v>
      </c>
      <c r="X297" s="1">
        <v>0</v>
      </c>
      <c r="Y297" s="1">
        <v>0</v>
      </c>
      <c r="Z297" s="1">
        <v>0</v>
      </c>
      <c r="AA297" s="1">
        <v>0</v>
      </c>
      <c r="AB297" s="1">
        <v>32500715.16</v>
      </c>
      <c r="AC297" s="1">
        <v>0</v>
      </c>
    </row>
    <row r="298" spans="1:29" x14ac:dyDescent="0.3">
      <c r="A298">
        <v>2022</v>
      </c>
      <c r="B298">
        <v>100</v>
      </c>
      <c r="C298" t="str">
        <f t="shared" si="38"/>
        <v>03</v>
      </c>
      <c r="D298" t="s">
        <v>164</v>
      </c>
      <c r="E298" t="str">
        <f t="shared" si="35"/>
        <v>03 SECRETARIA DE HACIENDA PUBLICA</v>
      </c>
      <c r="F298" s="2">
        <v>2020130010325</v>
      </c>
      <c r="G298" s="2" t="str">
        <f>+VLOOKUP(F298,Hoja2!$F:$I,2,FALSE)</f>
        <v>09. PILAR CARTAGENA CONTINGENTE</v>
      </c>
      <c r="H298" s="2" t="str">
        <f>+VLOOKUP(F298,Hoja2!$F:$I,3,FALSE)</f>
        <v>9.1 LÍNEA ESTRATÉGICA: DESARROLLO ECONÓMICO Y EMPLEABILIDAD</v>
      </c>
      <c r="I298" s="2" t="str">
        <f>+VLOOKUP(F298,Hoja2!$F:$I,4,FALSE)</f>
        <v>9.1.7 PROGRAMA: CIERRE DE BRECHAS DE EMPLEABILIDAD</v>
      </c>
      <c r="J298" t="s">
        <v>168</v>
      </c>
      <c r="K298" t="str">
        <f>"001"</f>
        <v>001</v>
      </c>
      <c r="L298" t="s">
        <v>25</v>
      </c>
      <c r="M298" t="s">
        <v>26</v>
      </c>
      <c r="N298" t="s">
        <v>27</v>
      </c>
      <c r="O298" t="s">
        <v>170</v>
      </c>
      <c r="P298" t="str">
        <f t="shared" si="36"/>
        <v>2020130010325 CONSOLIDACION DEL CIERRE DE BRECHAS PARA LA EMPLEABILIDAD Y EMPLEOS INCLUSIVOS A LOS GRUPOS POBLACIONALES VULNERABLES EN EL DISTRITO DE   CARTAGENA DE INDIAS</v>
      </c>
      <c r="Q298" t="str">
        <f t="shared" si="32"/>
        <v>06</v>
      </c>
      <c r="R298" t="str">
        <f t="shared" si="33"/>
        <v>00</v>
      </c>
      <c r="S298" s="1">
        <v>902189567</v>
      </c>
      <c r="T298" s="1">
        <v>-300000000</v>
      </c>
      <c r="U298" s="1">
        <v>602189567</v>
      </c>
      <c r="V298" s="1">
        <v>142846400</v>
      </c>
      <c r="W298" s="1">
        <v>459343167</v>
      </c>
      <c r="X298" s="1">
        <v>92732400</v>
      </c>
      <c r="Y298" s="1">
        <v>15.4</v>
      </c>
      <c r="Z298" s="1">
        <v>92732400</v>
      </c>
      <c r="AA298" s="1">
        <v>15.4</v>
      </c>
      <c r="AB298" s="1">
        <v>509457167</v>
      </c>
      <c r="AC298" s="1">
        <v>92732400</v>
      </c>
    </row>
    <row r="299" spans="1:29" x14ac:dyDescent="0.3">
      <c r="A299">
        <v>2022</v>
      </c>
      <c r="B299">
        <v>100</v>
      </c>
      <c r="C299" t="str">
        <f t="shared" si="38"/>
        <v>03</v>
      </c>
      <c r="D299" t="s">
        <v>164</v>
      </c>
      <c r="E299" t="str">
        <f t="shared" si="35"/>
        <v>03 SECRETARIA DE HACIENDA PUBLICA</v>
      </c>
      <c r="F299" s="2">
        <v>2020130010326</v>
      </c>
      <c r="G299" s="2" t="str">
        <f>+VLOOKUP(F299,Hoja2!$F:$I,2,FALSE)</f>
        <v>09. PILAR CARTAGENA CONTINGENTE</v>
      </c>
      <c r="H299" s="2" t="str">
        <f>+VLOOKUP(F299,Hoja2!$F:$I,3,FALSE)</f>
        <v>9.2 LÍNEA ESTRATÉGICA: COMPETITIVIDAD E INNOVACIÓN</v>
      </c>
      <c r="I299" s="2" t="str">
        <f>+VLOOKUP(F299,Hoja2!$F:$I,4,FALSE)</f>
        <v>9.2.2 PROGRAMA: CARTAGENA DESTINO DE INVERSIÓN</v>
      </c>
      <c r="J299" t="s">
        <v>204</v>
      </c>
      <c r="K299" t="str">
        <f>"001"</f>
        <v>001</v>
      </c>
      <c r="L299" t="s">
        <v>25</v>
      </c>
      <c r="M299" t="s">
        <v>26</v>
      </c>
      <c r="N299" t="s">
        <v>27</v>
      </c>
      <c r="O299" t="s">
        <v>205</v>
      </c>
      <c r="P299" t="str">
        <f t="shared" si="36"/>
        <v>2020130010326 IMPLEMENTACION DE UNA ESTRATEGIA DE PROMOCION Y POSICIONAMIENTO PARA LA ATRACCION DE LOS DIVERSOS TIPOS DE INVERSION EN CARTAGENA DE INDIAS</v>
      </c>
      <c r="Q299" t="str">
        <f t="shared" si="32"/>
        <v>06</v>
      </c>
      <c r="R299" t="str">
        <f t="shared" si="33"/>
        <v>00</v>
      </c>
      <c r="S299" s="1">
        <v>501976358</v>
      </c>
      <c r="T299" s="1">
        <v>-200000000</v>
      </c>
      <c r="U299" s="1">
        <v>301976358</v>
      </c>
      <c r="V299" s="1">
        <v>301900000</v>
      </c>
      <c r="W299" s="1">
        <v>76358</v>
      </c>
      <c r="X299" s="1">
        <v>301900000</v>
      </c>
      <c r="Y299" s="1">
        <v>99.97</v>
      </c>
      <c r="Z299" s="1">
        <v>252720000</v>
      </c>
      <c r="AA299" s="1">
        <v>83.69</v>
      </c>
      <c r="AB299" s="1">
        <v>76358</v>
      </c>
      <c r="AC299" s="1">
        <v>252720000</v>
      </c>
    </row>
    <row r="300" spans="1:29" x14ac:dyDescent="0.3">
      <c r="A300">
        <v>2022</v>
      </c>
      <c r="B300">
        <v>100</v>
      </c>
      <c r="C300" t="str">
        <f t="shared" si="38"/>
        <v>03</v>
      </c>
      <c r="D300" t="s">
        <v>164</v>
      </c>
      <c r="E300" t="str">
        <f t="shared" si="35"/>
        <v>03 SECRETARIA DE HACIENDA PUBLICA</v>
      </c>
      <c r="F300" s="2">
        <v>2020130010327</v>
      </c>
      <c r="G300" s="2" t="str">
        <f>+VLOOKUP(F300,Hoja2!$F:$I,2,FALSE)</f>
        <v>09. PILAR CARTAGENA CONTINGENTE</v>
      </c>
      <c r="H300" s="2" t="str">
        <f>+VLOOKUP(F300,Hoja2!$F:$I,3,FALSE)</f>
        <v>9.1 LÍNEA ESTRATÉGICA: DESARROLLO ECONÓMICO Y EMPLEABILIDAD</v>
      </c>
      <c r="I300" s="2" t="str">
        <f>+VLOOKUP(F300,Hoja2!$F:$I,4,FALSE)</f>
        <v>9.1.6 PROGRAMA: ZONAS DE AGLOMERACIÓN PRODUCTIVA</v>
      </c>
      <c r="J300" t="s">
        <v>179</v>
      </c>
      <c r="K300" t="str">
        <f>"816"</f>
        <v>816</v>
      </c>
      <c r="L300" t="s">
        <v>116</v>
      </c>
      <c r="M300" t="s">
        <v>26</v>
      </c>
      <c r="N300" t="s">
        <v>27</v>
      </c>
      <c r="O300" t="s">
        <v>180</v>
      </c>
      <c r="P300" t="str">
        <f t="shared" si="36"/>
        <v>2020130010327 DESARROLLO DE ESTRATEGIAS PARA EL APROVECHAMIENTO DE LAS ECONOMIAS DE AGLOMERACION EN EL DISTRITO DE CARTAGENA DE INDIAS</v>
      </c>
      <c r="Q300" t="str">
        <f t="shared" si="32"/>
        <v>06</v>
      </c>
      <c r="R300" t="str">
        <f t="shared" si="33"/>
        <v>00</v>
      </c>
      <c r="S300" s="1">
        <v>0</v>
      </c>
      <c r="T300" s="1">
        <v>200000000</v>
      </c>
      <c r="U300" s="1">
        <v>200000000</v>
      </c>
      <c r="V300" s="1">
        <v>200000000</v>
      </c>
      <c r="W300" s="1">
        <v>0</v>
      </c>
      <c r="X300" s="1">
        <v>0</v>
      </c>
      <c r="Y300" s="1">
        <v>0</v>
      </c>
      <c r="Z300" s="1">
        <v>0</v>
      </c>
      <c r="AA300" s="1">
        <v>0</v>
      </c>
      <c r="AB300" s="1">
        <v>200000000</v>
      </c>
      <c r="AC300" s="1">
        <v>0</v>
      </c>
    </row>
    <row r="301" spans="1:29" x14ac:dyDescent="0.3">
      <c r="A301">
        <v>2022</v>
      </c>
      <c r="B301">
        <v>100</v>
      </c>
      <c r="C301" t="str">
        <f t="shared" si="38"/>
        <v>03</v>
      </c>
      <c r="D301" t="s">
        <v>164</v>
      </c>
      <c r="E301" t="str">
        <f t="shared" si="35"/>
        <v>03 SECRETARIA DE HACIENDA PUBLICA</v>
      </c>
      <c r="F301" s="2">
        <v>2020130010327</v>
      </c>
      <c r="G301" s="2" t="str">
        <f>+VLOOKUP(F301,Hoja2!$F:$I,2,FALSE)</f>
        <v>09. PILAR CARTAGENA CONTINGENTE</v>
      </c>
      <c r="H301" s="2" t="str">
        <f>+VLOOKUP(F301,Hoja2!$F:$I,3,FALSE)</f>
        <v>9.1 LÍNEA ESTRATÉGICA: DESARROLLO ECONÓMICO Y EMPLEABILIDAD</v>
      </c>
      <c r="I301" s="2" t="str">
        <f>+VLOOKUP(F301,Hoja2!$F:$I,4,FALSE)</f>
        <v>9.1.6 PROGRAMA: ZONAS DE AGLOMERACIÓN PRODUCTIVA</v>
      </c>
      <c r="J301" t="s">
        <v>179</v>
      </c>
      <c r="K301" t="str">
        <f>"001"</f>
        <v>001</v>
      </c>
      <c r="L301" t="s">
        <v>25</v>
      </c>
      <c r="M301" t="s">
        <v>26</v>
      </c>
      <c r="N301" t="s">
        <v>27</v>
      </c>
      <c r="O301" t="s">
        <v>180</v>
      </c>
      <c r="P301" t="str">
        <f t="shared" si="36"/>
        <v>2020130010327 DESARROLLO DE ESTRATEGIAS PARA EL APROVECHAMIENTO DE LAS ECONOMIAS DE AGLOMERACION EN EL DISTRITO DE CARTAGENA DE INDIAS</v>
      </c>
      <c r="Q301" t="str">
        <f t="shared" si="32"/>
        <v>06</v>
      </c>
      <c r="R301" t="str">
        <f t="shared" si="33"/>
        <v>00</v>
      </c>
      <c r="S301" s="1">
        <v>402189566</v>
      </c>
      <c r="T301" s="1">
        <v>-200000000</v>
      </c>
      <c r="U301" s="1">
        <v>202189566</v>
      </c>
      <c r="V301" s="1">
        <v>41808000</v>
      </c>
      <c r="W301" s="1">
        <v>160381566</v>
      </c>
      <c r="X301" s="1">
        <v>41808000</v>
      </c>
      <c r="Y301" s="1">
        <v>20.68</v>
      </c>
      <c r="Z301" s="1">
        <v>41808000</v>
      </c>
      <c r="AA301" s="1">
        <v>20.68</v>
      </c>
      <c r="AB301" s="1">
        <v>160381566</v>
      </c>
      <c r="AC301" s="1">
        <v>41808000</v>
      </c>
    </row>
    <row r="302" spans="1:29" x14ac:dyDescent="0.3">
      <c r="A302">
        <v>2022</v>
      </c>
      <c r="B302">
        <v>100</v>
      </c>
      <c r="C302" t="str">
        <f t="shared" ref="C302:C307" si="39">"12"</f>
        <v>12</v>
      </c>
      <c r="D302" t="s">
        <v>736</v>
      </c>
      <c r="E302" t="str">
        <f t="shared" si="35"/>
        <v>12 DEPARTAMENTO ADMINISTRATIVO DE TRANSITO Y TRANSPORTE</v>
      </c>
      <c r="F302" s="2">
        <v>2020130010329</v>
      </c>
      <c r="G302" s="2" t="str">
        <f>+VLOOKUP(F302,Hoja2!$F:$I,2,FALSE)</f>
        <v>07. PILAR CARTAGENA RESILIENTE</v>
      </c>
      <c r="H302" s="2" t="str">
        <f>+VLOOKUP(F302,Hoja2!$F:$I,3,FALSE)</f>
        <v>7.2 LÍNEA ESTRATÉGICA ESPACIO PÚBLICO, MOVILIDAD Y TRANSPORTE RESILIENTE</v>
      </c>
      <c r="I302" s="2" t="str">
        <f>+VLOOKUP(F302,Hoja2!$F:$I,4,FALSE)</f>
        <v>7.2.8 MOVILIDAD SOSTENIBLE EN EL DISTRITO DE CARTAGENA</v>
      </c>
      <c r="J302" t="s">
        <v>737</v>
      </c>
      <c r="K302" t="str">
        <f>"844"</f>
        <v>844</v>
      </c>
      <c r="L302" t="s">
        <v>738</v>
      </c>
      <c r="M302" t="s">
        <v>26</v>
      </c>
      <c r="N302" t="s">
        <v>27</v>
      </c>
      <c r="O302" t="s">
        <v>739</v>
      </c>
      <c r="P302" t="str">
        <f t="shared" si="36"/>
        <v>2020130010329 SUSTITUCION DE VEHICULOS DE TRACCION ANIMAL DEDICADOS AL TRANSPORTE DE CARGA LIVIANA EXISTENTES EN EL DISTRITO DE   CARTAGENA DE INDIAS</v>
      </c>
      <c r="Q302" t="str">
        <f t="shared" si="32"/>
        <v>06</v>
      </c>
      <c r="R302" t="str">
        <f t="shared" si="33"/>
        <v>00</v>
      </c>
      <c r="S302" s="1">
        <v>0</v>
      </c>
      <c r="T302" s="1">
        <v>1802416866.3399999</v>
      </c>
      <c r="U302" s="1">
        <v>1802416866.3399999</v>
      </c>
      <c r="V302" s="1">
        <v>1802416866.3399999</v>
      </c>
      <c r="W302" s="1">
        <v>0</v>
      </c>
      <c r="X302" s="1">
        <v>1802416866.3399999</v>
      </c>
      <c r="Y302" s="1">
        <v>100</v>
      </c>
      <c r="Z302" s="1">
        <v>0</v>
      </c>
      <c r="AA302" s="1">
        <v>0</v>
      </c>
      <c r="AB302" s="1">
        <v>0</v>
      </c>
      <c r="AC302" s="1">
        <v>0</v>
      </c>
    </row>
    <row r="303" spans="1:29" x14ac:dyDescent="0.3">
      <c r="A303">
        <v>2022</v>
      </c>
      <c r="B303">
        <v>100</v>
      </c>
      <c r="C303" t="str">
        <f t="shared" si="39"/>
        <v>12</v>
      </c>
      <c r="D303" t="s">
        <v>736</v>
      </c>
      <c r="E303" t="str">
        <f t="shared" si="35"/>
        <v>12 DEPARTAMENTO ADMINISTRATIVO DE TRANSITO Y TRANSPORTE</v>
      </c>
      <c r="F303" s="2">
        <v>2020130010329</v>
      </c>
      <c r="G303" s="2" t="str">
        <f>+VLOOKUP(F303,Hoja2!$F:$I,2,FALSE)</f>
        <v>07. PILAR CARTAGENA RESILIENTE</v>
      </c>
      <c r="H303" s="2" t="str">
        <f>+VLOOKUP(F303,Hoja2!$F:$I,3,FALSE)</f>
        <v>7.2 LÍNEA ESTRATÉGICA ESPACIO PÚBLICO, MOVILIDAD Y TRANSPORTE RESILIENTE</v>
      </c>
      <c r="I303" s="2" t="str">
        <f>+VLOOKUP(F303,Hoja2!$F:$I,4,FALSE)</f>
        <v>7.2.8 MOVILIDAD SOSTENIBLE EN EL DISTRITO DE CARTAGENA</v>
      </c>
      <c r="J303" t="s">
        <v>737</v>
      </c>
      <c r="K303" t="str">
        <f>"846"</f>
        <v>846</v>
      </c>
      <c r="L303" t="s">
        <v>743</v>
      </c>
      <c r="M303" t="s">
        <v>26</v>
      </c>
      <c r="N303" t="s">
        <v>27</v>
      </c>
      <c r="O303" t="s">
        <v>739</v>
      </c>
      <c r="P303" t="str">
        <f t="shared" si="36"/>
        <v>2020130010329 SUSTITUCION DE VEHICULOS DE TRACCION ANIMAL DEDICADOS AL TRANSPORTE DE CARGA LIVIANA EXISTENTES EN EL DISTRITO DE   CARTAGENA DE INDIAS</v>
      </c>
      <c r="Q303" t="str">
        <f t="shared" si="32"/>
        <v>06</v>
      </c>
      <c r="R303" t="str">
        <f t="shared" si="33"/>
        <v>00</v>
      </c>
      <c r="S303" s="1">
        <v>0</v>
      </c>
      <c r="T303" s="1">
        <v>560475785</v>
      </c>
      <c r="U303" s="1">
        <v>560475785</v>
      </c>
      <c r="V303" s="1">
        <v>560475785</v>
      </c>
      <c r="W303" s="1">
        <v>0</v>
      </c>
      <c r="X303" s="1">
        <v>560475785</v>
      </c>
      <c r="Y303" s="1">
        <v>100</v>
      </c>
      <c r="Z303" s="1">
        <v>0</v>
      </c>
      <c r="AA303" s="1">
        <v>0</v>
      </c>
      <c r="AB303" s="1">
        <v>0</v>
      </c>
      <c r="AC303" s="1">
        <v>0</v>
      </c>
    </row>
    <row r="304" spans="1:29" x14ac:dyDescent="0.3">
      <c r="A304">
        <v>2022</v>
      </c>
      <c r="B304">
        <v>100</v>
      </c>
      <c r="C304" t="str">
        <f t="shared" si="39"/>
        <v>12</v>
      </c>
      <c r="D304" t="s">
        <v>736</v>
      </c>
      <c r="E304" t="str">
        <f t="shared" si="35"/>
        <v>12 DEPARTAMENTO ADMINISTRATIVO DE TRANSITO Y TRANSPORTE</v>
      </c>
      <c r="F304" s="2">
        <v>2020130010329</v>
      </c>
      <c r="G304" s="2" t="str">
        <f>+VLOOKUP(F304,Hoja2!$F:$I,2,FALSE)</f>
        <v>07. PILAR CARTAGENA RESILIENTE</v>
      </c>
      <c r="H304" s="2" t="str">
        <f>+VLOOKUP(F304,Hoja2!$F:$I,3,FALSE)</f>
        <v>7.2 LÍNEA ESTRATÉGICA ESPACIO PÚBLICO, MOVILIDAD Y TRANSPORTE RESILIENTE</v>
      </c>
      <c r="I304" s="2" t="str">
        <f>+VLOOKUP(F304,Hoja2!$F:$I,4,FALSE)</f>
        <v>7.2.8 MOVILIDAD SOSTENIBLE EN EL DISTRITO DE CARTAGENA</v>
      </c>
      <c r="J304" t="s">
        <v>737</v>
      </c>
      <c r="K304" t="str">
        <f>"847"</f>
        <v>847</v>
      </c>
      <c r="L304" t="s">
        <v>758</v>
      </c>
      <c r="M304" t="s">
        <v>26</v>
      </c>
      <c r="N304" t="s">
        <v>27</v>
      </c>
      <c r="O304" t="s">
        <v>739</v>
      </c>
      <c r="P304" t="str">
        <f t="shared" si="36"/>
        <v>2020130010329 SUSTITUCION DE VEHICULOS DE TRACCION ANIMAL DEDICADOS AL TRANSPORTE DE CARGA LIVIANA EXISTENTES EN EL DISTRITO DE   CARTAGENA DE INDIAS</v>
      </c>
      <c r="Q304" t="str">
        <f t="shared" si="32"/>
        <v>06</v>
      </c>
      <c r="R304" t="str">
        <f t="shared" si="33"/>
        <v>00</v>
      </c>
      <c r="S304" s="1">
        <v>0</v>
      </c>
      <c r="T304" s="1">
        <v>14259286</v>
      </c>
      <c r="U304" s="1">
        <v>14259286</v>
      </c>
      <c r="V304" s="1">
        <v>14259286</v>
      </c>
      <c r="W304" s="1">
        <v>0</v>
      </c>
      <c r="X304" s="1">
        <v>14259286</v>
      </c>
      <c r="Y304" s="1">
        <v>100</v>
      </c>
      <c r="Z304" s="1">
        <v>0</v>
      </c>
      <c r="AA304" s="1">
        <v>0</v>
      </c>
      <c r="AB304" s="1">
        <v>0</v>
      </c>
      <c r="AC304" s="1">
        <v>0</v>
      </c>
    </row>
    <row r="305" spans="1:29" x14ac:dyDescent="0.3">
      <c r="A305">
        <v>2022</v>
      </c>
      <c r="B305">
        <v>100</v>
      </c>
      <c r="C305" t="str">
        <f t="shared" si="39"/>
        <v>12</v>
      </c>
      <c r="D305" t="s">
        <v>736</v>
      </c>
      <c r="E305" t="str">
        <f t="shared" si="35"/>
        <v>12 DEPARTAMENTO ADMINISTRATIVO DE TRANSITO Y TRANSPORTE</v>
      </c>
      <c r="F305" s="2">
        <v>2020130010329</v>
      </c>
      <c r="G305" s="2" t="str">
        <f>+VLOOKUP(F305,Hoja2!$F:$I,2,FALSE)</f>
        <v>07. PILAR CARTAGENA RESILIENTE</v>
      </c>
      <c r="H305" s="2" t="str">
        <f>+VLOOKUP(F305,Hoja2!$F:$I,3,FALSE)</f>
        <v>7.2 LÍNEA ESTRATÉGICA ESPACIO PÚBLICO, MOVILIDAD Y TRANSPORTE RESILIENTE</v>
      </c>
      <c r="I305" s="2" t="str">
        <f>+VLOOKUP(F305,Hoja2!$F:$I,4,FALSE)</f>
        <v>7.2.8 MOVILIDAD SOSTENIBLE EN EL DISTRITO DE CARTAGENA</v>
      </c>
      <c r="J305" t="s">
        <v>737</v>
      </c>
      <c r="K305" t="str">
        <f>"862"</f>
        <v>862</v>
      </c>
      <c r="L305" t="s">
        <v>759</v>
      </c>
      <c r="M305" t="s">
        <v>26</v>
      </c>
      <c r="N305" t="s">
        <v>27</v>
      </c>
      <c r="O305" t="s">
        <v>739</v>
      </c>
      <c r="P305" t="str">
        <f t="shared" si="36"/>
        <v>2020130010329 SUSTITUCION DE VEHICULOS DE TRACCION ANIMAL DEDICADOS AL TRANSPORTE DE CARGA LIVIANA EXISTENTES EN EL DISTRITO DE   CARTAGENA DE INDIAS</v>
      </c>
      <c r="Q305" t="str">
        <f t="shared" si="32"/>
        <v>06</v>
      </c>
      <c r="R305" t="str">
        <f t="shared" si="33"/>
        <v>00</v>
      </c>
      <c r="S305" s="1">
        <v>0</v>
      </c>
      <c r="T305" s="1">
        <v>1715653062</v>
      </c>
      <c r="U305" s="1">
        <v>1715653062</v>
      </c>
      <c r="V305" s="1">
        <v>1715653062</v>
      </c>
      <c r="W305" s="1">
        <v>0</v>
      </c>
      <c r="X305" s="1">
        <v>1715653062</v>
      </c>
      <c r="Y305" s="1">
        <v>100</v>
      </c>
      <c r="Z305" s="1">
        <v>0</v>
      </c>
      <c r="AA305" s="1">
        <v>0</v>
      </c>
      <c r="AB305" s="1">
        <v>0</v>
      </c>
      <c r="AC305" s="1">
        <v>0</v>
      </c>
    </row>
    <row r="306" spans="1:29" x14ac:dyDescent="0.3">
      <c r="A306">
        <v>2022</v>
      </c>
      <c r="B306">
        <v>100</v>
      </c>
      <c r="C306" t="str">
        <f t="shared" si="39"/>
        <v>12</v>
      </c>
      <c r="D306" t="s">
        <v>736</v>
      </c>
      <c r="E306" t="str">
        <f t="shared" si="35"/>
        <v>12 DEPARTAMENTO ADMINISTRATIVO DE TRANSITO Y TRANSPORTE</v>
      </c>
      <c r="F306" s="2">
        <v>2020130010329</v>
      </c>
      <c r="G306" s="2" t="str">
        <f>+VLOOKUP(F306,Hoja2!$F:$I,2,FALSE)</f>
        <v>07. PILAR CARTAGENA RESILIENTE</v>
      </c>
      <c r="H306" s="2" t="str">
        <f>+VLOOKUP(F306,Hoja2!$F:$I,3,FALSE)</f>
        <v>7.2 LÍNEA ESTRATÉGICA ESPACIO PÚBLICO, MOVILIDAD Y TRANSPORTE RESILIENTE</v>
      </c>
      <c r="I306" s="2" t="str">
        <f>+VLOOKUP(F306,Hoja2!$F:$I,4,FALSE)</f>
        <v>7.2.8 MOVILIDAD SOSTENIBLE EN EL DISTRITO DE CARTAGENA</v>
      </c>
      <c r="J306" t="s">
        <v>737</v>
      </c>
      <c r="K306" t="str">
        <f>"168"</f>
        <v>168</v>
      </c>
      <c r="L306" t="s">
        <v>764</v>
      </c>
      <c r="M306" t="s">
        <v>26</v>
      </c>
      <c r="N306" t="s">
        <v>27</v>
      </c>
      <c r="O306" t="s">
        <v>739</v>
      </c>
      <c r="P306" t="str">
        <f t="shared" si="36"/>
        <v>2020130010329 SUSTITUCION DE VEHICULOS DE TRACCION ANIMAL DEDICADOS AL TRANSPORTE DE CARGA LIVIANA EXISTENTES EN EL DISTRITO DE   CARTAGENA DE INDIAS</v>
      </c>
      <c r="Q306" t="str">
        <f t="shared" si="32"/>
        <v>06</v>
      </c>
      <c r="R306" t="str">
        <f t="shared" si="33"/>
        <v>00</v>
      </c>
      <c r="S306" s="1">
        <v>577290058.50999999</v>
      </c>
      <c r="T306" s="1">
        <v>0</v>
      </c>
      <c r="U306" s="1">
        <v>577290058.50999999</v>
      </c>
      <c r="V306" s="1">
        <v>577290058.50999999</v>
      </c>
      <c r="W306" s="1">
        <v>0</v>
      </c>
      <c r="X306" s="1">
        <v>577290058.50999999</v>
      </c>
      <c r="Y306" s="1">
        <v>100</v>
      </c>
      <c r="Z306" s="1">
        <v>0</v>
      </c>
      <c r="AA306" s="1">
        <v>0</v>
      </c>
      <c r="AB306" s="1">
        <v>0</v>
      </c>
      <c r="AC306" s="1">
        <v>0</v>
      </c>
    </row>
    <row r="307" spans="1:29" x14ac:dyDescent="0.3">
      <c r="A307">
        <v>2022</v>
      </c>
      <c r="B307">
        <v>100</v>
      </c>
      <c r="C307" t="str">
        <f t="shared" si="39"/>
        <v>12</v>
      </c>
      <c r="D307" t="s">
        <v>736</v>
      </c>
      <c r="E307" t="str">
        <f t="shared" si="35"/>
        <v>12 DEPARTAMENTO ADMINISTRATIVO DE TRANSITO Y TRANSPORTE</v>
      </c>
      <c r="F307" s="2">
        <v>2020130010329</v>
      </c>
      <c r="G307" s="2" t="str">
        <f>+VLOOKUP(F307,Hoja2!$F:$I,2,FALSE)</f>
        <v>07. PILAR CARTAGENA RESILIENTE</v>
      </c>
      <c r="H307" s="2" t="str">
        <f>+VLOOKUP(F307,Hoja2!$F:$I,3,FALSE)</f>
        <v>7.2 LÍNEA ESTRATÉGICA ESPACIO PÚBLICO, MOVILIDAD Y TRANSPORTE RESILIENTE</v>
      </c>
      <c r="I307" s="2" t="str">
        <f>+VLOOKUP(F307,Hoja2!$F:$I,4,FALSE)</f>
        <v>7.2.8 MOVILIDAD SOSTENIBLE EN EL DISTRITO DE CARTAGENA</v>
      </c>
      <c r="J307" t="s">
        <v>737</v>
      </c>
      <c r="K307" t="str">
        <f>"845"</f>
        <v>845</v>
      </c>
      <c r="L307" t="s">
        <v>766</v>
      </c>
      <c r="M307" t="s">
        <v>26</v>
      </c>
      <c r="N307" t="s">
        <v>27</v>
      </c>
      <c r="O307" t="s">
        <v>739</v>
      </c>
      <c r="P307" t="str">
        <f t="shared" si="36"/>
        <v>2020130010329 SUSTITUCION DE VEHICULOS DE TRACCION ANIMAL DEDICADOS AL TRANSPORTE DE CARGA LIVIANA EXISTENTES EN EL DISTRITO DE   CARTAGENA DE INDIAS</v>
      </c>
      <c r="Q307" t="str">
        <f t="shared" si="32"/>
        <v>06</v>
      </c>
      <c r="R307" t="str">
        <f t="shared" si="33"/>
        <v>00</v>
      </c>
      <c r="S307" s="1">
        <v>0</v>
      </c>
      <c r="T307" s="1">
        <v>2760056.36</v>
      </c>
      <c r="U307" s="1">
        <v>2760056.36</v>
      </c>
      <c r="V307" s="1">
        <v>1904942.15</v>
      </c>
      <c r="W307" s="1">
        <v>855114.21</v>
      </c>
      <c r="X307" s="1">
        <v>1904942.15</v>
      </c>
      <c r="Y307" s="1">
        <v>69.02</v>
      </c>
      <c r="Z307" s="1">
        <v>0</v>
      </c>
      <c r="AA307" s="1">
        <v>0</v>
      </c>
      <c r="AB307" s="1">
        <v>855114.21</v>
      </c>
      <c r="AC307" s="1">
        <v>0</v>
      </c>
    </row>
    <row r="308" spans="1:29" x14ac:dyDescent="0.3">
      <c r="A308">
        <v>2022</v>
      </c>
      <c r="B308">
        <v>100</v>
      </c>
      <c r="C308" t="str">
        <f>"03"</f>
        <v>03</v>
      </c>
      <c r="D308" t="s">
        <v>164</v>
      </c>
      <c r="E308" t="str">
        <f t="shared" si="35"/>
        <v>03 SECRETARIA DE HACIENDA PUBLICA</v>
      </c>
      <c r="F308" s="2">
        <v>2020130010331</v>
      </c>
      <c r="G308" s="2" t="str">
        <f>+VLOOKUP(F308,Hoja2!$F:$I,2,FALSE)</f>
        <v>09. PILAR CARTAGENA CONTINGENTE</v>
      </c>
      <c r="H308" s="2" t="str">
        <f>+VLOOKUP(F308,Hoja2!$F:$I,3,FALSE)</f>
        <v>9.1 LÍNEA ESTRATÉGICA: DESARROLLO ECONÓMICO Y EMPLEABILIDAD</v>
      </c>
      <c r="I308" s="2" t="str">
        <f>+VLOOKUP(F308,Hoja2!$F:$I,4,FALSE)</f>
        <v>9.1.8 PROGRAMA: CIERRE DE BRECHAS DE CAPITAL HUMANO</v>
      </c>
      <c r="J308" t="s">
        <v>171</v>
      </c>
      <c r="K308" t="str">
        <f>"813"</f>
        <v>813</v>
      </c>
      <c r="L308" t="s">
        <v>169</v>
      </c>
      <c r="M308" t="s">
        <v>26</v>
      </c>
      <c r="N308" t="s">
        <v>27</v>
      </c>
      <c r="O308" t="s">
        <v>172</v>
      </c>
      <c r="P308" t="str">
        <f t="shared" si="36"/>
        <v>2020130010331 HABILITACION DE LAS ACCIONES PARA IDENTIFICAR Y CERRAR LAS BRECHAS DE CAPITAL HUMANO DE FORMA PERTINENTE SUFICIENTE Y DE CALIDAD EN EL DISTRITO DE   CARTAGENA DE INDIAS</v>
      </c>
      <c r="Q308" t="str">
        <f t="shared" si="32"/>
        <v>06</v>
      </c>
      <c r="R308" t="str">
        <f t="shared" si="33"/>
        <v>00</v>
      </c>
      <c r="S308" s="1">
        <v>0</v>
      </c>
      <c r="T308" s="1">
        <v>200000000</v>
      </c>
      <c r="U308" s="1">
        <v>200000000</v>
      </c>
      <c r="V308" s="1">
        <v>156860000</v>
      </c>
      <c r="W308" s="1">
        <v>43140000</v>
      </c>
      <c r="X308" s="1">
        <v>0</v>
      </c>
      <c r="Y308" s="1">
        <v>0</v>
      </c>
      <c r="Z308" s="1">
        <v>0</v>
      </c>
      <c r="AA308" s="1">
        <v>0</v>
      </c>
      <c r="AB308" s="1">
        <v>200000000</v>
      </c>
      <c r="AC308" s="1">
        <v>0</v>
      </c>
    </row>
    <row r="309" spans="1:29" x14ac:dyDescent="0.3">
      <c r="A309">
        <v>2022</v>
      </c>
      <c r="B309">
        <v>100</v>
      </c>
      <c r="C309" t="str">
        <f>"03"</f>
        <v>03</v>
      </c>
      <c r="D309" t="s">
        <v>164</v>
      </c>
      <c r="E309" t="str">
        <f t="shared" si="35"/>
        <v>03 SECRETARIA DE HACIENDA PUBLICA</v>
      </c>
      <c r="F309" s="2">
        <v>2020130010331</v>
      </c>
      <c r="G309" s="2" t="str">
        <f>+VLOOKUP(F309,Hoja2!$F:$I,2,FALSE)</f>
        <v>09. PILAR CARTAGENA CONTINGENTE</v>
      </c>
      <c r="H309" s="2" t="str">
        <f>+VLOOKUP(F309,Hoja2!$F:$I,3,FALSE)</f>
        <v>9.1 LÍNEA ESTRATÉGICA: DESARROLLO ECONÓMICO Y EMPLEABILIDAD</v>
      </c>
      <c r="I309" s="2" t="str">
        <f>+VLOOKUP(F309,Hoja2!$F:$I,4,FALSE)</f>
        <v>9.1.8 PROGRAMA: CIERRE DE BRECHAS DE CAPITAL HUMANO</v>
      </c>
      <c r="J309" t="s">
        <v>171</v>
      </c>
      <c r="K309" t="str">
        <f>"001"</f>
        <v>001</v>
      </c>
      <c r="L309" t="s">
        <v>25</v>
      </c>
      <c r="M309" t="s">
        <v>26</v>
      </c>
      <c r="N309" t="s">
        <v>27</v>
      </c>
      <c r="O309" t="s">
        <v>172</v>
      </c>
      <c r="P309" t="str">
        <f t="shared" si="36"/>
        <v>2020130010331 HABILITACION DE LAS ACCIONES PARA IDENTIFICAR Y CERRAR LAS BRECHAS DE CAPITAL HUMANO DE FORMA PERTINENTE SUFICIENTE Y DE CALIDAD EN EL DISTRITO DE   CARTAGENA DE INDIAS</v>
      </c>
      <c r="Q309" t="str">
        <f t="shared" si="32"/>
        <v>06</v>
      </c>
      <c r="R309" t="str">
        <f t="shared" si="33"/>
        <v>00</v>
      </c>
      <c r="S309" s="1">
        <v>902189567</v>
      </c>
      <c r="T309" s="1">
        <v>-700000000</v>
      </c>
      <c r="U309" s="1">
        <v>202189567</v>
      </c>
      <c r="V309" s="1">
        <v>151725867</v>
      </c>
      <c r="W309" s="1">
        <v>50463700</v>
      </c>
      <c r="X309" s="1">
        <v>112925866</v>
      </c>
      <c r="Y309" s="1">
        <v>55.85</v>
      </c>
      <c r="Z309" s="1">
        <v>112925866</v>
      </c>
      <c r="AA309" s="1">
        <v>55.85</v>
      </c>
      <c r="AB309" s="1">
        <v>89263701</v>
      </c>
      <c r="AC309" s="1">
        <v>56225866</v>
      </c>
    </row>
    <row r="310" spans="1:29" x14ac:dyDescent="0.3">
      <c r="A310">
        <v>2022</v>
      </c>
      <c r="B310">
        <v>100</v>
      </c>
      <c r="C310" t="str">
        <f t="shared" ref="C310:C315" si="40">"09"</f>
        <v>09</v>
      </c>
      <c r="D310" t="s">
        <v>559</v>
      </c>
      <c r="E310" t="str">
        <f t="shared" si="35"/>
        <v>09 SECRETARIA DE PLANEACION</v>
      </c>
      <c r="F310" s="2">
        <v>2020130010332</v>
      </c>
      <c r="G310" s="2" t="str">
        <f>+VLOOKUP(F310,Hoja2!$F:$I,2,FALSE)</f>
        <v>10. PILAR: CARTAGENA TRANSPARENTE</v>
      </c>
      <c r="H310" s="2" t="str">
        <f>+VLOOKUP(F310,Hoja2!$F:$I,3,FALSE)</f>
        <v>10.7 LÍNEA ESTRATÉGICA: PARTICIPACIÓN Y DESCENTRALIZACIÓN</v>
      </c>
      <c r="I310" s="2" t="str">
        <f>+VLOOKUP(F310,Hoja2!$F:$I,4,FALSE)</f>
        <v xml:space="preserve">10.7.2 PROGRAMA: MODERNIZACIÓN DEL SISTEMA DISTRITAL DE PLANEACIÓN Y DESCENTRALIZACIÓN  </v>
      </c>
      <c r="J310" t="s">
        <v>578</v>
      </c>
      <c r="K310" t="str">
        <f>"813"</f>
        <v>813</v>
      </c>
      <c r="L310" t="s">
        <v>169</v>
      </c>
      <c r="M310" t="s">
        <v>26</v>
      </c>
      <c r="N310" t="s">
        <v>27</v>
      </c>
      <c r="O310" t="s">
        <v>579</v>
      </c>
      <c r="P310" t="str">
        <f t="shared" si="36"/>
        <v>2020130010332 FORTALECIMIENTO DEL CONSEJO TERRITORIAL DE PLANEACION DEL DISTRITO DE CARTAGANEA DE INDIAS - TG+   CARTAGENA DE INDIAS</v>
      </c>
      <c r="Q310" t="str">
        <f t="shared" si="32"/>
        <v>06</v>
      </c>
      <c r="R310" t="str">
        <f t="shared" si="33"/>
        <v>00</v>
      </c>
      <c r="S310" s="1">
        <v>0</v>
      </c>
      <c r="T310" s="1">
        <v>200000000</v>
      </c>
      <c r="U310" s="1">
        <v>200000000</v>
      </c>
      <c r="V310" s="1">
        <v>31779333</v>
      </c>
      <c r="W310" s="1">
        <v>168220667</v>
      </c>
      <c r="X310" s="1">
        <v>21318000</v>
      </c>
      <c r="Y310" s="1">
        <v>10.66</v>
      </c>
      <c r="Z310" s="1">
        <v>0</v>
      </c>
      <c r="AA310" s="1">
        <v>0</v>
      </c>
      <c r="AB310" s="1">
        <v>178682000</v>
      </c>
      <c r="AC310" s="1">
        <v>0</v>
      </c>
    </row>
    <row r="311" spans="1:29" x14ac:dyDescent="0.3">
      <c r="A311">
        <v>2022</v>
      </c>
      <c r="B311">
        <v>100</v>
      </c>
      <c r="C311" t="str">
        <f t="shared" si="40"/>
        <v>09</v>
      </c>
      <c r="D311" t="s">
        <v>559</v>
      </c>
      <c r="E311" t="str">
        <f t="shared" si="35"/>
        <v>09 SECRETARIA DE PLANEACION</v>
      </c>
      <c r="F311" s="2">
        <v>2020130010332</v>
      </c>
      <c r="G311" s="2" t="str">
        <f>+VLOOKUP(F311,Hoja2!$F:$I,2,FALSE)</f>
        <v>10. PILAR: CARTAGENA TRANSPARENTE</v>
      </c>
      <c r="H311" s="2" t="str">
        <f>+VLOOKUP(F311,Hoja2!$F:$I,3,FALSE)</f>
        <v>10.7 LÍNEA ESTRATÉGICA: PARTICIPACIÓN Y DESCENTRALIZACIÓN</v>
      </c>
      <c r="I311" s="2" t="str">
        <f>+VLOOKUP(F311,Hoja2!$F:$I,4,FALSE)</f>
        <v xml:space="preserve">10.7.2 PROGRAMA: MODERNIZACIÓN DEL SISTEMA DISTRITAL DE PLANEACIÓN Y DESCENTRALIZACIÓN  </v>
      </c>
      <c r="J311" t="s">
        <v>578</v>
      </c>
      <c r="K311" t="str">
        <f>"001"</f>
        <v>001</v>
      </c>
      <c r="L311" t="s">
        <v>25</v>
      </c>
      <c r="M311" t="s">
        <v>26</v>
      </c>
      <c r="N311" t="s">
        <v>27</v>
      </c>
      <c r="O311" t="s">
        <v>579</v>
      </c>
      <c r="P311" t="str">
        <f t="shared" si="36"/>
        <v>2020130010332 FORTALECIMIENTO DEL CONSEJO TERRITORIAL DE PLANEACION DEL DISTRITO DE CARTAGANEA DE INDIAS - TG+   CARTAGENA DE INDIAS</v>
      </c>
      <c r="Q311" t="str">
        <f t="shared" si="32"/>
        <v>06</v>
      </c>
      <c r="R311" t="str">
        <f t="shared" si="33"/>
        <v>00</v>
      </c>
      <c r="S311" s="1">
        <v>104000000</v>
      </c>
      <c r="T311" s="1">
        <v>0</v>
      </c>
      <c r="U311" s="1">
        <v>104000000</v>
      </c>
      <c r="V311" s="1">
        <v>92000000</v>
      </c>
      <c r="W311" s="1">
        <v>12000000</v>
      </c>
      <c r="X311" s="1">
        <v>82146000</v>
      </c>
      <c r="Y311" s="1">
        <v>78.989999999999995</v>
      </c>
      <c r="Z311" s="1">
        <v>32000000</v>
      </c>
      <c r="AA311" s="1">
        <v>30.77</v>
      </c>
      <c r="AB311" s="1">
        <v>21854000</v>
      </c>
      <c r="AC311" s="1">
        <v>32000000</v>
      </c>
    </row>
    <row r="312" spans="1:29" x14ac:dyDescent="0.3">
      <c r="A312">
        <v>2022</v>
      </c>
      <c r="B312">
        <v>100</v>
      </c>
      <c r="C312" t="str">
        <f t="shared" si="40"/>
        <v>09</v>
      </c>
      <c r="D312" t="s">
        <v>559</v>
      </c>
      <c r="E312" t="str">
        <f t="shared" si="35"/>
        <v>09 SECRETARIA DE PLANEACION</v>
      </c>
      <c r="F312" s="2">
        <v>2021130010001</v>
      </c>
      <c r="G312" s="2" t="str">
        <f>+VLOOKUP(F312,Hoja2!$F:$I,2,FALSE)</f>
        <v>10. PILAR: CARTAGENA TRANSPARENTE</v>
      </c>
      <c r="H312" s="2" t="str">
        <f>+VLOOKUP(F312,Hoja2!$F:$I,3,FALSE)</f>
        <v>10.7 LÍNEA ESTRATÉGICA: PARTICIPACIÓN Y DESCENTRALIZACIÓN</v>
      </c>
      <c r="I312" s="2" t="str">
        <f>+VLOOKUP(F312,Hoja2!$F:$I,4,FALSE)</f>
        <v xml:space="preserve">10.7.2 PROGRAMA: MODERNIZACIÓN DEL SISTEMA DISTRITAL DE PLANEACIÓN Y DESCENTRALIZACIÓN  </v>
      </c>
      <c r="J312" t="s">
        <v>585</v>
      </c>
      <c r="K312" t="str">
        <f>"922"</f>
        <v>922</v>
      </c>
      <c r="L312" t="s">
        <v>78</v>
      </c>
      <c r="M312" t="s">
        <v>26</v>
      </c>
      <c r="N312" t="s">
        <v>27</v>
      </c>
      <c r="O312" t="s">
        <v>586</v>
      </c>
      <c r="P312" t="str">
        <f t="shared" si="36"/>
        <v>2021130010001 ASISTENCIA TECNICA PARA MEJORAMIENTO DEL BANCO DE PROGRAMAS Y PROYECTOS CENTRAL Y DE LOS BANCOS DE PROGRAMAS Y PROYECTOS LOCALES DEL DISTRITO DE CARTAGENA DE INDIAS  TG +  CARTAGENA DE INDIAS</v>
      </c>
      <c r="Q312" t="str">
        <f t="shared" si="32"/>
        <v>06</v>
      </c>
      <c r="R312" t="str">
        <f t="shared" si="33"/>
        <v>00</v>
      </c>
      <c r="S312" s="1">
        <v>0</v>
      </c>
      <c r="T312" s="1">
        <v>0.33</v>
      </c>
      <c r="U312" s="1">
        <v>0.33</v>
      </c>
      <c r="V312" s="1">
        <v>0</v>
      </c>
      <c r="W312" s="1">
        <v>0.33</v>
      </c>
      <c r="X312" s="1">
        <v>0</v>
      </c>
      <c r="Y312" s="1">
        <v>0</v>
      </c>
      <c r="Z312" s="1">
        <v>0</v>
      </c>
      <c r="AA312" s="1">
        <v>0</v>
      </c>
      <c r="AB312" s="1">
        <v>0.33</v>
      </c>
      <c r="AC312" s="1">
        <v>0</v>
      </c>
    </row>
    <row r="313" spans="1:29" x14ac:dyDescent="0.3">
      <c r="A313">
        <v>2022</v>
      </c>
      <c r="B313">
        <v>100</v>
      </c>
      <c r="C313" t="str">
        <f t="shared" si="40"/>
        <v>09</v>
      </c>
      <c r="D313" t="s">
        <v>559</v>
      </c>
      <c r="E313" t="str">
        <f t="shared" si="35"/>
        <v>09 SECRETARIA DE PLANEACION</v>
      </c>
      <c r="F313" s="2">
        <v>2021130010001</v>
      </c>
      <c r="G313" s="2" t="str">
        <f>+VLOOKUP(F313,Hoja2!$F:$I,2,FALSE)</f>
        <v>10. PILAR: CARTAGENA TRANSPARENTE</v>
      </c>
      <c r="H313" s="2" t="str">
        <f>+VLOOKUP(F313,Hoja2!$F:$I,3,FALSE)</f>
        <v>10.7 LÍNEA ESTRATÉGICA: PARTICIPACIÓN Y DESCENTRALIZACIÓN</v>
      </c>
      <c r="I313" s="2" t="str">
        <f>+VLOOKUP(F313,Hoja2!$F:$I,4,FALSE)</f>
        <v xml:space="preserve">10.7.2 PROGRAMA: MODERNIZACIÓN DEL SISTEMA DISTRITAL DE PLANEACIÓN Y DESCENTRALIZACIÓN  </v>
      </c>
      <c r="J313" t="s">
        <v>585</v>
      </c>
      <c r="K313" t="str">
        <f>"070"</f>
        <v>070</v>
      </c>
      <c r="L313" t="s">
        <v>93</v>
      </c>
      <c r="M313" t="s">
        <v>26</v>
      </c>
      <c r="N313" t="s">
        <v>27</v>
      </c>
      <c r="O313" t="s">
        <v>586</v>
      </c>
      <c r="P313" t="str">
        <f t="shared" si="36"/>
        <v>2021130010001 ASISTENCIA TECNICA PARA MEJORAMIENTO DEL BANCO DE PROGRAMAS Y PROYECTOS CENTRAL Y DE LOS BANCOS DE PROGRAMAS Y PROYECTOS LOCALES DEL DISTRITO DE CARTAGENA DE INDIAS  TG +  CARTAGENA DE INDIAS</v>
      </c>
      <c r="Q313" t="str">
        <f t="shared" si="32"/>
        <v>06</v>
      </c>
      <c r="R313" t="str">
        <f t="shared" si="33"/>
        <v>00</v>
      </c>
      <c r="S313" s="1">
        <v>420000000</v>
      </c>
      <c r="T313" s="1">
        <v>-687165</v>
      </c>
      <c r="U313" s="1">
        <v>419312835</v>
      </c>
      <c r="V313" s="1">
        <v>419312835</v>
      </c>
      <c r="W313" s="1">
        <v>0</v>
      </c>
      <c r="X313" s="1">
        <v>419267883</v>
      </c>
      <c r="Y313" s="1">
        <v>99.99</v>
      </c>
      <c r="Z313" s="1">
        <v>379267883</v>
      </c>
      <c r="AA313" s="1">
        <v>90.45</v>
      </c>
      <c r="AB313" s="1">
        <v>44952</v>
      </c>
      <c r="AC313" s="1">
        <v>374867883</v>
      </c>
    </row>
    <row r="314" spans="1:29" x14ac:dyDescent="0.3">
      <c r="A314">
        <v>2022</v>
      </c>
      <c r="B314">
        <v>100</v>
      </c>
      <c r="C314" t="str">
        <f t="shared" si="40"/>
        <v>09</v>
      </c>
      <c r="D314" t="s">
        <v>559</v>
      </c>
      <c r="E314" t="str">
        <f t="shared" si="35"/>
        <v>09 SECRETARIA DE PLANEACION</v>
      </c>
      <c r="F314" s="2">
        <v>2021130010001</v>
      </c>
      <c r="G314" s="2" t="str">
        <f>+VLOOKUP(F314,Hoja2!$F:$I,2,FALSE)</f>
        <v>10. PILAR: CARTAGENA TRANSPARENTE</v>
      </c>
      <c r="H314" s="2" t="str">
        <f>+VLOOKUP(F314,Hoja2!$F:$I,3,FALSE)</f>
        <v>10.7 LÍNEA ESTRATÉGICA: PARTICIPACIÓN Y DESCENTRALIZACIÓN</v>
      </c>
      <c r="I314" s="2" t="str">
        <f>+VLOOKUP(F314,Hoja2!$F:$I,4,FALSE)</f>
        <v xml:space="preserve">10.7.2 PROGRAMA: MODERNIZACIÓN DEL SISTEMA DISTRITAL DE PLANEACIÓN Y DESCENTRALIZACIÓN  </v>
      </c>
      <c r="J314" t="s">
        <v>585</v>
      </c>
      <c r="K314" t="str">
        <f>"001"</f>
        <v>001</v>
      </c>
      <c r="L314" t="s">
        <v>25</v>
      </c>
      <c r="M314" t="s">
        <v>26</v>
      </c>
      <c r="N314" t="s">
        <v>27</v>
      </c>
      <c r="O314" t="s">
        <v>586</v>
      </c>
      <c r="P314" t="str">
        <f t="shared" si="36"/>
        <v>2021130010001 ASISTENCIA TECNICA PARA MEJORAMIENTO DEL BANCO DE PROGRAMAS Y PROYECTOS CENTRAL Y DE LOS BANCOS DE PROGRAMAS Y PROYECTOS LOCALES DEL DISTRITO DE CARTAGENA DE INDIAS  TG +  CARTAGENA DE INDIAS</v>
      </c>
      <c r="Q314" t="str">
        <f t="shared" si="32"/>
        <v>06</v>
      </c>
      <c r="R314" t="str">
        <f t="shared" si="33"/>
        <v>00</v>
      </c>
      <c r="S314" s="1">
        <v>245300000</v>
      </c>
      <c r="T314" s="1">
        <v>0</v>
      </c>
      <c r="U314" s="1">
        <v>245300000</v>
      </c>
      <c r="V314" s="1">
        <v>193136667</v>
      </c>
      <c r="W314" s="1">
        <v>52163333</v>
      </c>
      <c r="X314" s="1">
        <v>193136667</v>
      </c>
      <c r="Y314" s="1">
        <v>78.73</v>
      </c>
      <c r="Z314" s="1">
        <v>179936667</v>
      </c>
      <c r="AA314" s="1">
        <v>73.349999999999994</v>
      </c>
      <c r="AB314" s="1">
        <v>52163333</v>
      </c>
      <c r="AC314" s="1">
        <v>179936667</v>
      </c>
    </row>
    <row r="315" spans="1:29" x14ac:dyDescent="0.3">
      <c r="A315">
        <v>2022</v>
      </c>
      <c r="B315">
        <v>100</v>
      </c>
      <c r="C315" t="str">
        <f t="shared" si="40"/>
        <v>09</v>
      </c>
      <c r="D315" t="s">
        <v>559</v>
      </c>
      <c r="E315" t="str">
        <f t="shared" si="35"/>
        <v>09 SECRETARIA DE PLANEACION</v>
      </c>
      <c r="F315" s="2">
        <v>2021130010003</v>
      </c>
      <c r="G315" s="2" t="str">
        <f>+VLOOKUP(F315,Hoja2!$F:$I,2,FALSE)</f>
        <v>08. PILAR CARTAGENA INCLUYENTE</v>
      </c>
      <c r="H315" s="2" t="str">
        <f>+VLOOKUP(F315,Hoja2!$F:$I,3,FALSE)</f>
        <v>8.6 LÍNEA ESTRATÉGICA PLANEACIÓN SOCIAL DEL TERRITORIO</v>
      </c>
      <c r="I315" s="2" t="str">
        <f>+VLOOKUP(F315,Hoja2!$F:$I,4,FALSE)</f>
        <v>8.6.2 PROGRAMA: CATASTRO MULTIPROPÓSITO</v>
      </c>
      <c r="J315" t="s">
        <v>591</v>
      </c>
      <c r="K315" t="str">
        <f>"001"</f>
        <v>001</v>
      </c>
      <c r="L315" t="s">
        <v>25</v>
      </c>
      <c r="M315" t="s">
        <v>26</v>
      </c>
      <c r="N315" t="s">
        <v>27</v>
      </c>
      <c r="O315" t="s">
        <v>592</v>
      </c>
      <c r="P315" t="str">
        <f t="shared" si="36"/>
        <v>2021130010003 ASISTENCIA TECNICA Y DESARROLLO DE ACCIONES PARA LA IMPLEMENTACION DEL CATASTRO MULTIPROPOSITO EN EL DISTRITO DE CARTAGENA DE INDIAS - TG+  CARTAGENA DE INDIAS</v>
      </c>
      <c r="Q315" t="str">
        <f t="shared" si="32"/>
        <v>06</v>
      </c>
      <c r="R315" t="str">
        <f t="shared" si="33"/>
        <v>00</v>
      </c>
      <c r="S315" s="1">
        <v>169400000</v>
      </c>
      <c r="T315" s="1">
        <v>0</v>
      </c>
      <c r="U315" s="1">
        <v>169400000</v>
      </c>
      <c r="V315" s="1">
        <v>169400000</v>
      </c>
      <c r="W315" s="1">
        <v>0</v>
      </c>
      <c r="X315" s="1">
        <v>169400000</v>
      </c>
      <c r="Y315" s="1">
        <v>100</v>
      </c>
      <c r="Z315" s="1">
        <v>169400000</v>
      </c>
      <c r="AA315" s="1">
        <v>100</v>
      </c>
      <c r="AB315" s="1">
        <v>0</v>
      </c>
      <c r="AC315" s="1">
        <v>169400000</v>
      </c>
    </row>
    <row r="316" spans="1:29" x14ac:dyDescent="0.3">
      <c r="A316">
        <v>2022</v>
      </c>
      <c r="B316">
        <v>100</v>
      </c>
      <c r="C316" t="str">
        <f>"17"</f>
        <v>17</v>
      </c>
      <c r="D316" t="s">
        <v>852</v>
      </c>
      <c r="E316" t="str">
        <f t="shared" si="35"/>
        <v>17 INSTITUTO DE PATRIMONIO Y CULTURA DE CARTAGENA DE INDIAS</v>
      </c>
      <c r="F316" s="2">
        <v>2021130010005</v>
      </c>
      <c r="G316" s="2" t="str">
        <f>+VLOOKUP(F316,Hoja2!$F:$I,2,FALSE)</f>
        <v>08. PILAR CARTAGENA INCLUYENTE</v>
      </c>
      <c r="H316" s="2" t="str">
        <f>+VLOOKUP(F316,Hoja2!$F:$I,3,FALSE)</f>
        <v>8.5 LÍNEA ESTRATÉGICA ARTES, CULTURA Y PATRIMONIO PARA UNA CARTAGENA INCLUYENTE</v>
      </c>
      <c r="I316" s="2" t="str">
        <f>+VLOOKUP(F316,Hoja2!$F:$I,4,FALSE)</f>
        <v>8.5.5 PROGRAMA: DERECHOS CULTURALES Y BUEN GOBIERNO PARA EL FORTALECIMIENTO INSTITUCIONAL Y CIUDADANO</v>
      </c>
      <c r="J316" t="s">
        <v>867</v>
      </c>
      <c r="K316" t="str">
        <f>"057"</f>
        <v>057</v>
      </c>
      <c r="L316" t="s">
        <v>861</v>
      </c>
      <c r="M316" t="s">
        <v>26</v>
      </c>
      <c r="N316" t="s">
        <v>27</v>
      </c>
      <c r="O316" t="s">
        <v>868</v>
      </c>
      <c r="P316" t="str">
        <f t="shared" si="36"/>
        <v>2021130010005 FORTALECIMIENTO Y MODERNIZACION INSTITUCIONAL DEL INSTITUTO DE PATRIMONIO Y CULTURA (IPCC) EN EL DISTRITO DE CARTAGENA DE INDIAS</v>
      </c>
      <c r="Q316" t="str">
        <f t="shared" si="32"/>
        <v>06</v>
      </c>
      <c r="R316" t="str">
        <f t="shared" si="33"/>
        <v>00</v>
      </c>
      <c r="S316" s="1">
        <v>117233509</v>
      </c>
      <c r="T316" s="1">
        <v>0</v>
      </c>
      <c r="U316" s="1">
        <v>117233509</v>
      </c>
      <c r="V316" s="1">
        <v>117233508.31999999</v>
      </c>
      <c r="W316" s="1">
        <v>0.68</v>
      </c>
      <c r="X316" s="1">
        <v>117233508.31999999</v>
      </c>
      <c r="Y316" s="1">
        <v>100</v>
      </c>
      <c r="Z316" s="1">
        <v>117233508.31999999</v>
      </c>
      <c r="AA316" s="1">
        <v>100</v>
      </c>
      <c r="AB316" s="1">
        <v>0.68</v>
      </c>
      <c r="AC316" s="1">
        <v>117233508.31999999</v>
      </c>
    </row>
    <row r="317" spans="1:29" x14ac:dyDescent="0.3">
      <c r="A317">
        <v>2022</v>
      </c>
      <c r="B317">
        <v>100</v>
      </c>
      <c r="C317" t="str">
        <f>"17"</f>
        <v>17</v>
      </c>
      <c r="D317" t="s">
        <v>852</v>
      </c>
      <c r="E317" t="str">
        <f t="shared" si="35"/>
        <v>17 INSTITUTO DE PATRIMONIO Y CULTURA DE CARTAGENA DE INDIAS</v>
      </c>
      <c r="F317" s="2">
        <v>2021130010005</v>
      </c>
      <c r="G317" s="2" t="str">
        <f>+VLOOKUP(F317,Hoja2!$F:$I,2,FALSE)</f>
        <v>08. PILAR CARTAGENA INCLUYENTE</v>
      </c>
      <c r="H317" s="2" t="str">
        <f>+VLOOKUP(F317,Hoja2!$F:$I,3,FALSE)</f>
        <v>8.5 LÍNEA ESTRATÉGICA ARTES, CULTURA Y PATRIMONIO PARA UNA CARTAGENA INCLUYENTE</v>
      </c>
      <c r="I317" s="2" t="str">
        <f>+VLOOKUP(F317,Hoja2!$F:$I,4,FALSE)</f>
        <v>8.5.5 PROGRAMA: DERECHOS CULTURALES Y BUEN GOBIERNO PARA EL FORTALECIMIENTO INSTITUCIONAL Y CIUDADANO</v>
      </c>
      <c r="J317" t="s">
        <v>867</v>
      </c>
      <c r="K317" t="str">
        <f>"001"</f>
        <v>001</v>
      </c>
      <c r="L317" t="s">
        <v>25</v>
      </c>
      <c r="M317" t="s">
        <v>26</v>
      </c>
      <c r="N317" t="s">
        <v>27</v>
      </c>
      <c r="O317" t="s">
        <v>868</v>
      </c>
      <c r="P317" t="str">
        <f t="shared" si="36"/>
        <v>2021130010005 FORTALECIMIENTO Y MODERNIZACION INSTITUCIONAL DEL INSTITUTO DE PATRIMONIO Y CULTURA (IPCC) EN EL DISTRITO DE CARTAGENA DE INDIAS</v>
      </c>
      <c r="Q317" t="str">
        <f t="shared" si="32"/>
        <v>06</v>
      </c>
      <c r="R317" t="str">
        <f t="shared" si="33"/>
        <v>00</v>
      </c>
      <c r="S317" s="1">
        <v>50000000</v>
      </c>
      <c r="T317" s="1">
        <v>0</v>
      </c>
      <c r="U317" s="1">
        <v>50000000</v>
      </c>
      <c r="V317" s="1">
        <v>50000000</v>
      </c>
      <c r="W317" s="1">
        <v>0</v>
      </c>
      <c r="X317" s="1">
        <v>50000000</v>
      </c>
      <c r="Y317" s="1">
        <v>100</v>
      </c>
      <c r="Z317" s="1">
        <v>50000000</v>
      </c>
      <c r="AA317" s="1">
        <v>100</v>
      </c>
      <c r="AB317" s="1">
        <v>0</v>
      </c>
      <c r="AC317" s="1">
        <v>50000000</v>
      </c>
    </row>
    <row r="318" spans="1:29" x14ac:dyDescent="0.3">
      <c r="A318">
        <v>2022</v>
      </c>
      <c r="B318">
        <v>100</v>
      </c>
      <c r="C318" t="str">
        <f>"17"</f>
        <v>17</v>
      </c>
      <c r="D318" t="s">
        <v>852</v>
      </c>
      <c r="E318" t="str">
        <f t="shared" si="35"/>
        <v>17 INSTITUTO DE PATRIMONIO Y CULTURA DE CARTAGENA DE INDIAS</v>
      </c>
      <c r="F318" s="2">
        <v>2021130010006</v>
      </c>
      <c r="G318" s="2" t="str">
        <f>+VLOOKUP(F318,Hoja2!$F:$I,2,FALSE)</f>
        <v>08. PILAR CARTAGENA INCLUYENTE</v>
      </c>
      <c r="H318" s="2" t="str">
        <f>+VLOOKUP(F318,Hoja2!$F:$I,3,FALSE)</f>
        <v>8.5 LÍNEA ESTRATÉGICA ARTES, CULTURA Y PATRIMONIO PARA UNA CARTAGENA INCLUYENTE</v>
      </c>
      <c r="I318" s="2" t="str">
        <f>+VLOOKUP(F318,Hoja2!$F:$I,4,FALSE)</f>
        <v>8.5.3 PROGRAMA: PATRIMONIO INMATERIAL: PRACTICAS SIGNIFICATIVAS PARA LA MEMORIA</v>
      </c>
      <c r="J318" t="s">
        <v>871</v>
      </c>
      <c r="K318" t="str">
        <f>"057"</f>
        <v>057</v>
      </c>
      <c r="L318" t="s">
        <v>861</v>
      </c>
      <c r="M318" t="s">
        <v>26</v>
      </c>
      <c r="N318" t="s">
        <v>27</v>
      </c>
      <c r="O318" t="s">
        <v>872</v>
      </c>
      <c r="P318" t="str">
        <f t="shared" si="36"/>
        <v xml:space="preserve">2021130010006 FORTALECIMIENTO DE PLANES ESPECIALES DE SALVAGUARDIA PARA INCLUSION DE LAS MANIFESTACIONES CULTURALES EN EL DISTRITO DE CARTAGENA DE INDIAS </v>
      </c>
      <c r="Q318" t="str">
        <f t="shared" si="32"/>
        <v>06</v>
      </c>
      <c r="R318" t="str">
        <f t="shared" si="33"/>
        <v>00</v>
      </c>
      <c r="S318" s="1">
        <v>150728798</v>
      </c>
      <c r="T318" s="1">
        <v>0</v>
      </c>
      <c r="U318" s="1">
        <v>150728798</v>
      </c>
      <c r="V318" s="1">
        <v>150668798</v>
      </c>
      <c r="W318" s="1">
        <v>60000</v>
      </c>
      <c r="X318" s="1">
        <v>150668798</v>
      </c>
      <c r="Y318" s="1">
        <v>99.96</v>
      </c>
      <c r="Z318" s="1">
        <v>125547332</v>
      </c>
      <c r="AA318" s="1">
        <v>83.29</v>
      </c>
      <c r="AB318" s="1">
        <v>60000</v>
      </c>
      <c r="AC318" s="1">
        <v>113046598</v>
      </c>
    </row>
    <row r="319" spans="1:29" x14ac:dyDescent="0.3">
      <c r="A319">
        <v>2022</v>
      </c>
      <c r="B319">
        <v>100</v>
      </c>
      <c r="C319" t="str">
        <f>"17"</f>
        <v>17</v>
      </c>
      <c r="D319" t="s">
        <v>852</v>
      </c>
      <c r="E319" t="str">
        <f t="shared" si="35"/>
        <v>17 INSTITUTO DE PATRIMONIO Y CULTURA DE CARTAGENA DE INDIAS</v>
      </c>
      <c r="F319" s="2">
        <v>2021130010006</v>
      </c>
      <c r="G319" s="2" t="str">
        <f>+VLOOKUP(F319,Hoja2!$F:$I,2,FALSE)</f>
        <v>08. PILAR CARTAGENA INCLUYENTE</v>
      </c>
      <c r="H319" s="2" t="str">
        <f>+VLOOKUP(F319,Hoja2!$F:$I,3,FALSE)</f>
        <v>8.5 LÍNEA ESTRATÉGICA ARTES, CULTURA Y PATRIMONIO PARA UNA CARTAGENA INCLUYENTE</v>
      </c>
      <c r="I319" s="2" t="str">
        <f>+VLOOKUP(F319,Hoja2!$F:$I,4,FALSE)</f>
        <v>8.5.3 PROGRAMA: PATRIMONIO INMATERIAL: PRACTICAS SIGNIFICATIVAS PARA LA MEMORIA</v>
      </c>
      <c r="J319" t="s">
        <v>871</v>
      </c>
      <c r="K319" t="str">
        <f>"001"</f>
        <v>001</v>
      </c>
      <c r="L319" t="s">
        <v>25</v>
      </c>
      <c r="M319" t="s">
        <v>26</v>
      </c>
      <c r="N319" t="s">
        <v>27</v>
      </c>
      <c r="O319" t="s">
        <v>872</v>
      </c>
      <c r="P319" t="str">
        <f t="shared" si="36"/>
        <v xml:space="preserve">2021130010006 FORTALECIMIENTO DE PLANES ESPECIALES DE SALVAGUARDIA PARA INCLUSION DE LAS MANIFESTACIONES CULTURALES EN EL DISTRITO DE CARTAGENA DE INDIAS </v>
      </c>
      <c r="Q319" t="str">
        <f t="shared" si="32"/>
        <v>06</v>
      </c>
      <c r="R319" t="str">
        <f t="shared" si="33"/>
        <v>00</v>
      </c>
      <c r="S319" s="1">
        <v>90000000</v>
      </c>
      <c r="T319" s="1">
        <v>0</v>
      </c>
      <c r="U319" s="1">
        <v>90000000</v>
      </c>
      <c r="V319" s="1">
        <v>90000000</v>
      </c>
      <c r="W319" s="1">
        <v>0</v>
      </c>
      <c r="X319" s="1">
        <v>90000000</v>
      </c>
      <c r="Y319" s="1">
        <v>100</v>
      </c>
      <c r="Z319" s="1">
        <v>90000000</v>
      </c>
      <c r="AA319" s="1">
        <v>100</v>
      </c>
      <c r="AB319" s="1">
        <v>0</v>
      </c>
      <c r="AC319" s="1">
        <v>90000000</v>
      </c>
    </row>
    <row r="320" spans="1:29" x14ac:dyDescent="0.3">
      <c r="A320">
        <v>2022</v>
      </c>
      <c r="B320">
        <v>100</v>
      </c>
      <c r="C320" t="str">
        <f t="shared" ref="C320:C327" si="41">"15"</f>
        <v>15</v>
      </c>
      <c r="D320" t="s">
        <v>793</v>
      </c>
      <c r="E320" t="str">
        <f t="shared" si="35"/>
        <v>15 INSTITUTO DE DEPORTE Y RECREACION</v>
      </c>
      <c r="F320" s="2">
        <v>2021130010011</v>
      </c>
      <c r="G320" s="2" t="str">
        <f>+VLOOKUP(F320,Hoja2!$F:$I,2,FALSE)</f>
        <v>08. PILAR CARTAGENA INCLUYENTE</v>
      </c>
      <c r="H320" s="2" t="str">
        <f>+VLOOKUP(F320,Hoja2!$F:$I,3,FALSE)</f>
        <v xml:space="preserve">8.4 LÍNEA ESTRATÉGICA DEPORTE Y RECREACIÓN PARA LA TRANSFORMACION SOCIAL </v>
      </c>
      <c r="I320" s="2" t="str">
        <f>+VLOOKUP(F320,Hoja2!$F:$I,4,FALSE)</f>
        <v>8.4.3 DEPORTE SOCIAL COMUNITARIO CON INCLUSION "CARTAGENA INCLUYENTE"</v>
      </c>
      <c r="J320" t="s">
        <v>799</v>
      </c>
      <c r="K320" t="str">
        <f>"841"</f>
        <v>841</v>
      </c>
      <c r="L320" t="s">
        <v>796</v>
      </c>
      <c r="M320" t="s">
        <v>26</v>
      </c>
      <c r="N320" t="s">
        <v>27</v>
      </c>
      <c r="O320" t="s">
        <v>800</v>
      </c>
      <c r="P320" t="str">
        <f t="shared" si="36"/>
        <v>2021130010011 INTEGRACION COMUNITARIA A TRAVES DEL DEPORTE COMO HERRAMIENTA PARA LA INCLUSION SOCIAL DESDE LOS DIFERENTES ENFOQUES POBLACIONALES CARTAGENA DE INDIAS</v>
      </c>
      <c r="Q320" t="str">
        <f t="shared" si="32"/>
        <v>06</v>
      </c>
      <c r="R320" t="str">
        <f t="shared" si="33"/>
        <v>00</v>
      </c>
      <c r="S320" s="1">
        <v>0</v>
      </c>
      <c r="T320" s="1">
        <v>216085246</v>
      </c>
      <c r="U320" s="1">
        <v>216085246</v>
      </c>
      <c r="V320" s="1">
        <v>0</v>
      </c>
      <c r="W320" s="1">
        <v>216085246</v>
      </c>
      <c r="X320" s="1">
        <v>0</v>
      </c>
      <c r="Y320" s="1">
        <v>0</v>
      </c>
      <c r="Z320" s="1">
        <v>0</v>
      </c>
      <c r="AA320" s="1">
        <v>0</v>
      </c>
      <c r="AB320" s="1">
        <v>216085246</v>
      </c>
      <c r="AC320" s="1">
        <v>0</v>
      </c>
    </row>
    <row r="321" spans="1:29" x14ac:dyDescent="0.3">
      <c r="A321">
        <v>2022</v>
      </c>
      <c r="B321">
        <v>100</v>
      </c>
      <c r="C321" t="str">
        <f t="shared" si="41"/>
        <v>15</v>
      </c>
      <c r="D321" t="s">
        <v>793</v>
      </c>
      <c r="E321" t="str">
        <f t="shared" si="35"/>
        <v>15 INSTITUTO DE DEPORTE Y RECREACION</v>
      </c>
      <c r="F321" s="2">
        <v>2021130010011</v>
      </c>
      <c r="G321" s="2" t="str">
        <f>+VLOOKUP(F321,Hoja2!$F:$I,2,FALSE)</f>
        <v>08. PILAR CARTAGENA INCLUYENTE</v>
      </c>
      <c r="H321" s="2" t="str">
        <f>+VLOOKUP(F321,Hoja2!$F:$I,3,FALSE)</f>
        <v xml:space="preserve">8.4 LÍNEA ESTRATÉGICA DEPORTE Y RECREACIÓN PARA LA TRANSFORMACION SOCIAL </v>
      </c>
      <c r="I321" s="2" t="str">
        <f>+VLOOKUP(F321,Hoja2!$F:$I,4,FALSE)</f>
        <v>8.4.3 DEPORTE SOCIAL COMUNITARIO CON INCLUSION "CARTAGENA INCLUYENTE"</v>
      </c>
      <c r="J321" t="s">
        <v>799</v>
      </c>
      <c r="K321" t="str">
        <f>"918"</f>
        <v>918</v>
      </c>
      <c r="L321" t="s">
        <v>807</v>
      </c>
      <c r="M321" t="s">
        <v>26</v>
      </c>
      <c r="N321" t="s">
        <v>27</v>
      </c>
      <c r="O321" t="s">
        <v>800</v>
      </c>
      <c r="P321" t="str">
        <f t="shared" si="36"/>
        <v>2021130010011 INTEGRACION COMUNITARIA A TRAVES DEL DEPORTE COMO HERRAMIENTA PARA LA INCLUSION SOCIAL DESDE LOS DIFERENTES ENFOQUES POBLACIONALES CARTAGENA DE INDIAS</v>
      </c>
      <c r="Q321" t="str">
        <f t="shared" si="32"/>
        <v>06</v>
      </c>
      <c r="R321" t="str">
        <f t="shared" si="33"/>
        <v>00</v>
      </c>
      <c r="S321" s="1">
        <v>0</v>
      </c>
      <c r="T321" s="1">
        <v>175479787.55000001</v>
      </c>
      <c r="U321" s="1">
        <v>175479787.55000001</v>
      </c>
      <c r="V321" s="1">
        <v>115368097</v>
      </c>
      <c r="W321" s="1">
        <v>60111690.549999997</v>
      </c>
      <c r="X321" s="1">
        <v>115368097</v>
      </c>
      <c r="Y321" s="1">
        <v>65.739999999999995</v>
      </c>
      <c r="Z321" s="1">
        <v>115368097</v>
      </c>
      <c r="AA321" s="1">
        <v>65.739999999999995</v>
      </c>
      <c r="AB321" s="1">
        <v>60111690.549999997</v>
      </c>
      <c r="AC321" s="1">
        <v>0</v>
      </c>
    </row>
    <row r="322" spans="1:29" x14ac:dyDescent="0.3">
      <c r="A322">
        <v>2022</v>
      </c>
      <c r="B322">
        <v>100</v>
      </c>
      <c r="C322" t="str">
        <f t="shared" si="41"/>
        <v>15</v>
      </c>
      <c r="D322" t="s">
        <v>793</v>
      </c>
      <c r="E322" t="str">
        <f t="shared" si="35"/>
        <v>15 INSTITUTO DE DEPORTE Y RECREACION</v>
      </c>
      <c r="F322" s="2">
        <v>2021130010011</v>
      </c>
      <c r="G322" s="2" t="str">
        <f>+VLOOKUP(F322,Hoja2!$F:$I,2,FALSE)</f>
        <v>08. PILAR CARTAGENA INCLUYENTE</v>
      </c>
      <c r="H322" s="2" t="str">
        <f>+VLOOKUP(F322,Hoja2!$F:$I,3,FALSE)</f>
        <v xml:space="preserve">8.4 LÍNEA ESTRATÉGICA DEPORTE Y RECREACIÓN PARA LA TRANSFORMACION SOCIAL </v>
      </c>
      <c r="I322" s="2" t="str">
        <f>+VLOOKUP(F322,Hoja2!$F:$I,4,FALSE)</f>
        <v>8.4.3 DEPORTE SOCIAL COMUNITARIO CON INCLUSION "CARTAGENA INCLUYENTE"</v>
      </c>
      <c r="J322" t="s">
        <v>799</v>
      </c>
      <c r="K322" t="str">
        <f>"059"</f>
        <v>059</v>
      </c>
      <c r="L322" t="s">
        <v>824</v>
      </c>
      <c r="M322" t="s">
        <v>26</v>
      </c>
      <c r="N322" t="s">
        <v>27</v>
      </c>
      <c r="O322" t="s">
        <v>826</v>
      </c>
      <c r="P322" t="str">
        <f t="shared" si="36"/>
        <v>2021130010011 INTEGRACION COMUNITARIA A TRAVES DEL DEPORTE COMO HERRAMIENTA PARA LA INCLUSION SOCIAL DESDE LOS DIFERENTES ENFOQUES POBLACIONALES  CARTAGENA DE INDIAS</v>
      </c>
      <c r="Q322" t="str">
        <f t="shared" ref="Q322:Q385" si="42">"06"</f>
        <v>06</v>
      </c>
      <c r="R322" t="str">
        <f t="shared" ref="R322:R385" si="43">"00"</f>
        <v>00</v>
      </c>
      <c r="S322" s="1">
        <v>766592134</v>
      </c>
      <c r="T322" s="1">
        <v>45794709</v>
      </c>
      <c r="U322" s="1">
        <v>812386843</v>
      </c>
      <c r="V322" s="1">
        <v>766591284.09000003</v>
      </c>
      <c r="W322" s="1">
        <v>45795558.909999996</v>
      </c>
      <c r="X322" s="1">
        <v>766591284.09000003</v>
      </c>
      <c r="Y322" s="1">
        <v>94.36</v>
      </c>
      <c r="Z322" s="1">
        <v>766591284.09000003</v>
      </c>
      <c r="AA322" s="1">
        <v>94.36</v>
      </c>
      <c r="AB322" s="1">
        <v>45795558.909999996</v>
      </c>
      <c r="AC322" s="1">
        <v>417548284.08999997</v>
      </c>
    </row>
    <row r="323" spans="1:29" x14ac:dyDescent="0.3">
      <c r="A323">
        <v>2022</v>
      </c>
      <c r="B323">
        <v>100</v>
      </c>
      <c r="C323" t="str">
        <f t="shared" si="41"/>
        <v>15</v>
      </c>
      <c r="D323" t="s">
        <v>793</v>
      </c>
      <c r="E323" t="str">
        <f t="shared" ref="E323:E386" si="44">+CONCATENATE(C323," ",D323)</f>
        <v>15 INSTITUTO DE DEPORTE Y RECREACION</v>
      </c>
      <c r="F323" s="2">
        <v>2021130010011</v>
      </c>
      <c r="G323" s="2" t="str">
        <f>+VLOOKUP(F323,Hoja2!$F:$I,2,FALSE)</f>
        <v>08. PILAR CARTAGENA INCLUYENTE</v>
      </c>
      <c r="H323" s="2" t="str">
        <f>+VLOOKUP(F323,Hoja2!$F:$I,3,FALSE)</f>
        <v xml:space="preserve">8.4 LÍNEA ESTRATÉGICA DEPORTE Y RECREACIÓN PARA LA TRANSFORMACION SOCIAL </v>
      </c>
      <c r="I323" s="2" t="str">
        <f>+VLOOKUP(F323,Hoja2!$F:$I,4,FALSE)</f>
        <v>8.4.3 DEPORTE SOCIAL COMUNITARIO CON INCLUSION "CARTAGENA INCLUYENTE"</v>
      </c>
      <c r="J323" t="s">
        <v>799</v>
      </c>
      <c r="K323" t="str">
        <f>"092"</f>
        <v>092</v>
      </c>
      <c r="L323" t="s">
        <v>827</v>
      </c>
      <c r="M323" t="s">
        <v>26</v>
      </c>
      <c r="N323" t="s">
        <v>27</v>
      </c>
      <c r="O323" t="s">
        <v>826</v>
      </c>
      <c r="P323" t="str">
        <f t="shared" ref="P323:P386" si="45">+CONCATENATE(F323," ",O323)</f>
        <v>2021130010011 INTEGRACION COMUNITARIA A TRAVES DEL DEPORTE COMO HERRAMIENTA PARA LA INCLUSION SOCIAL DESDE LOS DIFERENTES ENFOQUES POBLACIONALES  CARTAGENA DE INDIAS</v>
      </c>
      <c r="Q323" t="str">
        <f t="shared" si="42"/>
        <v>06</v>
      </c>
      <c r="R323" t="str">
        <f t="shared" si="43"/>
        <v>00</v>
      </c>
      <c r="S323" s="1">
        <v>75600179</v>
      </c>
      <c r="T323" s="1">
        <v>0</v>
      </c>
      <c r="U323" s="1">
        <v>75600179</v>
      </c>
      <c r="V323" s="1">
        <v>0</v>
      </c>
      <c r="W323" s="1">
        <v>75600179</v>
      </c>
      <c r="X323" s="1">
        <v>0</v>
      </c>
      <c r="Y323" s="1">
        <v>0</v>
      </c>
      <c r="Z323" s="1">
        <v>0</v>
      </c>
      <c r="AA323" s="1">
        <v>0</v>
      </c>
      <c r="AB323" s="1">
        <v>75600179</v>
      </c>
      <c r="AC323" s="1">
        <v>0</v>
      </c>
    </row>
    <row r="324" spans="1:29" x14ac:dyDescent="0.3">
      <c r="A324">
        <v>2022</v>
      </c>
      <c r="B324">
        <v>100</v>
      </c>
      <c r="C324" t="str">
        <f t="shared" si="41"/>
        <v>15</v>
      </c>
      <c r="D324" t="s">
        <v>793</v>
      </c>
      <c r="E324" t="str">
        <f t="shared" si="44"/>
        <v>15 INSTITUTO DE DEPORTE Y RECREACION</v>
      </c>
      <c r="F324" s="2">
        <v>2021130010011</v>
      </c>
      <c r="G324" s="2" t="str">
        <f>+VLOOKUP(F324,Hoja2!$F:$I,2,FALSE)</f>
        <v>08. PILAR CARTAGENA INCLUYENTE</v>
      </c>
      <c r="H324" s="2" t="str">
        <f>+VLOOKUP(F324,Hoja2!$F:$I,3,FALSE)</f>
        <v xml:space="preserve">8.4 LÍNEA ESTRATÉGICA DEPORTE Y RECREACIÓN PARA LA TRANSFORMACION SOCIAL </v>
      </c>
      <c r="I324" s="2" t="str">
        <f>+VLOOKUP(F324,Hoja2!$F:$I,4,FALSE)</f>
        <v>8.4.3 DEPORTE SOCIAL COMUNITARIO CON INCLUSION "CARTAGENA INCLUYENTE"</v>
      </c>
      <c r="J324" t="s">
        <v>799</v>
      </c>
      <c r="K324" t="str">
        <f>"097"</f>
        <v>097</v>
      </c>
      <c r="L324" t="s">
        <v>828</v>
      </c>
      <c r="M324" t="s">
        <v>26</v>
      </c>
      <c r="N324" t="s">
        <v>27</v>
      </c>
      <c r="O324" t="s">
        <v>826</v>
      </c>
      <c r="P324" t="str">
        <f t="shared" si="45"/>
        <v>2021130010011 INTEGRACION COMUNITARIA A TRAVES DEL DEPORTE COMO HERRAMIENTA PARA LA INCLUSION SOCIAL DESDE LOS DIFERENTES ENFOQUES POBLACIONALES  CARTAGENA DE INDIAS</v>
      </c>
      <c r="Q324" t="str">
        <f t="shared" si="42"/>
        <v>06</v>
      </c>
      <c r="R324" t="str">
        <f t="shared" si="43"/>
        <v>00</v>
      </c>
      <c r="S324" s="1">
        <v>1030599617</v>
      </c>
      <c r="T324" s="1">
        <v>0</v>
      </c>
      <c r="U324" s="1">
        <v>1030599617</v>
      </c>
      <c r="V324" s="1">
        <v>1030599617</v>
      </c>
      <c r="W324" s="1">
        <v>0</v>
      </c>
      <c r="X324" s="1">
        <v>1030599617</v>
      </c>
      <c r="Y324" s="1">
        <v>100</v>
      </c>
      <c r="Z324" s="1">
        <v>1030599617</v>
      </c>
      <c r="AA324" s="1">
        <v>100</v>
      </c>
      <c r="AB324" s="1">
        <v>0</v>
      </c>
      <c r="AC324" s="1">
        <v>526287340</v>
      </c>
    </row>
    <row r="325" spans="1:29" x14ac:dyDescent="0.3">
      <c r="A325">
        <v>2022</v>
      </c>
      <c r="B325">
        <v>100</v>
      </c>
      <c r="C325" t="str">
        <f t="shared" si="41"/>
        <v>15</v>
      </c>
      <c r="D325" t="s">
        <v>793</v>
      </c>
      <c r="E325" t="str">
        <f t="shared" si="44"/>
        <v>15 INSTITUTO DE DEPORTE Y RECREACION</v>
      </c>
      <c r="F325" s="2">
        <v>2021130010011</v>
      </c>
      <c r="G325" s="2" t="str">
        <f>+VLOOKUP(F325,Hoja2!$F:$I,2,FALSE)</f>
        <v>08. PILAR CARTAGENA INCLUYENTE</v>
      </c>
      <c r="H325" s="2" t="str">
        <f>+VLOOKUP(F325,Hoja2!$F:$I,3,FALSE)</f>
        <v xml:space="preserve">8.4 LÍNEA ESTRATÉGICA DEPORTE Y RECREACIÓN PARA LA TRANSFORMACION SOCIAL </v>
      </c>
      <c r="I325" s="2" t="str">
        <f>+VLOOKUP(F325,Hoja2!$F:$I,4,FALSE)</f>
        <v>8.4.3 DEPORTE SOCIAL COMUNITARIO CON INCLUSION "CARTAGENA INCLUYENTE"</v>
      </c>
      <c r="J325" t="s">
        <v>799</v>
      </c>
      <c r="K325" t="str">
        <f>"122"</f>
        <v>122</v>
      </c>
      <c r="L325" t="s">
        <v>829</v>
      </c>
      <c r="M325" t="s">
        <v>26</v>
      </c>
      <c r="N325" t="s">
        <v>27</v>
      </c>
      <c r="O325" t="s">
        <v>826</v>
      </c>
      <c r="P325" t="str">
        <f t="shared" si="45"/>
        <v>2021130010011 INTEGRACION COMUNITARIA A TRAVES DEL DEPORTE COMO HERRAMIENTA PARA LA INCLUSION SOCIAL DESDE LOS DIFERENTES ENFOQUES POBLACIONALES  CARTAGENA DE INDIAS</v>
      </c>
      <c r="Q325" t="str">
        <f t="shared" si="42"/>
        <v>06</v>
      </c>
      <c r="R325" t="str">
        <f t="shared" si="43"/>
        <v>00</v>
      </c>
      <c r="S325" s="1">
        <v>34906129</v>
      </c>
      <c r="T325" s="1">
        <v>0</v>
      </c>
      <c r="U325" s="1">
        <v>34906129</v>
      </c>
      <c r="V325" s="1">
        <v>0</v>
      </c>
      <c r="W325" s="1">
        <v>34906129</v>
      </c>
      <c r="X325" s="1">
        <v>0</v>
      </c>
      <c r="Y325" s="1">
        <v>0</v>
      </c>
      <c r="Z325" s="1">
        <v>0</v>
      </c>
      <c r="AA325" s="1">
        <v>0</v>
      </c>
      <c r="AB325" s="1">
        <v>34906129</v>
      </c>
      <c r="AC325" s="1">
        <v>0</v>
      </c>
    </row>
    <row r="326" spans="1:29" x14ac:dyDescent="0.3">
      <c r="A326">
        <v>2022</v>
      </c>
      <c r="B326">
        <v>100</v>
      </c>
      <c r="C326" t="str">
        <f t="shared" si="41"/>
        <v>15</v>
      </c>
      <c r="D326" t="s">
        <v>793</v>
      </c>
      <c r="E326" t="str">
        <f t="shared" si="44"/>
        <v>15 INSTITUTO DE DEPORTE Y RECREACION</v>
      </c>
      <c r="F326" s="2">
        <v>2021130010011</v>
      </c>
      <c r="G326" s="2" t="str">
        <f>+VLOOKUP(F326,Hoja2!$F:$I,2,FALSE)</f>
        <v>08. PILAR CARTAGENA INCLUYENTE</v>
      </c>
      <c r="H326" s="2" t="str">
        <f>+VLOOKUP(F326,Hoja2!$F:$I,3,FALSE)</f>
        <v xml:space="preserve">8.4 LÍNEA ESTRATÉGICA DEPORTE Y RECREACIÓN PARA LA TRANSFORMACION SOCIAL </v>
      </c>
      <c r="I326" s="2" t="str">
        <f>+VLOOKUP(F326,Hoja2!$F:$I,4,FALSE)</f>
        <v>8.4.3 DEPORTE SOCIAL COMUNITARIO CON INCLUSION "CARTAGENA INCLUYENTE"</v>
      </c>
      <c r="J326" t="s">
        <v>799</v>
      </c>
      <c r="K326" t="str">
        <f>"135"</f>
        <v>135</v>
      </c>
      <c r="L326" t="s">
        <v>830</v>
      </c>
      <c r="M326" t="s">
        <v>26</v>
      </c>
      <c r="N326" t="s">
        <v>27</v>
      </c>
      <c r="O326" t="s">
        <v>826</v>
      </c>
      <c r="P326" t="str">
        <f t="shared" si="45"/>
        <v>2021130010011 INTEGRACION COMUNITARIA A TRAVES DEL DEPORTE COMO HERRAMIENTA PARA LA INCLUSION SOCIAL DESDE LOS DIFERENTES ENFOQUES POBLACIONALES  CARTAGENA DE INDIAS</v>
      </c>
      <c r="Q326" t="str">
        <f t="shared" si="42"/>
        <v>06</v>
      </c>
      <c r="R326" t="str">
        <f t="shared" si="43"/>
        <v>00</v>
      </c>
      <c r="S326" s="1">
        <v>58583924</v>
      </c>
      <c r="T326" s="1">
        <v>0</v>
      </c>
      <c r="U326" s="1">
        <v>58583924</v>
      </c>
      <c r="V326" s="1">
        <v>27999938</v>
      </c>
      <c r="W326" s="1">
        <v>30583986</v>
      </c>
      <c r="X326" s="1">
        <v>27999938</v>
      </c>
      <c r="Y326" s="1">
        <v>47.79</v>
      </c>
      <c r="Z326" s="1">
        <v>0</v>
      </c>
      <c r="AA326" s="1">
        <v>0</v>
      </c>
      <c r="AB326" s="1">
        <v>30583986</v>
      </c>
      <c r="AC326" s="1">
        <v>0</v>
      </c>
    </row>
    <row r="327" spans="1:29" x14ac:dyDescent="0.3">
      <c r="A327">
        <v>2022</v>
      </c>
      <c r="B327">
        <v>100</v>
      </c>
      <c r="C327" t="str">
        <f t="shared" si="41"/>
        <v>15</v>
      </c>
      <c r="D327" t="s">
        <v>793</v>
      </c>
      <c r="E327" t="str">
        <f t="shared" si="44"/>
        <v>15 INSTITUTO DE DEPORTE Y RECREACION</v>
      </c>
      <c r="F327" s="2">
        <v>2021130010011</v>
      </c>
      <c r="G327" s="2" t="str">
        <f>+VLOOKUP(F327,Hoja2!$F:$I,2,FALSE)</f>
        <v>08. PILAR CARTAGENA INCLUYENTE</v>
      </c>
      <c r="H327" s="2" t="str">
        <f>+VLOOKUP(F327,Hoja2!$F:$I,3,FALSE)</f>
        <v xml:space="preserve">8.4 LÍNEA ESTRATÉGICA DEPORTE Y RECREACIÓN PARA LA TRANSFORMACION SOCIAL </v>
      </c>
      <c r="I327" s="2" t="str">
        <f>+VLOOKUP(F327,Hoja2!$F:$I,4,FALSE)</f>
        <v>8.4.3 DEPORTE SOCIAL COMUNITARIO CON INCLUSION "CARTAGENA INCLUYENTE"</v>
      </c>
      <c r="J327" t="s">
        <v>799</v>
      </c>
      <c r="K327" t="str">
        <f>"025"</f>
        <v>025</v>
      </c>
      <c r="L327" t="s">
        <v>822</v>
      </c>
      <c r="M327" t="s">
        <v>26</v>
      </c>
      <c r="N327" t="s">
        <v>27</v>
      </c>
      <c r="O327" t="s">
        <v>826</v>
      </c>
      <c r="P327" t="str">
        <f t="shared" si="45"/>
        <v>2021130010011 INTEGRACION COMUNITARIA A TRAVES DEL DEPORTE COMO HERRAMIENTA PARA LA INCLUSION SOCIAL DESDE LOS DIFERENTES ENFOQUES POBLACIONALES  CARTAGENA DE INDIAS</v>
      </c>
      <c r="Q327" t="str">
        <f t="shared" si="42"/>
        <v>06</v>
      </c>
      <c r="R327" t="str">
        <f t="shared" si="43"/>
        <v>00</v>
      </c>
      <c r="S327" s="1">
        <v>66666671</v>
      </c>
      <c r="T327" s="1">
        <v>0</v>
      </c>
      <c r="U327" s="1">
        <v>66666671</v>
      </c>
      <c r="V327" s="1">
        <v>15000000</v>
      </c>
      <c r="W327" s="1">
        <v>51666671</v>
      </c>
      <c r="X327" s="1">
        <v>15000000</v>
      </c>
      <c r="Y327" s="1">
        <v>22.5</v>
      </c>
      <c r="Z327" s="1">
        <v>15000000</v>
      </c>
      <c r="AA327" s="1">
        <v>22.5</v>
      </c>
      <c r="AB327" s="1">
        <v>51666671</v>
      </c>
      <c r="AC327" s="1">
        <v>15000000</v>
      </c>
    </row>
    <row r="328" spans="1:29" x14ac:dyDescent="0.3">
      <c r="A328">
        <v>2022</v>
      </c>
      <c r="B328">
        <v>100</v>
      </c>
      <c r="C328" t="str">
        <f t="shared" ref="C328:C339" si="46">"11"</f>
        <v>11</v>
      </c>
      <c r="D328" t="s">
        <v>694</v>
      </c>
      <c r="E328" t="str">
        <f t="shared" si="44"/>
        <v>11 LOCALIDAD HISTORICA Y DEL CARIBE NORTE</v>
      </c>
      <c r="F328" s="2">
        <v>2021130010012</v>
      </c>
      <c r="G328" s="2" t="str">
        <f>+VLOOKUP(F328,Hoja2!$F:$I,2,FALSE)</f>
        <v>10. PILAR: CARTAGENA TRANSPARENTE</v>
      </c>
      <c r="H328" s="2" t="str">
        <f>+VLOOKUP(F328,Hoja2!$F:$I,3,FALSE)</f>
        <v>10.7 LÍNEA ESTRATÉGICA: PARTICIPACIÓN Y DESCENTRALIZACIÓN</v>
      </c>
      <c r="I328" s="2" t="str">
        <f>+VLOOKUP(F328,Hoja2!$F:$I,4,FALSE)</f>
        <v xml:space="preserve">10.7.2 PROGRAMA: MODERNIZACIÓN DEL SISTEMA DISTRITAL DE PLANEACIÓN Y DESCENTRALIZACIÓN  </v>
      </c>
      <c r="J328" t="s">
        <v>701</v>
      </c>
      <c r="K328" t="str">
        <f t="shared" ref="K328:K339" si="47">"001"</f>
        <v>001</v>
      </c>
      <c r="L328" t="s">
        <v>25</v>
      </c>
      <c r="M328" t="s">
        <v>26</v>
      </c>
      <c r="N328" t="s">
        <v>27</v>
      </c>
      <c r="O328" t="s">
        <v>702</v>
      </c>
      <c r="P328" t="str">
        <f t="shared" si="45"/>
        <v>2021130010012 IMPLEMENTACION PROYECTO MUJERES FORMADAS PARA LA PROMOCION Y EL APRENDIZAJE DE LA DETECCION TEMPRANA DEL CANCER DE CERVIX Y DE MAMA ZONA INSULAR DE LA LOCALIDAD HISTORICA Y DEL CARIBE NORTE DEL DISTRITO DE CARTAGENA DE INDIAS</v>
      </c>
      <c r="Q328" t="str">
        <f t="shared" si="42"/>
        <v>06</v>
      </c>
      <c r="R328" t="str">
        <f t="shared" si="43"/>
        <v>00</v>
      </c>
      <c r="S328" s="1">
        <v>0</v>
      </c>
      <c r="T328" s="1">
        <v>400000000</v>
      </c>
      <c r="U328" s="1">
        <v>400000000</v>
      </c>
      <c r="V328" s="1">
        <v>400000000</v>
      </c>
      <c r="W328" s="1">
        <v>0</v>
      </c>
      <c r="X328" s="1">
        <v>400000000</v>
      </c>
      <c r="Y328" s="1">
        <v>100</v>
      </c>
      <c r="Z328" s="1">
        <v>400000000</v>
      </c>
      <c r="AA328" s="1">
        <v>100</v>
      </c>
      <c r="AB328" s="1">
        <v>0</v>
      </c>
      <c r="AC328" s="1">
        <v>400000000</v>
      </c>
    </row>
    <row r="329" spans="1:29" x14ac:dyDescent="0.3">
      <c r="A329">
        <v>2022</v>
      </c>
      <c r="B329">
        <v>100</v>
      </c>
      <c r="C329" t="str">
        <f t="shared" si="46"/>
        <v>11</v>
      </c>
      <c r="D329" t="s">
        <v>694</v>
      </c>
      <c r="E329" t="str">
        <f t="shared" si="44"/>
        <v>11 LOCALIDAD HISTORICA Y DEL CARIBE NORTE</v>
      </c>
      <c r="F329" s="2">
        <v>2021130010013</v>
      </c>
      <c r="G329" s="2" t="str">
        <f>+VLOOKUP(F329,Hoja2!$F:$I,2,FALSE)</f>
        <v>10. PILAR: CARTAGENA TRANSPARENTE</v>
      </c>
      <c r="H329" s="2" t="str">
        <f>+VLOOKUP(F329,Hoja2!$F:$I,3,FALSE)</f>
        <v>10.7 LÍNEA ESTRATÉGICA: PARTICIPACIÓN Y DESCENTRALIZACIÓN</v>
      </c>
      <c r="I329" s="2" t="str">
        <f>+VLOOKUP(F329,Hoja2!$F:$I,4,FALSE)</f>
        <v xml:space="preserve">10.7.2 PROGRAMA: MODERNIZACIÓN DEL SISTEMA DISTRITAL DE PLANEACIÓN Y DESCENTRALIZACIÓN  </v>
      </c>
      <c r="J329" t="s">
        <v>709</v>
      </c>
      <c r="K329" t="str">
        <f t="shared" si="47"/>
        <v>001</v>
      </c>
      <c r="L329" t="s">
        <v>25</v>
      </c>
      <c r="M329" t="s">
        <v>26</v>
      </c>
      <c r="N329" t="s">
        <v>27</v>
      </c>
      <c r="O329" t="s">
        <v>710</v>
      </c>
      <c r="P329" t="str">
        <f t="shared" si="45"/>
        <v>2021130010013 IMPLEMENTACION PROYECTO CREAR Y FORTALECER UNIDADES PRODUCTIVAS CON CAPITAL SEMILLA PARA LA POBLACION DE LA LOCALIDAD HISTORICA Y DEL CARIBE NORTE</v>
      </c>
      <c r="Q329" t="str">
        <f t="shared" si="42"/>
        <v>06</v>
      </c>
      <c r="R329" t="str">
        <f t="shared" si="43"/>
        <v>00</v>
      </c>
      <c r="S329" s="1">
        <v>0</v>
      </c>
      <c r="T329" s="1">
        <v>430974335.47000003</v>
      </c>
      <c r="U329" s="1">
        <v>430974335.47000003</v>
      </c>
      <c r="V329" s="1">
        <v>430974335.47000003</v>
      </c>
      <c r="W329" s="1">
        <v>0</v>
      </c>
      <c r="X329" s="1">
        <v>429740000</v>
      </c>
      <c r="Y329" s="1">
        <v>99.71</v>
      </c>
      <c r="Z329" s="1">
        <v>429740000</v>
      </c>
      <c r="AA329" s="1">
        <v>99.71</v>
      </c>
      <c r="AB329" s="1">
        <v>1234335.47</v>
      </c>
      <c r="AC329" s="1">
        <v>429740000</v>
      </c>
    </row>
    <row r="330" spans="1:29" x14ac:dyDescent="0.3">
      <c r="A330">
        <v>2022</v>
      </c>
      <c r="B330">
        <v>100</v>
      </c>
      <c r="C330" t="str">
        <f t="shared" si="46"/>
        <v>11</v>
      </c>
      <c r="D330" t="s">
        <v>694</v>
      </c>
      <c r="E330" t="str">
        <f t="shared" si="44"/>
        <v>11 LOCALIDAD HISTORICA Y DEL CARIBE NORTE</v>
      </c>
      <c r="F330" s="2">
        <v>2021130010014</v>
      </c>
      <c r="G330" s="2" t="str">
        <f>+VLOOKUP(F330,Hoja2!$F:$I,2,FALSE)</f>
        <v>10. PILAR: CARTAGENA TRANSPARENTE</v>
      </c>
      <c r="H330" s="2" t="str">
        <f>+VLOOKUP(F330,Hoja2!$F:$I,3,FALSE)</f>
        <v>10.7 LÍNEA ESTRATÉGICA: PARTICIPACIÓN Y DESCENTRALIZACIÓN</v>
      </c>
      <c r="I330" s="2" t="str">
        <f>+VLOOKUP(F330,Hoja2!$F:$I,4,FALSE)</f>
        <v xml:space="preserve">10.7.2 PROGRAMA: MODERNIZACIÓN DEL SISTEMA DISTRITAL DE PLANEACIÓN Y DESCENTRALIZACIÓN  </v>
      </c>
      <c r="J330" t="s">
        <v>721</v>
      </c>
      <c r="K330" t="str">
        <f t="shared" si="47"/>
        <v>001</v>
      </c>
      <c r="L330" t="s">
        <v>25</v>
      </c>
      <c r="M330" t="s">
        <v>26</v>
      </c>
      <c r="N330" t="s">
        <v>27</v>
      </c>
      <c r="O330" t="s">
        <v>722</v>
      </c>
      <c r="P330" t="str">
        <f t="shared" si="45"/>
        <v>2021130010014 IMPLEMENTACION PROYECTO MUJERES FORMADAS PARA LA PROMOCION DE SUS DERECHOS SEXUALES Y REPRODUCTIVOS Y LA IGUALDAD DE GENERO ZONA INSULAR O URBANA DE LA LOCALIDAD HISTORICA Y DEL CARIBE NORTE DEL DISTRITO DE CARTAGENA DE INDIAS</v>
      </c>
      <c r="Q330" t="str">
        <f t="shared" si="42"/>
        <v>06</v>
      </c>
      <c r="R330" t="str">
        <f t="shared" si="43"/>
        <v>00</v>
      </c>
      <c r="S330" s="1">
        <v>0</v>
      </c>
      <c r="T330" s="1">
        <v>500000000</v>
      </c>
      <c r="U330" s="1">
        <v>500000000</v>
      </c>
      <c r="V330" s="1">
        <v>500000000</v>
      </c>
      <c r="W330" s="1">
        <v>0</v>
      </c>
      <c r="X330" s="1">
        <v>500000000</v>
      </c>
      <c r="Y330" s="1">
        <v>100</v>
      </c>
      <c r="Z330" s="1">
        <v>500000000</v>
      </c>
      <c r="AA330" s="1">
        <v>100</v>
      </c>
      <c r="AB330" s="1">
        <v>0</v>
      </c>
      <c r="AC330" s="1">
        <v>500000000</v>
      </c>
    </row>
    <row r="331" spans="1:29" x14ac:dyDescent="0.3">
      <c r="A331">
        <v>2022</v>
      </c>
      <c r="B331">
        <v>100</v>
      </c>
      <c r="C331" t="str">
        <f t="shared" si="46"/>
        <v>11</v>
      </c>
      <c r="D331" t="s">
        <v>694</v>
      </c>
      <c r="E331" t="str">
        <f t="shared" si="44"/>
        <v>11 LOCALIDAD HISTORICA Y DEL CARIBE NORTE</v>
      </c>
      <c r="F331" s="2">
        <v>2021130010015</v>
      </c>
      <c r="G331" s="2" t="str">
        <f>+VLOOKUP(F331,Hoja2!$F:$I,2,FALSE)</f>
        <v>10. PILAR: CARTAGENA TRANSPARENTE</v>
      </c>
      <c r="H331" s="2" t="str">
        <f>+VLOOKUP(F331,Hoja2!$F:$I,3,FALSE)</f>
        <v>10.7 LÍNEA ESTRATÉGICA: PARTICIPACIÓN Y DESCENTRALIZACIÓN</v>
      </c>
      <c r="I331" s="2" t="str">
        <f>+VLOOKUP(F331,Hoja2!$F:$I,4,FALSE)</f>
        <v xml:space="preserve">10.7.2 PROGRAMA: MODERNIZACIÓN DEL SISTEMA DISTRITAL DE PLANEACIÓN Y DESCENTRALIZACIÓN  </v>
      </c>
      <c r="J331" t="s">
        <v>731</v>
      </c>
      <c r="K331" t="str">
        <f t="shared" si="47"/>
        <v>001</v>
      </c>
      <c r="L331" t="s">
        <v>25</v>
      </c>
      <c r="M331" t="s">
        <v>26</v>
      </c>
      <c r="N331" t="s">
        <v>27</v>
      </c>
      <c r="O331" t="s">
        <v>732</v>
      </c>
      <c r="P331" t="str">
        <f t="shared" si="45"/>
        <v>2021130010015 IMPLEMENTACION DEL PROYECTO DE CAPACITACION A LOS HABITANTES (MUJERES) DE LA LOCALIDAD HISTORICA Y DEL CARIBE NORTE EN EL EMPRENDIMIENTO Y ENCADENAMIENTO PRODUCTIVO INCORPORADO EL ENFOQUE DIFERENCIAL EN EL DISTRITO DE CARTAGENA DE INDIAS,</v>
      </c>
      <c r="Q331" t="str">
        <f t="shared" si="42"/>
        <v>06</v>
      </c>
      <c r="R331" t="str">
        <f t="shared" si="43"/>
        <v>00</v>
      </c>
      <c r="S331" s="1">
        <v>0</v>
      </c>
      <c r="T331" s="1">
        <v>500000000</v>
      </c>
      <c r="U331" s="1">
        <v>500000000</v>
      </c>
      <c r="V331" s="1">
        <v>500000000</v>
      </c>
      <c r="W331" s="1">
        <v>0</v>
      </c>
      <c r="X331" s="1">
        <v>496990000</v>
      </c>
      <c r="Y331" s="1">
        <v>99.4</v>
      </c>
      <c r="Z331" s="1">
        <v>496990000</v>
      </c>
      <c r="AA331" s="1">
        <v>99.4</v>
      </c>
      <c r="AB331" s="1">
        <v>3010000</v>
      </c>
      <c r="AC331" s="1">
        <v>496990000</v>
      </c>
    </row>
    <row r="332" spans="1:29" x14ac:dyDescent="0.3">
      <c r="A332">
        <v>2022</v>
      </c>
      <c r="B332">
        <v>100</v>
      </c>
      <c r="C332" t="str">
        <f t="shared" si="46"/>
        <v>11</v>
      </c>
      <c r="D332" t="s">
        <v>694</v>
      </c>
      <c r="E332" t="str">
        <f t="shared" si="44"/>
        <v>11 LOCALIDAD HISTORICA Y DEL CARIBE NORTE</v>
      </c>
      <c r="F332" s="2">
        <v>2021130010017</v>
      </c>
      <c r="G332" s="2" t="str">
        <f>+VLOOKUP(F332,Hoja2!$F:$I,2,FALSE)</f>
        <v>10. PILAR: CARTAGENA TRANSPARENTE</v>
      </c>
      <c r="H332" s="2" t="str">
        <f>+VLOOKUP(F332,Hoja2!$F:$I,3,FALSE)</f>
        <v>10.7 LÍNEA ESTRATÉGICA: PARTICIPACIÓN Y DESCENTRALIZACIÓN</v>
      </c>
      <c r="I332" s="2" t="str">
        <f>+VLOOKUP(F332,Hoja2!$F:$I,4,FALSE)</f>
        <v xml:space="preserve">10.7.2 PROGRAMA: MODERNIZACIÓN DEL SISTEMA DISTRITAL DE PLANEACIÓN Y DESCENTRALIZACIÓN  </v>
      </c>
      <c r="J332" t="s">
        <v>711</v>
      </c>
      <c r="K332" t="str">
        <f t="shared" si="47"/>
        <v>001</v>
      </c>
      <c r="L332" t="s">
        <v>25</v>
      </c>
      <c r="M332" t="s">
        <v>26</v>
      </c>
      <c r="N332" t="s">
        <v>27</v>
      </c>
      <c r="O332" t="s">
        <v>712</v>
      </c>
      <c r="P332" t="str">
        <f t="shared" si="45"/>
        <v xml:space="preserve">2021130010017 IMPLEMENTACION DEL PROYECTO EMPRENDIMIENTO Y GESTION DE LA EMPLEABILIDAD EN LOCALIDAD HISTORICA Y DEL CARIBE NORTE EN EL DISTRITO DE CARTAGENA DE INDIAS, </v>
      </c>
      <c r="Q332" t="str">
        <f t="shared" si="42"/>
        <v>06</v>
      </c>
      <c r="R332" t="str">
        <f t="shared" si="43"/>
        <v>00</v>
      </c>
      <c r="S332" s="1">
        <v>0</v>
      </c>
      <c r="T332" s="1">
        <v>1300000000</v>
      </c>
      <c r="U332" s="1">
        <v>1300000000</v>
      </c>
      <c r="V332" s="1">
        <v>1300000000</v>
      </c>
      <c r="W332" s="1">
        <v>0</v>
      </c>
      <c r="X332" s="1">
        <v>1300000000</v>
      </c>
      <c r="Y332" s="1">
        <v>100</v>
      </c>
      <c r="Z332" s="1">
        <v>1300000000</v>
      </c>
      <c r="AA332" s="1">
        <v>100</v>
      </c>
      <c r="AB332" s="1">
        <v>0</v>
      </c>
      <c r="AC332" s="1">
        <v>1300000000</v>
      </c>
    </row>
    <row r="333" spans="1:29" x14ac:dyDescent="0.3">
      <c r="A333">
        <v>2022</v>
      </c>
      <c r="B333">
        <v>100</v>
      </c>
      <c r="C333" t="str">
        <f t="shared" si="46"/>
        <v>11</v>
      </c>
      <c r="D333" t="s">
        <v>694</v>
      </c>
      <c r="E333" t="str">
        <f t="shared" si="44"/>
        <v>11 LOCALIDAD HISTORICA Y DEL CARIBE NORTE</v>
      </c>
      <c r="F333" s="2">
        <v>2021130010018</v>
      </c>
      <c r="G333" s="2" t="str">
        <f>+VLOOKUP(F333,Hoja2!$F:$I,2,FALSE)</f>
        <v>10. PILAR: CARTAGENA TRANSPARENTE</v>
      </c>
      <c r="H333" s="2" t="str">
        <f>+VLOOKUP(F333,Hoja2!$F:$I,3,FALSE)</f>
        <v>10.7 LÍNEA ESTRATÉGICA: PARTICIPACIÓN Y DESCENTRALIZACIÓN</v>
      </c>
      <c r="I333" s="2" t="str">
        <f>+VLOOKUP(F333,Hoja2!$F:$I,4,FALSE)</f>
        <v xml:space="preserve">10.7.2 PROGRAMA: MODERNIZACIÓN DEL SISTEMA DISTRITAL DE PLANEACIÓN Y DESCENTRALIZACIÓN  </v>
      </c>
      <c r="J333" t="s">
        <v>727</v>
      </c>
      <c r="K333" t="str">
        <f t="shared" si="47"/>
        <v>001</v>
      </c>
      <c r="L333" t="s">
        <v>25</v>
      </c>
      <c r="M333" t="s">
        <v>26</v>
      </c>
      <c r="N333" t="s">
        <v>27</v>
      </c>
      <c r="O333" t="s">
        <v>728</v>
      </c>
      <c r="P333" t="str">
        <f t="shared" si="45"/>
        <v xml:space="preserve">2021130010018 IMPLEMENTACION DEL PROYECTO PARA CAPACITAR Y FORMAR A CUIDADORES DE PERSONAS EN CONDICION DE DISCAPACIDAD EN LA LOCALIDAD HISTORICA Y DEL CARIBE NORTE DEL DISTRITO DE CARTAGENA DE INDIAS, </v>
      </c>
      <c r="Q333" t="str">
        <f t="shared" si="42"/>
        <v>06</v>
      </c>
      <c r="R333" t="str">
        <f t="shared" si="43"/>
        <v>00</v>
      </c>
      <c r="S333" s="1">
        <v>0</v>
      </c>
      <c r="T333" s="1">
        <v>700000000</v>
      </c>
      <c r="U333" s="1">
        <v>700000000</v>
      </c>
      <c r="V333" s="1">
        <v>700000000</v>
      </c>
      <c r="W333" s="1">
        <v>0</v>
      </c>
      <c r="X333" s="1">
        <v>700000000</v>
      </c>
      <c r="Y333" s="1">
        <v>100</v>
      </c>
      <c r="Z333" s="1">
        <v>700000000</v>
      </c>
      <c r="AA333" s="1">
        <v>100</v>
      </c>
      <c r="AB333" s="1">
        <v>0</v>
      </c>
      <c r="AC333" s="1">
        <v>700000000</v>
      </c>
    </row>
    <row r="334" spans="1:29" x14ac:dyDescent="0.3">
      <c r="A334">
        <v>2022</v>
      </c>
      <c r="B334">
        <v>100</v>
      </c>
      <c r="C334" t="str">
        <f t="shared" si="46"/>
        <v>11</v>
      </c>
      <c r="D334" t="s">
        <v>694</v>
      </c>
      <c r="E334" t="str">
        <f t="shared" si="44"/>
        <v>11 LOCALIDAD HISTORICA Y DEL CARIBE NORTE</v>
      </c>
      <c r="F334" s="2">
        <v>2021130010019</v>
      </c>
      <c r="G334" s="2" t="str">
        <f>+VLOOKUP(F334,Hoja2!$F:$I,2,FALSE)</f>
        <v>10. PILAR: CARTAGENA TRANSPARENTE</v>
      </c>
      <c r="H334" s="2" t="str">
        <f>+VLOOKUP(F334,Hoja2!$F:$I,3,FALSE)</f>
        <v>10.7 LÍNEA ESTRATÉGICA: PARTICIPACIÓN Y DESCENTRALIZACIÓN</v>
      </c>
      <c r="I334" s="2" t="str">
        <f>+VLOOKUP(F334,Hoja2!$F:$I,4,FALSE)</f>
        <v xml:space="preserve">10.7.2 PROGRAMA: MODERNIZACIÓN DEL SISTEMA DISTRITAL DE PLANEACIÓN Y DESCENTRALIZACIÓN  </v>
      </c>
      <c r="J334" t="s">
        <v>707</v>
      </c>
      <c r="K334" t="str">
        <f t="shared" si="47"/>
        <v>001</v>
      </c>
      <c r="L334" t="s">
        <v>25</v>
      </c>
      <c r="M334" t="s">
        <v>26</v>
      </c>
      <c r="N334" t="s">
        <v>27</v>
      </c>
      <c r="O334" t="s">
        <v>708</v>
      </c>
      <c r="P334" t="str">
        <f t="shared" si="45"/>
        <v xml:space="preserve">2021130010019 IMPLEMENTACION PROYECTO APOYANDO EL IMPULSO DE GRUPOS CULTURALES DE LA LOCALIDAD, HISTORICA Y DEL CARIBENORTE  </v>
      </c>
      <c r="Q334" t="str">
        <f t="shared" si="42"/>
        <v>06</v>
      </c>
      <c r="R334" t="str">
        <f t="shared" si="43"/>
        <v>00</v>
      </c>
      <c r="S334" s="1">
        <v>0</v>
      </c>
      <c r="T334" s="1">
        <v>500000000</v>
      </c>
      <c r="U334" s="1">
        <v>500000000</v>
      </c>
      <c r="V334" s="1">
        <v>500000000</v>
      </c>
      <c r="W334" s="1">
        <v>0</v>
      </c>
      <c r="X334" s="1">
        <v>500000000</v>
      </c>
      <c r="Y334" s="1">
        <v>100</v>
      </c>
      <c r="Z334" s="1">
        <v>500000000</v>
      </c>
      <c r="AA334" s="1">
        <v>100</v>
      </c>
      <c r="AB334" s="1">
        <v>0</v>
      </c>
      <c r="AC334" s="1">
        <v>500000000</v>
      </c>
    </row>
    <row r="335" spans="1:29" x14ac:dyDescent="0.3">
      <c r="A335">
        <v>2022</v>
      </c>
      <c r="B335">
        <v>100</v>
      </c>
      <c r="C335" t="str">
        <f t="shared" si="46"/>
        <v>11</v>
      </c>
      <c r="D335" t="s">
        <v>694</v>
      </c>
      <c r="E335" t="str">
        <f t="shared" si="44"/>
        <v>11 LOCALIDAD HISTORICA Y DEL CARIBE NORTE</v>
      </c>
      <c r="F335" s="2">
        <v>2021130010020</v>
      </c>
      <c r="G335" s="2" t="str">
        <f>+VLOOKUP(F335,Hoja2!$F:$I,2,FALSE)</f>
        <v>10. PILAR: CARTAGENA TRANSPARENTE</v>
      </c>
      <c r="H335" s="2" t="str">
        <f>+VLOOKUP(F335,Hoja2!$F:$I,3,FALSE)</f>
        <v>10.7 LÍNEA ESTRATÉGICA: PARTICIPACIÓN Y DESCENTRALIZACIÓN</v>
      </c>
      <c r="I335" s="2" t="str">
        <f>+VLOOKUP(F335,Hoja2!$F:$I,4,FALSE)</f>
        <v xml:space="preserve">10.7.2 PROGRAMA: MODERNIZACIÓN DEL SISTEMA DISTRITAL DE PLANEACIÓN Y DESCENTRALIZACIÓN  </v>
      </c>
      <c r="J335" t="s">
        <v>713</v>
      </c>
      <c r="K335" t="str">
        <f t="shared" si="47"/>
        <v>001</v>
      </c>
      <c r="L335" t="s">
        <v>25</v>
      </c>
      <c r="M335" t="s">
        <v>26</v>
      </c>
      <c r="N335" t="s">
        <v>27</v>
      </c>
      <c r="O335" t="s">
        <v>714</v>
      </c>
      <c r="P335" t="str">
        <f t="shared" si="45"/>
        <v>2021130010020 APLICACION PROMOCION DEL EMPRENDIMIENTO JUVENIL EN ZONA INSULAR DE LA LOCALIDAD HISTORICA Y DEL CARIBE NORTE DEL DISTRITO DE CARTAGENA DE INDIAS</v>
      </c>
      <c r="Q335" t="str">
        <f t="shared" si="42"/>
        <v>06</v>
      </c>
      <c r="R335" t="str">
        <f t="shared" si="43"/>
        <v>00</v>
      </c>
      <c r="S335" s="1">
        <v>0</v>
      </c>
      <c r="T335" s="1">
        <v>300000000</v>
      </c>
      <c r="U335" s="1">
        <v>300000000</v>
      </c>
      <c r="V335" s="1">
        <v>300000000</v>
      </c>
      <c r="W335" s="1">
        <v>0</v>
      </c>
      <c r="X335" s="1">
        <v>300000000</v>
      </c>
      <c r="Y335" s="1">
        <v>100</v>
      </c>
      <c r="Z335" s="1">
        <v>300000000</v>
      </c>
      <c r="AA335" s="1">
        <v>100</v>
      </c>
      <c r="AB335" s="1">
        <v>0</v>
      </c>
      <c r="AC335" s="1">
        <v>300000000</v>
      </c>
    </row>
    <row r="336" spans="1:29" x14ac:dyDescent="0.3">
      <c r="A336">
        <v>2022</v>
      </c>
      <c r="B336">
        <v>100</v>
      </c>
      <c r="C336" t="str">
        <f t="shared" si="46"/>
        <v>11</v>
      </c>
      <c r="D336" t="s">
        <v>694</v>
      </c>
      <c r="E336" t="str">
        <f t="shared" si="44"/>
        <v>11 LOCALIDAD HISTORICA Y DEL CARIBE NORTE</v>
      </c>
      <c r="F336" s="2">
        <v>2021130010021</v>
      </c>
      <c r="G336" s="2" t="str">
        <f>+VLOOKUP(F336,Hoja2!$F:$I,2,FALSE)</f>
        <v>10. PILAR: CARTAGENA TRANSPARENTE</v>
      </c>
      <c r="H336" s="2" t="str">
        <f>+VLOOKUP(F336,Hoja2!$F:$I,3,FALSE)</f>
        <v>10.7 LÍNEA ESTRATÉGICA: PARTICIPACIÓN Y DESCENTRALIZACIÓN</v>
      </c>
      <c r="I336" s="2" t="str">
        <f>+VLOOKUP(F336,Hoja2!$F:$I,4,FALSE)</f>
        <v xml:space="preserve">10.7.2 PROGRAMA: MODERNIZACIÓN DEL SISTEMA DISTRITAL DE PLANEACIÓN Y DESCENTRALIZACIÓN  </v>
      </c>
      <c r="J336" t="s">
        <v>723</v>
      </c>
      <c r="K336" t="str">
        <f t="shared" si="47"/>
        <v>001</v>
      </c>
      <c r="L336" t="s">
        <v>25</v>
      </c>
      <c r="M336" t="s">
        <v>26</v>
      </c>
      <c r="N336" t="s">
        <v>27</v>
      </c>
      <c r="O336" t="s">
        <v>724</v>
      </c>
      <c r="P336" t="str">
        <f t="shared" si="45"/>
        <v>2021130010021 APLICACION PROMOCION A EL FORTALECIMIENTO Y FORMACION A FRENTES DE SEGURIDAD DE LA LOCALIDAD HISTORICA Y DEL CARIBE NORTE</v>
      </c>
      <c r="Q336" t="str">
        <f t="shared" si="42"/>
        <v>06</v>
      </c>
      <c r="R336" t="str">
        <f t="shared" si="43"/>
        <v>00</v>
      </c>
      <c r="S336" s="1">
        <v>0</v>
      </c>
      <c r="T336" s="1">
        <v>1200000000</v>
      </c>
      <c r="U336" s="1">
        <v>1200000000</v>
      </c>
      <c r="V336" s="1">
        <v>1200000000</v>
      </c>
      <c r="W336" s="1">
        <v>0</v>
      </c>
      <c r="X336" s="1">
        <v>1200000000</v>
      </c>
      <c r="Y336" s="1">
        <v>100</v>
      </c>
      <c r="Z336" s="1">
        <v>600000000</v>
      </c>
      <c r="AA336" s="1">
        <v>50</v>
      </c>
      <c r="AB336" s="1">
        <v>0</v>
      </c>
      <c r="AC336" s="1">
        <v>600000000</v>
      </c>
    </row>
    <row r="337" spans="1:29" x14ac:dyDescent="0.3">
      <c r="A337">
        <v>2022</v>
      </c>
      <c r="B337">
        <v>100</v>
      </c>
      <c r="C337" t="str">
        <f t="shared" si="46"/>
        <v>11</v>
      </c>
      <c r="D337" t="s">
        <v>694</v>
      </c>
      <c r="E337" t="str">
        <f t="shared" si="44"/>
        <v>11 LOCALIDAD HISTORICA Y DEL CARIBE NORTE</v>
      </c>
      <c r="F337" s="2">
        <v>2021130010022</v>
      </c>
      <c r="G337" s="2" t="str">
        <f>+VLOOKUP(F337,Hoja2!$F:$I,2,FALSE)</f>
        <v>10. PILAR: CARTAGENA TRANSPARENTE</v>
      </c>
      <c r="H337" s="2" t="str">
        <f>+VLOOKUP(F337,Hoja2!$F:$I,3,FALSE)</f>
        <v>10.7 LÍNEA ESTRATÉGICA: PARTICIPACIÓN Y DESCENTRALIZACIÓN</v>
      </c>
      <c r="I337" s="2" t="str">
        <f>+VLOOKUP(F337,Hoja2!$F:$I,4,FALSE)</f>
        <v xml:space="preserve">10.7.2 PROGRAMA: MODERNIZACIÓN DEL SISTEMA DISTRITAL DE PLANEACIÓN Y DESCENTRALIZACIÓN  </v>
      </c>
      <c r="J337" t="s">
        <v>725</v>
      </c>
      <c r="K337" t="str">
        <f t="shared" si="47"/>
        <v>001</v>
      </c>
      <c r="L337" t="s">
        <v>25</v>
      </c>
      <c r="M337" t="s">
        <v>26</v>
      </c>
      <c r="N337" t="s">
        <v>27</v>
      </c>
      <c r="O337" t="s">
        <v>726</v>
      </c>
      <c r="P337" t="str">
        <f t="shared" si="45"/>
        <v>2021130010022 IMPLEMENTACION PROYECTO DE FORMACION EN CONVIVENCIA Y PAZ PARA LOS MIEMBROS DE JAC Y LOS FUNCIONARIOS DE LA ALCALDIA LOCAL LHCN</v>
      </c>
      <c r="Q337" t="str">
        <f t="shared" si="42"/>
        <v>06</v>
      </c>
      <c r="R337" t="str">
        <f t="shared" si="43"/>
        <v>00</v>
      </c>
      <c r="S337" s="1">
        <v>0</v>
      </c>
      <c r="T337" s="1">
        <v>400000000</v>
      </c>
      <c r="U337" s="1">
        <v>400000000</v>
      </c>
      <c r="V337" s="1">
        <v>400000000</v>
      </c>
      <c r="W337" s="1">
        <v>0</v>
      </c>
      <c r="X337" s="1">
        <v>400000000</v>
      </c>
      <c r="Y337" s="1">
        <v>100</v>
      </c>
      <c r="Z337" s="1">
        <v>400000000</v>
      </c>
      <c r="AA337" s="1">
        <v>100</v>
      </c>
      <c r="AB337" s="1">
        <v>0</v>
      </c>
      <c r="AC337" s="1">
        <v>400000000</v>
      </c>
    </row>
    <row r="338" spans="1:29" x14ac:dyDescent="0.3">
      <c r="A338">
        <v>2022</v>
      </c>
      <c r="B338">
        <v>100</v>
      </c>
      <c r="C338" t="str">
        <f t="shared" si="46"/>
        <v>11</v>
      </c>
      <c r="D338" t="s">
        <v>694</v>
      </c>
      <c r="E338" t="str">
        <f t="shared" si="44"/>
        <v>11 LOCALIDAD HISTORICA Y DEL CARIBE NORTE</v>
      </c>
      <c r="F338" s="2">
        <v>2021130010023</v>
      </c>
      <c r="G338" s="2" t="str">
        <f>+VLOOKUP(F338,Hoja2!$F:$I,2,FALSE)</f>
        <v>10. PILAR: CARTAGENA TRANSPARENTE</v>
      </c>
      <c r="H338" s="2" t="str">
        <f>+VLOOKUP(F338,Hoja2!$F:$I,3,FALSE)</f>
        <v>10.7 LÍNEA ESTRATÉGICA: PARTICIPACIÓN Y DESCENTRALIZACIÓN</v>
      </c>
      <c r="I338" s="2" t="str">
        <f>+VLOOKUP(F338,Hoja2!$F:$I,4,FALSE)</f>
        <v xml:space="preserve">10.7.2 PROGRAMA: MODERNIZACIÓN DEL SISTEMA DISTRITAL DE PLANEACIÓN Y DESCENTRALIZACIÓN  </v>
      </c>
      <c r="J338" t="s">
        <v>729</v>
      </c>
      <c r="K338" t="str">
        <f t="shared" si="47"/>
        <v>001</v>
      </c>
      <c r="L338" t="s">
        <v>25</v>
      </c>
      <c r="M338" t="s">
        <v>26</v>
      </c>
      <c r="N338" t="s">
        <v>27</v>
      </c>
      <c r="O338" t="s">
        <v>730</v>
      </c>
      <c r="P338" t="str">
        <f t="shared" si="45"/>
        <v>2021130010023 APLICACION PROMOCION DEL EMPRENDIMIEN A PROYECTOS PRODUCTIVOS, QUE INCLUYAN CAPITAL SEMILLA EN POBLACION NEGRA, AFROCOLOMBIANA, RAIZAL EN ZONA INSULAR O URBANA DE LA LOCALIDAD HISTORICA Y DEL CARIBE NORTE DISTRITO DE CARTAGENA DE INDIAS</v>
      </c>
      <c r="Q338" t="str">
        <f t="shared" si="42"/>
        <v>06</v>
      </c>
      <c r="R338" t="str">
        <f t="shared" si="43"/>
        <v>00</v>
      </c>
      <c r="S338" s="1">
        <v>0</v>
      </c>
      <c r="T338" s="1">
        <v>400000000.10000002</v>
      </c>
      <c r="U338" s="1">
        <v>400000000.10000002</v>
      </c>
      <c r="V338" s="1">
        <v>400000000</v>
      </c>
      <c r="W338" s="1">
        <v>0.1</v>
      </c>
      <c r="X338" s="1">
        <v>400000000</v>
      </c>
      <c r="Y338" s="1">
        <v>100</v>
      </c>
      <c r="Z338" s="1">
        <v>400000000</v>
      </c>
      <c r="AA338" s="1">
        <v>100</v>
      </c>
      <c r="AB338" s="1">
        <v>0.1</v>
      </c>
      <c r="AC338" s="1">
        <v>400000000</v>
      </c>
    </row>
    <row r="339" spans="1:29" x14ac:dyDescent="0.3">
      <c r="A339">
        <v>2022</v>
      </c>
      <c r="B339">
        <v>100</v>
      </c>
      <c r="C339" t="str">
        <f t="shared" si="46"/>
        <v>11</v>
      </c>
      <c r="D339" t="s">
        <v>694</v>
      </c>
      <c r="E339" t="str">
        <f t="shared" si="44"/>
        <v>11 LOCALIDAD HISTORICA Y DEL CARIBE NORTE</v>
      </c>
      <c r="F339" s="2">
        <v>2021130010025</v>
      </c>
      <c r="G339" s="2" t="str">
        <f>+VLOOKUP(F339,Hoja2!$F:$I,2,FALSE)</f>
        <v>10. PILAR: CARTAGENA TRANSPARENTE</v>
      </c>
      <c r="H339" s="2" t="str">
        <f>+VLOOKUP(F339,Hoja2!$F:$I,3,FALSE)</f>
        <v>10.7 LÍNEA ESTRATÉGICA: PARTICIPACIÓN Y DESCENTRALIZACIÓN</v>
      </c>
      <c r="I339" s="2" t="str">
        <f>+VLOOKUP(F339,Hoja2!$F:$I,4,FALSE)</f>
        <v xml:space="preserve">10.7.2 PROGRAMA: MODERNIZACIÓN DEL SISTEMA DISTRITAL DE PLANEACIÓN Y DESCENTRALIZACIÓN  </v>
      </c>
      <c r="J339" t="s">
        <v>697</v>
      </c>
      <c r="K339" t="str">
        <f t="shared" si="47"/>
        <v>001</v>
      </c>
      <c r="L339" t="s">
        <v>25</v>
      </c>
      <c r="M339" t="s">
        <v>26</v>
      </c>
      <c r="N339" t="s">
        <v>27</v>
      </c>
      <c r="O339" t="s">
        <v>698</v>
      </c>
      <c r="P339" t="str">
        <f t="shared" si="45"/>
        <v>2021130010025 ELABORACION DE ESTUDIOS Y DISE?OS PARA VIAS EN LOS BARRIOS DE LA LOCALIDAD HISTORICA Y DEL CARIBE NORTE DEL DISTRITO DE CARTAGENA</v>
      </c>
      <c r="Q339" t="str">
        <f t="shared" si="42"/>
        <v>06</v>
      </c>
      <c r="R339" t="str">
        <f t="shared" si="43"/>
        <v>00</v>
      </c>
      <c r="S339" s="1">
        <v>0</v>
      </c>
      <c r="T339" s="1">
        <v>900000000</v>
      </c>
      <c r="U339" s="1">
        <v>900000000</v>
      </c>
      <c r="V339" s="1">
        <v>900000000</v>
      </c>
      <c r="W339" s="1">
        <v>0</v>
      </c>
      <c r="X339" s="1">
        <v>899640000</v>
      </c>
      <c r="Y339" s="1">
        <v>99.96</v>
      </c>
      <c r="Z339" s="1">
        <v>899640000</v>
      </c>
      <c r="AA339" s="1">
        <v>99.96</v>
      </c>
      <c r="AB339" s="1">
        <v>360000</v>
      </c>
      <c r="AC339" s="1">
        <v>899640000</v>
      </c>
    </row>
    <row r="340" spans="1:29" x14ac:dyDescent="0.3">
      <c r="A340">
        <v>2022</v>
      </c>
      <c r="B340">
        <v>100</v>
      </c>
      <c r="C340" t="str">
        <f>"06"</f>
        <v>06</v>
      </c>
      <c r="D340" t="s">
        <v>375</v>
      </c>
      <c r="E340" t="str">
        <f t="shared" si="44"/>
        <v>06 SECRETARIA DE INFRAESTRUCTURA</v>
      </c>
      <c r="F340" s="2">
        <v>2021130010035</v>
      </c>
      <c r="G340" s="2" t="str">
        <f>+VLOOKUP(F340,Hoja2!$F:$I,2,FALSE)</f>
        <v>07. PILAR CARTAGENA RESILIENTE</v>
      </c>
      <c r="H340" s="2" t="str">
        <f>+VLOOKUP(F340,Hoja2!$F:$I,3,FALSE)</f>
        <v>7.7 LÍNEA ESTRATÉGICA INSTRUMENTOS DE ORDENAMIENTO TERRITORIAL.</v>
      </c>
      <c r="I340" s="2" t="str">
        <f>+VLOOKUP(F340,Hoja2!$F:$I,4,FALSE)</f>
        <v>7.7.3 ORDENACIÓN TERRITORIAL Y  RECUPERACIÓN SOCIAL, AMBIENTAL Y URBANA DE LA CIÉNAGA DE LA VIRGEN.</v>
      </c>
      <c r="J340" t="s">
        <v>391</v>
      </c>
      <c r="K340" t="str">
        <f>"138"</f>
        <v>138</v>
      </c>
      <c r="L340" t="s">
        <v>186</v>
      </c>
      <c r="M340" t="s">
        <v>26</v>
      </c>
      <c r="N340" t="s">
        <v>27</v>
      </c>
      <c r="O340" t="s">
        <v>392</v>
      </c>
      <c r="P340" t="str">
        <f t="shared" si="45"/>
        <v>2021130010035 ELABORACION DE ESTUDIOS Y DISE?OS AJUSTADOS DE LA VIA PERIMETRAL EN EL MARCO DEL PROGRAMA ORDENACION TERRITORIAL Y RECUPERACION SOCIAL AMBIENTAL Y URBANA DE LA CIENAGA DE LA VIRGEN EN EL DISTRITO DE  CARTAGENA DE INDIAS</v>
      </c>
      <c r="Q340" t="str">
        <f t="shared" si="42"/>
        <v>06</v>
      </c>
      <c r="R340" t="str">
        <f t="shared" si="43"/>
        <v>00</v>
      </c>
      <c r="S340" s="1">
        <v>400000000</v>
      </c>
      <c r="T340" s="1">
        <v>-400000000</v>
      </c>
      <c r="U340" s="1">
        <v>0</v>
      </c>
      <c r="V340" s="1">
        <v>0</v>
      </c>
      <c r="W340" s="1">
        <v>0</v>
      </c>
      <c r="X340" s="1">
        <v>0</v>
      </c>
      <c r="Y340" s="1">
        <v>0</v>
      </c>
      <c r="Z340" s="1">
        <v>0</v>
      </c>
      <c r="AA340" s="1">
        <v>0</v>
      </c>
      <c r="AB340" s="1">
        <v>0</v>
      </c>
      <c r="AC340" s="1">
        <v>0</v>
      </c>
    </row>
    <row r="341" spans="1:29" x14ac:dyDescent="0.3">
      <c r="A341">
        <v>2022</v>
      </c>
      <c r="B341">
        <v>100</v>
      </c>
      <c r="C341" t="str">
        <f>"06"</f>
        <v>06</v>
      </c>
      <c r="D341" t="s">
        <v>375</v>
      </c>
      <c r="E341" t="str">
        <f t="shared" si="44"/>
        <v>06 SECRETARIA DE INFRAESTRUCTURA</v>
      </c>
      <c r="F341" s="2">
        <v>2021130010035</v>
      </c>
      <c r="G341" s="2" t="str">
        <f>+VLOOKUP(F341,Hoja2!$F:$I,2,FALSE)</f>
        <v>07. PILAR CARTAGENA RESILIENTE</v>
      </c>
      <c r="H341" s="2" t="str">
        <f>+VLOOKUP(F341,Hoja2!$F:$I,3,FALSE)</f>
        <v>7.7 LÍNEA ESTRATÉGICA INSTRUMENTOS DE ORDENAMIENTO TERRITORIAL.</v>
      </c>
      <c r="I341" s="2" t="str">
        <f>+VLOOKUP(F341,Hoja2!$F:$I,4,FALSE)</f>
        <v>7.7.3 ORDENACIÓN TERRITORIAL Y  RECUPERACIÓN SOCIAL, AMBIENTAL Y URBANA DE LA CIÉNAGA DE LA VIRGEN.</v>
      </c>
      <c r="J341" t="s">
        <v>391</v>
      </c>
      <c r="K341" t="str">
        <f t="shared" ref="K341:K372" si="48">"001"</f>
        <v>001</v>
      </c>
      <c r="L341" t="s">
        <v>25</v>
      </c>
      <c r="M341" t="s">
        <v>26</v>
      </c>
      <c r="N341" t="s">
        <v>27</v>
      </c>
      <c r="O341" t="s">
        <v>392</v>
      </c>
      <c r="P341" t="str">
        <f t="shared" si="45"/>
        <v>2021130010035 ELABORACION DE ESTUDIOS Y DISE?OS AJUSTADOS DE LA VIA PERIMETRAL EN EL MARCO DEL PROGRAMA ORDENACION TERRITORIAL Y RECUPERACION SOCIAL AMBIENTAL Y URBANA DE LA CIENAGA DE LA VIRGEN EN EL DISTRITO DE  CARTAGENA DE INDIAS</v>
      </c>
      <c r="Q341" t="str">
        <f t="shared" si="42"/>
        <v>06</v>
      </c>
      <c r="R341" t="str">
        <f t="shared" si="43"/>
        <v>00</v>
      </c>
      <c r="S341" s="1">
        <v>400000000</v>
      </c>
      <c r="T341" s="1">
        <v>-240500000</v>
      </c>
      <c r="U341" s="1">
        <v>159500000</v>
      </c>
      <c r="V341" s="1">
        <v>159500000</v>
      </c>
      <c r="W341" s="1">
        <v>0</v>
      </c>
      <c r="X341" s="1">
        <v>152505000</v>
      </c>
      <c r="Y341" s="1">
        <v>95.61</v>
      </c>
      <c r="Z341" s="1">
        <v>149700000</v>
      </c>
      <c r="AA341" s="1">
        <v>93.86</v>
      </c>
      <c r="AB341" s="1">
        <v>6995000</v>
      </c>
      <c r="AC341" s="1">
        <v>147250000</v>
      </c>
    </row>
    <row r="342" spans="1:29" x14ac:dyDescent="0.3">
      <c r="A342">
        <v>2022</v>
      </c>
      <c r="B342">
        <v>100</v>
      </c>
      <c r="C342" t="str">
        <f>"07"</f>
        <v>07</v>
      </c>
      <c r="D342" t="s">
        <v>399</v>
      </c>
      <c r="E342" t="str">
        <f t="shared" si="44"/>
        <v>07 SECRETARIA DE EDUCACION</v>
      </c>
      <c r="F342" s="2">
        <v>2021130010036</v>
      </c>
      <c r="G342" s="2" t="str">
        <f>+VLOOKUP(F342,Hoja2!$F:$I,2,FALSE)</f>
        <v>08. PILAR CARTAGENA INCLUYENTE</v>
      </c>
      <c r="H342" s="2" t="str">
        <f>+VLOOKUP(F342,Hoja2!$F:$I,3,FALSE)</f>
        <v>8.2 LÍNEA ESTRATEGICA DE EDUCACION: CULTURA DE LA FORMACION "CON LA EDUCACION PARA TODOS Y TODAS SALVAMOS JUNTOS A CARTAGENA"</v>
      </c>
      <c r="I342" s="2" t="str">
        <f>+VLOOKUP(F342,Hoja2!$F:$I,4,FALSE)</f>
        <v>8.2.2 PROGRAMA: SABIDURÍA DE LA PRIMERA INFANCIA “GRANDES BANDERAS, GESTO E IDEAS PARA CAMBIAR EL PLANETA”</v>
      </c>
      <c r="J342" t="s">
        <v>469</v>
      </c>
      <c r="K342" t="str">
        <f t="shared" si="48"/>
        <v>001</v>
      </c>
      <c r="L342" t="s">
        <v>25</v>
      </c>
      <c r="M342" t="s">
        <v>26</v>
      </c>
      <c r="N342" t="s">
        <v>27</v>
      </c>
      <c r="O342" t="s">
        <v>470</v>
      </c>
      <c r="P342" t="str">
        <f t="shared" si="45"/>
        <v>2021130010036 IMPLEMENTACION DE LA ESTRATEGIA DESCUBRIENDO EL MUNDO: UN GOBIERNO QUE CREE EN LAS NI?AS Y LOS NI?OS EN EL MARCO DEL PROGRAMA SABIDURIA DE LA PRIMERA INFANCIA -TG+ EN  CARTAGENA DE INDIAS</v>
      </c>
      <c r="Q342" t="str">
        <f t="shared" si="42"/>
        <v>06</v>
      </c>
      <c r="R342" t="str">
        <f t="shared" si="43"/>
        <v>00</v>
      </c>
      <c r="S342" s="1">
        <v>138824928.88</v>
      </c>
      <c r="T342" s="1">
        <v>10912650</v>
      </c>
      <c r="U342" s="1">
        <v>149737578.88</v>
      </c>
      <c r="V342" s="1">
        <v>122117750</v>
      </c>
      <c r="W342" s="1">
        <v>27619828.879999999</v>
      </c>
      <c r="X342" s="1">
        <v>122117750</v>
      </c>
      <c r="Y342" s="1">
        <v>81.55</v>
      </c>
      <c r="Z342" s="1">
        <v>122117750</v>
      </c>
      <c r="AA342" s="1">
        <v>81.55</v>
      </c>
      <c r="AB342" s="1">
        <v>27619828.879999999</v>
      </c>
      <c r="AC342" s="1">
        <v>122117750</v>
      </c>
    </row>
    <row r="343" spans="1:29" x14ac:dyDescent="0.3">
      <c r="A343">
        <v>2022</v>
      </c>
      <c r="B343">
        <v>100</v>
      </c>
      <c r="C343" t="str">
        <f>"07"</f>
        <v>07</v>
      </c>
      <c r="D343" t="s">
        <v>399</v>
      </c>
      <c r="E343" t="str">
        <f t="shared" si="44"/>
        <v>07 SECRETARIA DE EDUCACION</v>
      </c>
      <c r="F343" s="2">
        <v>2021130010039</v>
      </c>
      <c r="G343" s="2" t="str">
        <f>+VLOOKUP(F343,Hoja2!$F:$I,2,FALSE)</f>
        <v>08. PILAR CARTAGENA INCLUYENTE</v>
      </c>
      <c r="H343" s="2" t="str">
        <f>+VLOOKUP(F343,Hoja2!$F:$I,3,FALSE)</f>
        <v>8.2 LÍNEA ESTRATEGICA DE EDUCACION: CULTURA DE LA FORMACION "CON LA EDUCACION PARA TODOS Y TODAS SALVAMOS JUNTOS A CARTAGENA"</v>
      </c>
      <c r="I343" s="2" t="str">
        <f>+VLOOKUP(F343,Hoja2!$F:$I,4,FALSE)</f>
        <v>8.2.8 PROGRAMA: MOVILIZACIÓN  “POR UNA GESTIÓN EDUCATIVA TRANSPARENTE, PARTICIPATIVA Y EFICIENTE”</v>
      </c>
      <c r="J343" t="s">
        <v>471</v>
      </c>
      <c r="K343" t="str">
        <f t="shared" si="48"/>
        <v>001</v>
      </c>
      <c r="L343" t="s">
        <v>25</v>
      </c>
      <c r="M343" t="s">
        <v>26</v>
      </c>
      <c r="N343" t="s">
        <v>27</v>
      </c>
      <c r="O343" t="s">
        <v>472</v>
      </c>
      <c r="P343" t="str">
        <f t="shared" si="45"/>
        <v>2021130010039 FORMULACION POLITICA PUBLICA DISTRITAL SECTOR EDUCATIVO EG+  CARTAGENA DE INDIAS</v>
      </c>
      <c r="Q343" t="str">
        <f t="shared" si="42"/>
        <v>06</v>
      </c>
      <c r="R343" t="str">
        <f t="shared" si="43"/>
        <v>00</v>
      </c>
      <c r="S343" s="1">
        <v>500000000</v>
      </c>
      <c r="T343" s="1">
        <v>92505767</v>
      </c>
      <c r="U343" s="1">
        <v>592505767</v>
      </c>
      <c r="V343" s="1">
        <v>571449100</v>
      </c>
      <c r="W343" s="1">
        <v>21056667</v>
      </c>
      <c r="X343" s="1">
        <v>545659101</v>
      </c>
      <c r="Y343" s="1">
        <v>92.09</v>
      </c>
      <c r="Z343" s="1">
        <v>525850636.26999998</v>
      </c>
      <c r="AA343" s="1">
        <v>88.75</v>
      </c>
      <c r="AB343" s="1">
        <v>46846666</v>
      </c>
      <c r="AC343" s="1">
        <v>521097302.26999998</v>
      </c>
    </row>
    <row r="344" spans="1:29" x14ac:dyDescent="0.3">
      <c r="A344">
        <v>2022</v>
      </c>
      <c r="B344">
        <v>100</v>
      </c>
      <c r="C344" t="str">
        <f>"04"</f>
        <v>04</v>
      </c>
      <c r="D344" t="s">
        <v>207</v>
      </c>
      <c r="E344" t="str">
        <f t="shared" si="44"/>
        <v>04 LOCALIDAD TURISTICA Y DE LA VIRGEN</v>
      </c>
      <c r="F344" s="2">
        <v>2021130010042</v>
      </c>
      <c r="G344" s="2" t="str">
        <f>+VLOOKUP(F344,Hoja2!$F:$I,2,FALSE)</f>
        <v>10. PILAR: CARTAGENA TRANSPARENTE</v>
      </c>
      <c r="H344" s="2" t="str">
        <f>+VLOOKUP(F344,Hoja2!$F:$I,3,FALSE)</f>
        <v>10.7 LÍNEA ESTRATÉGICA: PARTICIPACIÓN Y DESCENTRALIZACIÓN</v>
      </c>
      <c r="I344" s="2" t="str">
        <f>+VLOOKUP(F344,Hoja2!$F:$I,4,FALSE)</f>
        <v xml:space="preserve">10.7.2 PROGRAMA: MODERNIZACIÓN DEL SISTEMA DISTRITAL DE PLANEACIÓN Y DESCENTRALIZACIÓN  </v>
      </c>
      <c r="J344" t="s">
        <v>247</v>
      </c>
      <c r="K344" t="str">
        <f t="shared" si="48"/>
        <v>001</v>
      </c>
      <c r="L344" t="s">
        <v>25</v>
      </c>
      <c r="M344" t="s">
        <v>26</v>
      </c>
      <c r="N344" t="s">
        <v>27</v>
      </c>
      <c r="O344" t="s">
        <v>248</v>
      </c>
      <c r="P344" t="str">
        <f t="shared" si="45"/>
        <v>2021130010042 FORTALECIMIENTO APOYAR A LOS TRABAJADORES Y LAS TRABAJADORAS DE LA CULTURA EN SUS PROCESOS DE FORMACION INVESTIGACION CREACION PRODUCCION Y CIRCULACION A TRAVES DE PROCESOS PEDAGOGICOS Y DE CONVOCATORIAS TRANSPARENTES CARTAGENA DE INDIAS</v>
      </c>
      <c r="Q344" t="str">
        <f t="shared" si="42"/>
        <v>06</v>
      </c>
      <c r="R344" t="str">
        <f t="shared" si="43"/>
        <v>00</v>
      </c>
      <c r="S344" s="1">
        <v>200000000</v>
      </c>
      <c r="T344" s="1">
        <v>-200000000</v>
      </c>
      <c r="U344" s="1">
        <v>0</v>
      </c>
      <c r="V344" s="1">
        <v>0</v>
      </c>
      <c r="W344" s="1">
        <v>0</v>
      </c>
      <c r="X344" s="1">
        <v>0</v>
      </c>
      <c r="Y344" s="1">
        <v>0</v>
      </c>
      <c r="Z344" s="1">
        <v>0</v>
      </c>
      <c r="AA344" s="1">
        <v>0</v>
      </c>
      <c r="AB344" s="1">
        <v>0</v>
      </c>
      <c r="AC344" s="1">
        <v>0</v>
      </c>
    </row>
    <row r="345" spans="1:29" x14ac:dyDescent="0.3">
      <c r="A345">
        <v>2022</v>
      </c>
      <c r="B345">
        <v>100</v>
      </c>
      <c r="C345" t="str">
        <f t="shared" ref="C345:C351" si="49">"23"</f>
        <v>23</v>
      </c>
      <c r="D345" t="s">
        <v>959</v>
      </c>
      <c r="E345" t="str">
        <f t="shared" si="44"/>
        <v>23 LOCALIDAD INDUSTRIAL Y DE LA BAHIA</v>
      </c>
      <c r="F345" s="2">
        <v>2021130010044</v>
      </c>
      <c r="G345" s="2" t="str">
        <f>+VLOOKUP(F345,Hoja2!$F:$I,2,FALSE)</f>
        <v>10. PILAR: CARTAGENA TRANSPARENTE</v>
      </c>
      <c r="H345" s="2" t="str">
        <f>+VLOOKUP(F345,Hoja2!$F:$I,3,FALSE)</f>
        <v>10.7 LÍNEA ESTRATÉGICA: PARTICIPACIÓN Y DESCENTRALIZACIÓN</v>
      </c>
      <c r="I345" s="2" t="str">
        <f>+VLOOKUP(F345,Hoja2!$F:$I,4,FALSE)</f>
        <v xml:space="preserve">10.7.2 PROGRAMA: MODERNIZACIÓN DEL SISTEMA DISTRITAL DE PLANEACIÓN Y DESCENTRALIZACIÓN  </v>
      </c>
      <c r="J345" t="s">
        <v>997</v>
      </c>
      <c r="K345" t="str">
        <f t="shared" si="48"/>
        <v>001</v>
      </c>
      <c r="L345" t="s">
        <v>25</v>
      </c>
      <c r="M345" t="s">
        <v>26</v>
      </c>
      <c r="N345" t="s">
        <v>27</v>
      </c>
      <c r="O345" t="s">
        <v>998</v>
      </c>
      <c r="P345" t="str">
        <f t="shared" si="45"/>
        <v>2021130010044 CAPACITACION PARA LOGRAR SENSIBILIZAR Y MEJORAR LA CULTURA AMBIENTAL EN LA LOCALIDAD INDUSTRIAL Y DE LA BAHIA QUE PRESERVE EL EQUILIBRIO NATURAL DE LOS ECOSISTEMAS CARTAGENA DE INDIAS</v>
      </c>
      <c r="Q345" t="str">
        <f t="shared" si="42"/>
        <v>06</v>
      </c>
      <c r="R345" t="str">
        <f t="shared" si="43"/>
        <v>00</v>
      </c>
      <c r="S345" s="1">
        <v>0</v>
      </c>
      <c r="T345" s="1">
        <v>200000000</v>
      </c>
      <c r="U345" s="1">
        <v>200000000</v>
      </c>
      <c r="V345" s="1">
        <v>0</v>
      </c>
      <c r="W345" s="1">
        <v>200000000</v>
      </c>
      <c r="X345" s="1">
        <v>0</v>
      </c>
      <c r="Y345" s="1">
        <v>0</v>
      </c>
      <c r="Z345" s="1">
        <v>0</v>
      </c>
      <c r="AA345" s="1">
        <v>0</v>
      </c>
      <c r="AB345" s="1">
        <v>200000000</v>
      </c>
      <c r="AC345" s="1">
        <v>0</v>
      </c>
    </row>
    <row r="346" spans="1:29" x14ac:dyDescent="0.3">
      <c r="A346">
        <v>2022</v>
      </c>
      <c r="B346">
        <v>100</v>
      </c>
      <c r="C346" t="str">
        <f t="shared" si="49"/>
        <v>23</v>
      </c>
      <c r="D346" t="s">
        <v>959</v>
      </c>
      <c r="E346" t="str">
        <f t="shared" si="44"/>
        <v>23 LOCALIDAD INDUSTRIAL Y DE LA BAHIA</v>
      </c>
      <c r="F346" s="2">
        <v>2021130010045</v>
      </c>
      <c r="G346" s="2" t="str">
        <f>+VLOOKUP(F346,Hoja2!$F:$I,2,FALSE)</f>
        <v>10. PILAR: CARTAGENA TRANSPARENTE</v>
      </c>
      <c r="H346" s="2" t="str">
        <f>+VLOOKUP(F346,Hoja2!$F:$I,3,FALSE)</f>
        <v>10.7 LÍNEA ESTRATÉGICA: PARTICIPACIÓN Y DESCENTRALIZACIÓN</v>
      </c>
      <c r="I346" s="2" t="str">
        <f>+VLOOKUP(F346,Hoja2!$F:$I,4,FALSE)</f>
        <v xml:space="preserve">10.7.2 PROGRAMA: MODERNIZACIÓN DEL SISTEMA DISTRITAL DE PLANEACIÓN Y DESCENTRALIZACIÓN  </v>
      </c>
      <c r="J346" t="s">
        <v>971</v>
      </c>
      <c r="K346" t="str">
        <f t="shared" si="48"/>
        <v>001</v>
      </c>
      <c r="L346" t="s">
        <v>25</v>
      </c>
      <c r="M346" t="s">
        <v>26</v>
      </c>
      <c r="N346" t="s">
        <v>27</v>
      </c>
      <c r="O346" t="s">
        <v>972</v>
      </c>
      <c r="P346" t="str">
        <f t="shared" si="45"/>
        <v>2021130010045 IMPLEMENTACION DE PROTECCION Y ATENCION A LOS ANIMALES EN CONDICION DE CALLE EVITANDO SU REPRODUCCION Y PREVINIENDO EL ABANDONO DE ANIMALES A TRAVES DE CAMPA?AS MASIVAS EN LA LOCALIDAD INDUSTRIAL Y DE LA BAHIA CARTAGENA DE INDIAS</v>
      </c>
      <c r="Q346" t="str">
        <f t="shared" si="42"/>
        <v>06</v>
      </c>
      <c r="R346" t="str">
        <f t="shared" si="43"/>
        <v>00</v>
      </c>
      <c r="S346" s="1">
        <v>0</v>
      </c>
      <c r="T346" s="1">
        <v>300000000</v>
      </c>
      <c r="U346" s="1">
        <v>300000000</v>
      </c>
      <c r="V346" s="1">
        <v>300000000</v>
      </c>
      <c r="W346" s="1">
        <v>0</v>
      </c>
      <c r="X346" s="1">
        <v>292367850</v>
      </c>
      <c r="Y346" s="1">
        <v>97.46</v>
      </c>
      <c r="Z346" s="1">
        <v>292367850</v>
      </c>
      <c r="AA346" s="1">
        <v>97.46</v>
      </c>
      <c r="AB346" s="1">
        <v>7632150</v>
      </c>
      <c r="AC346" s="1">
        <v>292367850</v>
      </c>
    </row>
    <row r="347" spans="1:29" x14ac:dyDescent="0.3">
      <c r="A347">
        <v>2022</v>
      </c>
      <c r="B347">
        <v>100</v>
      </c>
      <c r="C347" t="str">
        <f t="shared" si="49"/>
        <v>23</v>
      </c>
      <c r="D347" t="s">
        <v>959</v>
      </c>
      <c r="E347" t="str">
        <f t="shared" si="44"/>
        <v>23 LOCALIDAD INDUSTRIAL Y DE LA BAHIA</v>
      </c>
      <c r="F347" s="2">
        <v>2021130010047</v>
      </c>
      <c r="G347" s="2" t="str">
        <f>+VLOOKUP(F347,Hoja2!$F:$I,2,FALSE)</f>
        <v>10. PILAR: CARTAGENA TRANSPARENTE</v>
      </c>
      <c r="H347" s="2" t="str">
        <f>+VLOOKUP(F347,Hoja2!$F:$I,3,FALSE)</f>
        <v>10.7 LÍNEA ESTRATÉGICA: PARTICIPACIÓN Y DESCENTRALIZACIÓN</v>
      </c>
      <c r="I347" s="2" t="str">
        <f>+VLOOKUP(F347,Hoja2!$F:$I,4,FALSE)</f>
        <v xml:space="preserve">10.7.2 PROGRAMA: MODERNIZACIÓN DEL SISTEMA DISTRITAL DE PLANEACIÓN Y DESCENTRALIZACIÓN  </v>
      </c>
      <c r="J347" t="s">
        <v>999</v>
      </c>
      <c r="K347" t="str">
        <f t="shared" si="48"/>
        <v>001</v>
      </c>
      <c r="L347" t="s">
        <v>25</v>
      </c>
      <c r="M347" t="s">
        <v>26</v>
      </c>
      <c r="N347" t="s">
        <v>27</v>
      </c>
      <c r="O347" t="s">
        <v>1000</v>
      </c>
      <c r="P347" t="str">
        <f t="shared" si="45"/>
        <v>2021130010047 DIFUSION DE LAS MEDIDAS NECESARIAS PARA LA ADAPTACION A LOS IMPACTOS GENERADOS POR EL CAMBIO CLIMATICO Y POR LOS ACTUALES NIVELES DE CONTAMINACION, CARTAGENA DE INDIAS</v>
      </c>
      <c r="Q347" t="str">
        <f t="shared" si="42"/>
        <v>06</v>
      </c>
      <c r="R347" t="str">
        <f t="shared" si="43"/>
        <v>00</v>
      </c>
      <c r="S347" s="1">
        <v>0</v>
      </c>
      <c r="T347" s="1">
        <v>200000000</v>
      </c>
      <c r="U347" s="1">
        <v>200000000</v>
      </c>
      <c r="V347" s="1">
        <v>200000000</v>
      </c>
      <c r="W347" s="1">
        <v>0</v>
      </c>
      <c r="X347" s="1">
        <v>200000000</v>
      </c>
      <c r="Y347" s="1">
        <v>100</v>
      </c>
      <c r="Z347" s="1">
        <v>0</v>
      </c>
      <c r="AA347" s="1">
        <v>0</v>
      </c>
      <c r="AB347" s="1">
        <v>0</v>
      </c>
      <c r="AC347" s="1">
        <v>0</v>
      </c>
    </row>
    <row r="348" spans="1:29" x14ac:dyDescent="0.3">
      <c r="A348">
        <v>2022</v>
      </c>
      <c r="B348">
        <v>100</v>
      </c>
      <c r="C348" t="str">
        <f t="shared" si="49"/>
        <v>23</v>
      </c>
      <c r="D348" t="s">
        <v>959</v>
      </c>
      <c r="E348" t="str">
        <f t="shared" si="44"/>
        <v>23 LOCALIDAD INDUSTRIAL Y DE LA BAHIA</v>
      </c>
      <c r="F348" s="2">
        <v>2021130010048</v>
      </c>
      <c r="G348" s="2" t="str">
        <f>+VLOOKUP(F348,Hoja2!$F:$I,2,FALSE)</f>
        <v>10. PILAR: CARTAGENA TRANSPARENTE</v>
      </c>
      <c r="H348" s="2" t="str">
        <f>+VLOOKUP(F348,Hoja2!$F:$I,3,FALSE)</f>
        <v>10.7 LÍNEA ESTRATÉGICA: PARTICIPACIÓN Y DESCENTRALIZACIÓN</v>
      </c>
      <c r="I348" s="2" t="str">
        <f>+VLOOKUP(F348,Hoja2!$F:$I,4,FALSE)</f>
        <v xml:space="preserve">10.7.2 PROGRAMA: MODERNIZACIÓN DEL SISTEMA DISTRITAL DE PLANEACIÓN Y DESCENTRALIZACIÓN  </v>
      </c>
      <c r="J348" t="s">
        <v>993</v>
      </c>
      <c r="K348" t="str">
        <f t="shared" si="48"/>
        <v>001</v>
      </c>
      <c r="L348" t="s">
        <v>25</v>
      </c>
      <c r="M348" t="s">
        <v>26</v>
      </c>
      <c r="N348" t="s">
        <v>27</v>
      </c>
      <c r="O348" t="s">
        <v>994</v>
      </c>
      <c r="P348" t="str">
        <f t="shared" si="45"/>
        <v>2021130010048 APOYO PARA ORIENTAR Y FORMAR EN EMPRENDIMIENTO Y OFICIOS ACORDE CON LA DINAMICA LABORAL Y PRODUCTIVA DE LA LOCALIDAD QUE COADYUVEN A MEJORAR LAS CONDICIONES DE EMPLEABILIDAD DE LOS JOVENES CARTAGENA DE INDIAS</v>
      </c>
      <c r="Q348" t="str">
        <f t="shared" si="42"/>
        <v>06</v>
      </c>
      <c r="R348" t="str">
        <f t="shared" si="43"/>
        <v>00</v>
      </c>
      <c r="S348" s="1">
        <v>0</v>
      </c>
      <c r="T348" s="1">
        <v>400000000</v>
      </c>
      <c r="U348" s="1">
        <v>400000000</v>
      </c>
      <c r="V348" s="1">
        <v>400000000</v>
      </c>
      <c r="W348" s="1">
        <v>0</v>
      </c>
      <c r="X348" s="1">
        <v>388031946</v>
      </c>
      <c r="Y348" s="1">
        <v>97.01</v>
      </c>
      <c r="Z348" s="1">
        <v>388031946</v>
      </c>
      <c r="AA348" s="1">
        <v>97.01</v>
      </c>
      <c r="AB348" s="1">
        <v>11968054</v>
      </c>
      <c r="AC348" s="1">
        <v>388031946</v>
      </c>
    </row>
    <row r="349" spans="1:29" x14ac:dyDescent="0.3">
      <c r="A349">
        <v>2022</v>
      </c>
      <c r="B349">
        <v>100</v>
      </c>
      <c r="C349" t="str">
        <f t="shared" si="49"/>
        <v>23</v>
      </c>
      <c r="D349" t="s">
        <v>959</v>
      </c>
      <c r="E349" t="str">
        <f t="shared" si="44"/>
        <v>23 LOCALIDAD INDUSTRIAL Y DE LA BAHIA</v>
      </c>
      <c r="F349" s="2">
        <v>2021130010049</v>
      </c>
      <c r="G349" s="2" t="str">
        <f>+VLOOKUP(F349,Hoja2!$F:$I,2,FALSE)</f>
        <v>10. PILAR: CARTAGENA TRANSPARENTE</v>
      </c>
      <c r="H349" s="2" t="str">
        <f>+VLOOKUP(F349,Hoja2!$F:$I,3,FALSE)</f>
        <v>10.7 LÍNEA ESTRATÉGICA: PARTICIPACIÓN Y DESCENTRALIZACIÓN</v>
      </c>
      <c r="I349" s="2" t="str">
        <f>+VLOOKUP(F349,Hoja2!$F:$I,4,FALSE)</f>
        <v xml:space="preserve">10.7.2 PROGRAMA: MODERNIZACIÓN DEL SISTEMA DISTRITAL DE PLANEACIÓN Y DESCENTRALIZACIÓN  </v>
      </c>
      <c r="J349" t="s">
        <v>991</v>
      </c>
      <c r="K349" t="str">
        <f t="shared" si="48"/>
        <v>001</v>
      </c>
      <c r="L349" t="s">
        <v>25</v>
      </c>
      <c r="M349" t="s">
        <v>26</v>
      </c>
      <c r="N349" t="s">
        <v>27</v>
      </c>
      <c r="O349" t="s">
        <v>992</v>
      </c>
      <c r="P349" t="str">
        <f t="shared" si="45"/>
        <v>2021130010049 FORMACION PARA PROMOVER EL EJERCICIO Y GARANTIA DE LOS DERECHOS ECONOMICOS DE LAS MUJERES COMPETENCIAS LABORALES Y EMPRESARIALES QUE LES PERMITA MEJORAR SUS INGRESOS Y SU AUTONOMICA ECONOMICA A TRAVES DE INICIATIVAS PRODUCTIVAS CARTAGENA DE INDIAS</v>
      </c>
      <c r="Q349" t="str">
        <f t="shared" si="42"/>
        <v>06</v>
      </c>
      <c r="R349" t="str">
        <f t="shared" si="43"/>
        <v>00</v>
      </c>
      <c r="S349" s="1">
        <v>0</v>
      </c>
      <c r="T349" s="1">
        <v>400000000</v>
      </c>
      <c r="U349" s="1">
        <v>400000000</v>
      </c>
      <c r="V349" s="1">
        <v>400000000</v>
      </c>
      <c r="W349" s="1">
        <v>0</v>
      </c>
      <c r="X349" s="1">
        <v>400000000</v>
      </c>
      <c r="Y349" s="1">
        <v>100</v>
      </c>
      <c r="Z349" s="1">
        <v>0</v>
      </c>
      <c r="AA349" s="1">
        <v>0</v>
      </c>
      <c r="AB349" s="1">
        <v>0</v>
      </c>
      <c r="AC349" s="1">
        <v>0</v>
      </c>
    </row>
    <row r="350" spans="1:29" x14ac:dyDescent="0.3">
      <c r="A350">
        <v>2022</v>
      </c>
      <c r="B350">
        <v>100</v>
      </c>
      <c r="C350" t="str">
        <f t="shared" si="49"/>
        <v>23</v>
      </c>
      <c r="D350" t="s">
        <v>959</v>
      </c>
      <c r="E350" t="str">
        <f t="shared" si="44"/>
        <v>23 LOCALIDAD INDUSTRIAL Y DE LA BAHIA</v>
      </c>
      <c r="F350" s="2">
        <v>2021130010050</v>
      </c>
      <c r="G350" s="2" t="str">
        <f>+VLOOKUP(F350,Hoja2!$F:$I,2,FALSE)</f>
        <v>10. PILAR: CARTAGENA TRANSPARENTE</v>
      </c>
      <c r="H350" s="2" t="str">
        <f>+VLOOKUP(F350,Hoja2!$F:$I,3,FALSE)</f>
        <v>10.7 LÍNEA ESTRATÉGICA: PARTICIPACIÓN Y DESCENTRALIZACIÓN</v>
      </c>
      <c r="I350" s="2" t="str">
        <f>+VLOOKUP(F350,Hoja2!$F:$I,4,FALSE)</f>
        <v xml:space="preserve">10.7.2 PROGRAMA: MODERNIZACIÓN DEL SISTEMA DISTRITAL DE PLANEACIÓN Y DESCENTRALIZACIÓN  </v>
      </c>
      <c r="J350" t="s">
        <v>989</v>
      </c>
      <c r="K350" t="str">
        <f t="shared" si="48"/>
        <v>001</v>
      </c>
      <c r="L350" t="s">
        <v>25</v>
      </c>
      <c r="M350" t="s">
        <v>26</v>
      </c>
      <c r="N350" t="s">
        <v>27</v>
      </c>
      <c r="O350" t="s">
        <v>990</v>
      </c>
      <c r="P350" t="str">
        <f t="shared" si="45"/>
        <v>2021130010050 APOYO EL DESARROLLO ECONOMICO SOSTENIBLE E INCLUYENTE DE LA LOCALIDAD PROMOVIENDO LA FORMACION EL EMPRENDIMIENTO Y BRINDANDO LAS ASESORIAS NECESARIAS PARA EL FORTALECIMIENTO DE LA COMPETITIVIDAD Y EMPLEABILIDAD LOCAL CARTAGENA DE INDIAS</v>
      </c>
      <c r="Q350" t="str">
        <f t="shared" si="42"/>
        <v>06</v>
      </c>
      <c r="R350" t="str">
        <f t="shared" si="43"/>
        <v>00</v>
      </c>
      <c r="S350" s="1">
        <v>0</v>
      </c>
      <c r="T350" s="1">
        <v>400000000</v>
      </c>
      <c r="U350" s="1">
        <v>400000000</v>
      </c>
      <c r="V350" s="1">
        <v>400000000</v>
      </c>
      <c r="W350" s="1">
        <v>0</v>
      </c>
      <c r="X350" s="1">
        <v>400000000</v>
      </c>
      <c r="Y350" s="1">
        <v>100</v>
      </c>
      <c r="Z350" s="1">
        <v>400000000</v>
      </c>
      <c r="AA350" s="1">
        <v>100</v>
      </c>
      <c r="AB350" s="1">
        <v>0</v>
      </c>
      <c r="AC350" s="1">
        <v>400000000</v>
      </c>
    </row>
    <row r="351" spans="1:29" x14ac:dyDescent="0.3">
      <c r="A351">
        <v>2022</v>
      </c>
      <c r="B351">
        <v>100</v>
      </c>
      <c r="C351" t="str">
        <f t="shared" si="49"/>
        <v>23</v>
      </c>
      <c r="D351" t="s">
        <v>959</v>
      </c>
      <c r="E351" t="str">
        <f t="shared" si="44"/>
        <v>23 LOCALIDAD INDUSTRIAL Y DE LA BAHIA</v>
      </c>
      <c r="F351" s="2">
        <v>2021130010051</v>
      </c>
      <c r="G351" s="2" t="str">
        <f>+VLOOKUP(F351,Hoja2!$F:$I,2,FALSE)</f>
        <v>10. PILAR: CARTAGENA TRANSPARENTE</v>
      </c>
      <c r="H351" s="2" t="str">
        <f>+VLOOKUP(F351,Hoja2!$F:$I,3,FALSE)</f>
        <v>10.7 LÍNEA ESTRATÉGICA: PARTICIPACIÓN Y DESCENTRALIZACIÓN</v>
      </c>
      <c r="I351" s="2" t="str">
        <f>+VLOOKUP(F351,Hoja2!$F:$I,4,FALSE)</f>
        <v xml:space="preserve">10.7.2 PROGRAMA: MODERNIZACIÓN DEL SISTEMA DISTRITAL DE PLANEACIÓN Y DESCENTRALIZACIÓN  </v>
      </c>
      <c r="J351" t="s">
        <v>987</v>
      </c>
      <c r="K351" t="str">
        <f t="shared" si="48"/>
        <v>001</v>
      </c>
      <c r="L351" t="s">
        <v>25</v>
      </c>
      <c r="M351" t="s">
        <v>26</v>
      </c>
      <c r="N351" t="s">
        <v>27</v>
      </c>
      <c r="O351" t="s">
        <v>988</v>
      </c>
      <c r="P351" t="str">
        <f t="shared" si="45"/>
        <v>2021130010051 FORMACION EN ECONOMIA INCLUSIVA COMPETITIVIDAD Y GENERACION DE EMPLEO PARA EL DESARROLLO DE LA ECONOMIA LOCAL EN LA LOCALIDAD INDUSTRIAL Y DE LA BAHIA CARTAGENA DE INDIAS</v>
      </c>
      <c r="Q351" t="str">
        <f t="shared" si="42"/>
        <v>06</v>
      </c>
      <c r="R351" t="str">
        <f t="shared" si="43"/>
        <v>00</v>
      </c>
      <c r="S351" s="1">
        <v>0</v>
      </c>
      <c r="T351" s="1">
        <v>800000000</v>
      </c>
      <c r="U351" s="1">
        <v>800000000</v>
      </c>
      <c r="V351" s="1">
        <v>800000000</v>
      </c>
      <c r="W351" s="1">
        <v>0</v>
      </c>
      <c r="X351" s="1">
        <v>789200000</v>
      </c>
      <c r="Y351" s="1">
        <v>98.65</v>
      </c>
      <c r="Z351" s="1">
        <v>789200000</v>
      </c>
      <c r="AA351" s="1">
        <v>98.65</v>
      </c>
      <c r="AB351" s="1">
        <v>10800000</v>
      </c>
      <c r="AC351" s="1">
        <v>789200000</v>
      </c>
    </row>
    <row r="352" spans="1:29" x14ac:dyDescent="0.3">
      <c r="A352">
        <v>2022</v>
      </c>
      <c r="B352">
        <v>100</v>
      </c>
      <c r="C352" t="str">
        <f t="shared" ref="C352:C359" si="50">"04"</f>
        <v>04</v>
      </c>
      <c r="D352" t="s">
        <v>207</v>
      </c>
      <c r="E352" t="str">
        <f t="shared" si="44"/>
        <v>04 LOCALIDAD TURISTICA Y DE LA VIRGEN</v>
      </c>
      <c r="F352" s="2">
        <v>2021130010052</v>
      </c>
      <c r="G352" s="2" t="str">
        <f>+VLOOKUP(F352,Hoja2!$F:$I,2,FALSE)</f>
        <v>10. PILAR: CARTAGENA TRANSPARENTE</v>
      </c>
      <c r="H352" s="2" t="str">
        <f>+VLOOKUP(F352,Hoja2!$F:$I,3,FALSE)</f>
        <v>10.7 LÍNEA ESTRATÉGICA: PARTICIPACIÓN Y DESCENTRALIZACIÓN</v>
      </c>
      <c r="I352" s="2" t="str">
        <f>+VLOOKUP(F352,Hoja2!$F:$I,4,FALSE)</f>
        <v xml:space="preserve">10.7.2 PROGRAMA: MODERNIZACIÓN DEL SISTEMA DISTRITAL DE PLANEACIÓN Y DESCENTRALIZACIÓN  </v>
      </c>
      <c r="J352" t="s">
        <v>267</v>
      </c>
      <c r="K352" t="str">
        <f t="shared" si="48"/>
        <v>001</v>
      </c>
      <c r="L352" t="s">
        <v>25</v>
      </c>
      <c r="M352" t="s">
        <v>26</v>
      </c>
      <c r="N352" t="s">
        <v>27</v>
      </c>
      <c r="O352" t="s">
        <v>268</v>
      </c>
      <c r="P352" t="str">
        <f t="shared" si="45"/>
        <v>2021130010052 CARACTERIZACION PARA LA CREACION DE ESTRATEGIAS Y ACCIONES CON EL FIN DE GARANTIZAR EL MANTENIMIENTO Y SOSTENIMIENTO DEL ESPACIO PUBLICO DE LA LOCALIDAD DE LA VIRGEN Y TURISTICA CARTAGENA DE INDIAS</v>
      </c>
      <c r="Q352" t="str">
        <f t="shared" si="42"/>
        <v>06</v>
      </c>
      <c r="R352" t="str">
        <f t="shared" si="43"/>
        <v>00</v>
      </c>
      <c r="S352" s="1">
        <v>200000000</v>
      </c>
      <c r="T352" s="1">
        <v>-200000000</v>
      </c>
      <c r="U352" s="1">
        <v>0</v>
      </c>
      <c r="V352" s="1">
        <v>0</v>
      </c>
      <c r="W352" s="1">
        <v>0</v>
      </c>
      <c r="X352" s="1">
        <v>0</v>
      </c>
      <c r="Y352" s="1">
        <v>0</v>
      </c>
      <c r="Z352" s="1">
        <v>0</v>
      </c>
      <c r="AA352" s="1">
        <v>0</v>
      </c>
      <c r="AB352" s="1">
        <v>0</v>
      </c>
      <c r="AC352" s="1">
        <v>0</v>
      </c>
    </row>
    <row r="353" spans="1:29" x14ac:dyDescent="0.3">
      <c r="A353">
        <v>2022</v>
      </c>
      <c r="B353">
        <v>100</v>
      </c>
      <c r="C353" t="str">
        <f t="shared" si="50"/>
        <v>04</v>
      </c>
      <c r="D353" t="s">
        <v>207</v>
      </c>
      <c r="E353" t="str">
        <f t="shared" si="44"/>
        <v>04 LOCALIDAD TURISTICA Y DE LA VIRGEN</v>
      </c>
      <c r="F353" s="2">
        <v>2021130010054</v>
      </c>
      <c r="G353" s="2" t="str">
        <f>+VLOOKUP(F353,Hoja2!$F:$I,2,FALSE)</f>
        <v>10. PILAR: CARTAGENA TRANSPARENTE</v>
      </c>
      <c r="H353" s="2" t="str">
        <f>+VLOOKUP(F353,Hoja2!$F:$I,3,FALSE)</f>
        <v>10.7 LÍNEA ESTRATÉGICA: PARTICIPACIÓN Y DESCENTRALIZACIÓN</v>
      </c>
      <c r="I353" s="2" t="str">
        <f>+VLOOKUP(F353,Hoja2!$F:$I,4,FALSE)</f>
        <v xml:space="preserve">10.7.2 PROGRAMA: MODERNIZACIÓN DEL SISTEMA DISTRITAL DE PLANEACIÓN Y DESCENTRALIZACIÓN  </v>
      </c>
      <c r="J353" t="s">
        <v>269</v>
      </c>
      <c r="K353" t="str">
        <f t="shared" si="48"/>
        <v>001</v>
      </c>
      <c r="L353" t="s">
        <v>25</v>
      </c>
      <c r="M353" t="s">
        <v>26</v>
      </c>
      <c r="N353" t="s">
        <v>27</v>
      </c>
      <c r="O353" t="s">
        <v>270</v>
      </c>
      <c r="P353" t="str">
        <f t="shared" si="45"/>
        <v>2021130010054 ASISTENCIA PARA PROMOVER Y ACOMPA?AR LOS SISTEMAS PRODUCTIVOS MEDIANTE LA PRESTACION DEL SERVICIO PUBLICO DE EXTENSION AGROPECUARIO A LOS PRODUCTORES RURALES PESQUEROS Y ACUICOLAS CARTAGENA DE INDIAS</v>
      </c>
      <c r="Q353" t="str">
        <f t="shared" si="42"/>
        <v>06</v>
      </c>
      <c r="R353" t="str">
        <f t="shared" si="43"/>
        <v>00</v>
      </c>
      <c r="S353" s="1">
        <v>300000000</v>
      </c>
      <c r="T353" s="1">
        <v>-300000000</v>
      </c>
      <c r="U353" s="1">
        <v>0</v>
      </c>
      <c r="V353" s="1">
        <v>0</v>
      </c>
      <c r="W353" s="1">
        <v>0</v>
      </c>
      <c r="X353" s="1">
        <v>0</v>
      </c>
      <c r="Y353" s="1">
        <v>0</v>
      </c>
      <c r="Z353" s="1">
        <v>0</v>
      </c>
      <c r="AA353" s="1">
        <v>0</v>
      </c>
      <c r="AB353" s="1">
        <v>0</v>
      </c>
      <c r="AC353" s="1">
        <v>0</v>
      </c>
    </row>
    <row r="354" spans="1:29" x14ac:dyDescent="0.3">
      <c r="A354">
        <v>2022</v>
      </c>
      <c r="B354">
        <v>100</v>
      </c>
      <c r="C354" t="str">
        <f t="shared" si="50"/>
        <v>04</v>
      </c>
      <c r="D354" t="s">
        <v>207</v>
      </c>
      <c r="E354" t="str">
        <f t="shared" si="44"/>
        <v>04 LOCALIDAD TURISTICA Y DE LA VIRGEN</v>
      </c>
      <c r="F354" s="2">
        <v>2021130010055</v>
      </c>
      <c r="G354" s="2" t="str">
        <f>+VLOOKUP(F354,Hoja2!$F:$I,2,FALSE)</f>
        <v>10. PILAR: CARTAGENA TRANSPARENTE</v>
      </c>
      <c r="H354" s="2" t="str">
        <f>+VLOOKUP(F354,Hoja2!$F:$I,3,FALSE)</f>
        <v>10.7 LÍNEA ESTRATÉGICA: PARTICIPACIÓN Y DESCENTRALIZACIÓN</v>
      </c>
      <c r="I354" s="2" t="str">
        <f>+VLOOKUP(F354,Hoja2!$F:$I,4,FALSE)</f>
        <v xml:space="preserve">10.7.2 PROGRAMA: MODERNIZACIÓN DEL SISTEMA DISTRITAL DE PLANEACIÓN Y DESCENTRALIZACIÓN  </v>
      </c>
      <c r="J354" t="s">
        <v>271</v>
      </c>
      <c r="K354" t="str">
        <f t="shared" si="48"/>
        <v>001</v>
      </c>
      <c r="L354" t="s">
        <v>25</v>
      </c>
      <c r="M354" t="s">
        <v>26</v>
      </c>
      <c r="N354" t="s">
        <v>27</v>
      </c>
      <c r="O354" t="s">
        <v>272</v>
      </c>
      <c r="P354" t="str">
        <f t="shared" si="45"/>
        <v>2021130010055 FORMACION PARA LA GENERACION DE EMPLEO INCLUSIVO PARA LOS JOVENES DE LA LOCALIDAD DE LA VIRGEN Y TURISTICA CARTAGENA DE INDIAS</v>
      </c>
      <c r="Q354" t="str">
        <f t="shared" si="42"/>
        <v>06</v>
      </c>
      <c r="R354" t="str">
        <f t="shared" si="43"/>
        <v>00</v>
      </c>
      <c r="S354" s="1">
        <v>250000000</v>
      </c>
      <c r="T354" s="1">
        <v>-250000000</v>
      </c>
      <c r="U354" s="1">
        <v>0</v>
      </c>
      <c r="V354" s="1">
        <v>0</v>
      </c>
      <c r="W354" s="1">
        <v>0</v>
      </c>
      <c r="X354" s="1">
        <v>0</v>
      </c>
      <c r="Y354" s="1">
        <v>0</v>
      </c>
      <c r="Z354" s="1">
        <v>0</v>
      </c>
      <c r="AA354" s="1">
        <v>0</v>
      </c>
      <c r="AB354" s="1">
        <v>0</v>
      </c>
      <c r="AC354" s="1">
        <v>0</v>
      </c>
    </row>
    <row r="355" spans="1:29" x14ac:dyDescent="0.3">
      <c r="A355">
        <v>2022</v>
      </c>
      <c r="B355">
        <v>100</v>
      </c>
      <c r="C355" t="str">
        <f t="shared" si="50"/>
        <v>04</v>
      </c>
      <c r="D355" t="s">
        <v>207</v>
      </c>
      <c r="E355" t="str">
        <f t="shared" si="44"/>
        <v>04 LOCALIDAD TURISTICA Y DE LA VIRGEN</v>
      </c>
      <c r="F355" s="2">
        <v>2021130010056</v>
      </c>
      <c r="G355" s="2" t="str">
        <f>+VLOOKUP(F355,Hoja2!$F:$I,2,FALSE)</f>
        <v>10. PILAR: CARTAGENA TRANSPARENTE</v>
      </c>
      <c r="H355" s="2" t="str">
        <f>+VLOOKUP(F355,Hoja2!$F:$I,3,FALSE)</f>
        <v>10.7 LÍNEA ESTRATÉGICA: PARTICIPACIÓN Y DESCENTRALIZACIÓN</v>
      </c>
      <c r="I355" s="2" t="str">
        <f>+VLOOKUP(F355,Hoja2!$F:$I,4,FALSE)</f>
        <v xml:space="preserve">10.7.2 PROGRAMA: MODERNIZACIÓN DEL SISTEMA DISTRITAL DE PLANEACIÓN Y DESCENTRALIZACIÓN  </v>
      </c>
      <c r="J355" t="s">
        <v>273</v>
      </c>
      <c r="K355" t="str">
        <f t="shared" si="48"/>
        <v>001</v>
      </c>
      <c r="L355" t="s">
        <v>25</v>
      </c>
      <c r="M355" t="s">
        <v>26</v>
      </c>
      <c r="N355" t="s">
        <v>27</v>
      </c>
      <c r="O355" t="s">
        <v>274</v>
      </c>
      <c r="P355" t="str">
        <f t="shared" si="45"/>
        <v>2021130010056 GENERACION DE INGRESOS EMPRENDIMIENTO Y EMPRESARISMO EN LAS FAMILIAS EN POBREZA EXTREMA DE LA LOCALIDAD DE LA VIRGEN Y TURISTICA CARTAGENA DE INDIAS</v>
      </c>
      <c r="Q355" t="str">
        <f t="shared" si="42"/>
        <v>06</v>
      </c>
      <c r="R355" t="str">
        <f t="shared" si="43"/>
        <v>00</v>
      </c>
      <c r="S355" s="1">
        <v>1000000000</v>
      </c>
      <c r="T355" s="1">
        <v>-1000000000</v>
      </c>
      <c r="U355" s="1">
        <v>0</v>
      </c>
      <c r="V355" s="1">
        <v>0</v>
      </c>
      <c r="W355" s="1">
        <v>0</v>
      </c>
      <c r="X355" s="1">
        <v>0</v>
      </c>
      <c r="Y355" s="1">
        <v>0</v>
      </c>
      <c r="Z355" s="1">
        <v>0</v>
      </c>
      <c r="AA355" s="1">
        <v>0</v>
      </c>
      <c r="AB355" s="1">
        <v>0</v>
      </c>
      <c r="AC355" s="1">
        <v>0</v>
      </c>
    </row>
    <row r="356" spans="1:29" x14ac:dyDescent="0.3">
      <c r="A356">
        <v>2022</v>
      </c>
      <c r="B356">
        <v>100</v>
      </c>
      <c r="C356" t="str">
        <f t="shared" si="50"/>
        <v>04</v>
      </c>
      <c r="D356" t="s">
        <v>207</v>
      </c>
      <c r="E356" t="str">
        <f t="shared" si="44"/>
        <v>04 LOCALIDAD TURISTICA Y DE LA VIRGEN</v>
      </c>
      <c r="F356" s="2">
        <v>2021130010058</v>
      </c>
      <c r="G356" s="2" t="str">
        <f>+VLOOKUP(F356,Hoja2!$F:$I,2,FALSE)</f>
        <v>10. PILAR: CARTAGENA TRANSPARENTE</v>
      </c>
      <c r="H356" s="2" t="str">
        <f>+VLOOKUP(F356,Hoja2!$F:$I,3,FALSE)</f>
        <v>10.7 LÍNEA ESTRATÉGICA: PARTICIPACIÓN Y DESCENTRALIZACIÓN</v>
      </c>
      <c r="I356" s="2" t="str">
        <f>+VLOOKUP(F356,Hoja2!$F:$I,4,FALSE)</f>
        <v xml:space="preserve">10.7.2 PROGRAMA: MODERNIZACIÓN DEL SISTEMA DISTRITAL DE PLANEACIÓN Y DESCENTRALIZACIÓN  </v>
      </c>
      <c r="J356" t="s">
        <v>283</v>
      </c>
      <c r="K356" t="str">
        <f t="shared" si="48"/>
        <v>001</v>
      </c>
      <c r="L356" t="s">
        <v>25</v>
      </c>
      <c r="M356" t="s">
        <v>26</v>
      </c>
      <c r="N356" t="s">
        <v>27</v>
      </c>
      <c r="O356" t="s">
        <v>284</v>
      </c>
      <c r="P356" t="str">
        <f t="shared" si="45"/>
        <v>2021130010058 ASISTENCIA PARA GARANTIZAR LOS DERECHOS Y DEBERES EN SALUD CON ENFOQUE DIFERENCIAL EN ARAS DE MINIMIZAR TANTO LAS BARRERAS DE ACCESO A LOS SERVICIOS DE SALUD COMO OTRAS FORMAS DE EXCLUSION, CARTAGENA DE INDIAS</v>
      </c>
      <c r="Q356" t="str">
        <f t="shared" si="42"/>
        <v>06</v>
      </c>
      <c r="R356" t="str">
        <f t="shared" si="43"/>
        <v>00</v>
      </c>
      <c r="S356" s="1">
        <v>200000000</v>
      </c>
      <c r="T356" s="1">
        <v>-200000000</v>
      </c>
      <c r="U356" s="1">
        <v>0</v>
      </c>
      <c r="V356" s="1">
        <v>0</v>
      </c>
      <c r="W356" s="1">
        <v>0</v>
      </c>
      <c r="X356" s="1">
        <v>0</v>
      </c>
      <c r="Y356" s="1">
        <v>0</v>
      </c>
      <c r="Z356" s="1">
        <v>0</v>
      </c>
      <c r="AA356" s="1">
        <v>0</v>
      </c>
      <c r="AB356" s="1">
        <v>0</v>
      </c>
      <c r="AC356" s="1">
        <v>0</v>
      </c>
    </row>
    <row r="357" spans="1:29" x14ac:dyDescent="0.3">
      <c r="A357">
        <v>2022</v>
      </c>
      <c r="B357">
        <v>100</v>
      </c>
      <c r="C357" t="str">
        <f t="shared" si="50"/>
        <v>04</v>
      </c>
      <c r="D357" t="s">
        <v>207</v>
      </c>
      <c r="E357" t="str">
        <f t="shared" si="44"/>
        <v>04 LOCALIDAD TURISTICA Y DE LA VIRGEN</v>
      </c>
      <c r="F357" s="2">
        <v>2021130010059</v>
      </c>
      <c r="G357" s="2" t="str">
        <f>+VLOOKUP(F357,Hoja2!$F:$I,2,FALSE)</f>
        <v>10. PILAR: CARTAGENA TRANSPARENTE</v>
      </c>
      <c r="H357" s="2" t="str">
        <f>+VLOOKUP(F357,Hoja2!$F:$I,3,FALSE)</f>
        <v>10.7 LÍNEA ESTRATÉGICA: PARTICIPACIÓN Y DESCENTRALIZACIÓN</v>
      </c>
      <c r="I357" s="2" t="str">
        <f>+VLOOKUP(F357,Hoja2!$F:$I,4,FALSE)</f>
        <v xml:space="preserve">10.7.2 PROGRAMA: MODERNIZACIÓN DEL SISTEMA DISTRITAL DE PLANEACIÓN Y DESCENTRALIZACIÓN  </v>
      </c>
      <c r="J357" t="s">
        <v>275</v>
      </c>
      <c r="K357" t="str">
        <f t="shared" si="48"/>
        <v>001</v>
      </c>
      <c r="L357" t="s">
        <v>25</v>
      </c>
      <c r="M357" t="s">
        <v>26</v>
      </c>
      <c r="N357" t="s">
        <v>27</v>
      </c>
      <c r="O357" t="s">
        <v>276</v>
      </c>
      <c r="P357" t="str">
        <f t="shared" si="45"/>
        <v>2021130010059 FORMACION PARA EL FORTALECIMIENTO DE LA DINAMICA FAMILIAR DE LAS FAMILIAS EN SITUACION DE POBREZA EXTREMA DE LA LOCALIDAD DE LA VIRGEN Y TURISTICA CARTAGENA DE INDIAS</v>
      </c>
      <c r="Q357" t="str">
        <f t="shared" si="42"/>
        <v>06</v>
      </c>
      <c r="R357" t="str">
        <f t="shared" si="43"/>
        <v>00</v>
      </c>
      <c r="S357" s="1">
        <v>800000000</v>
      </c>
      <c r="T357" s="1">
        <v>-800000000</v>
      </c>
      <c r="U357" s="1">
        <v>0</v>
      </c>
      <c r="V357" s="1">
        <v>0</v>
      </c>
      <c r="W357" s="1">
        <v>0</v>
      </c>
      <c r="X357" s="1">
        <v>0</v>
      </c>
      <c r="Y357" s="1">
        <v>0</v>
      </c>
      <c r="Z357" s="1">
        <v>0</v>
      </c>
      <c r="AA357" s="1">
        <v>0</v>
      </c>
      <c r="AB357" s="1">
        <v>0</v>
      </c>
      <c r="AC357" s="1">
        <v>0</v>
      </c>
    </row>
    <row r="358" spans="1:29" x14ac:dyDescent="0.3">
      <c r="A358">
        <v>2022</v>
      </c>
      <c r="B358">
        <v>100</v>
      </c>
      <c r="C358" t="str">
        <f t="shared" si="50"/>
        <v>04</v>
      </c>
      <c r="D358" t="s">
        <v>207</v>
      </c>
      <c r="E358" t="str">
        <f t="shared" si="44"/>
        <v>04 LOCALIDAD TURISTICA Y DE LA VIRGEN</v>
      </c>
      <c r="F358" s="2">
        <v>2021130010060</v>
      </c>
      <c r="G358" s="2" t="str">
        <f>+VLOOKUP(F358,Hoja2!$F:$I,2,FALSE)</f>
        <v>10. PILAR: CARTAGENA TRANSPARENTE</v>
      </c>
      <c r="H358" s="2" t="str">
        <f>+VLOOKUP(F358,Hoja2!$F:$I,3,FALSE)</f>
        <v>10.7 LÍNEA ESTRATÉGICA: PARTICIPACIÓN Y DESCENTRALIZACIÓN</v>
      </c>
      <c r="I358" s="2" t="str">
        <f>+VLOOKUP(F358,Hoja2!$F:$I,4,FALSE)</f>
        <v xml:space="preserve">10.7.2 PROGRAMA: MODERNIZACIÓN DEL SISTEMA DISTRITAL DE PLANEACIÓN Y DESCENTRALIZACIÓN  </v>
      </c>
      <c r="J358" t="s">
        <v>229</v>
      </c>
      <c r="K358" t="str">
        <f t="shared" si="48"/>
        <v>001</v>
      </c>
      <c r="L358" t="s">
        <v>25</v>
      </c>
      <c r="M358" t="s">
        <v>26</v>
      </c>
      <c r="N358" t="s">
        <v>27</v>
      </c>
      <c r="O358" t="s">
        <v>230</v>
      </c>
      <c r="P358" t="str">
        <f t="shared" si="45"/>
        <v>2021130010060 ASISTENCIA INTEGRAL A LA FAUNA DOMESTICA EN CONDICION DE CALLE DE LA LOCALIDAD DE LA VIRGEN Y TURISTICA CARTAGENA DE INDIAS</v>
      </c>
      <c r="Q358" t="str">
        <f t="shared" si="42"/>
        <v>06</v>
      </c>
      <c r="R358" t="str">
        <f t="shared" si="43"/>
        <v>00</v>
      </c>
      <c r="S358" s="1">
        <v>100000000</v>
      </c>
      <c r="T358" s="1">
        <v>-100000000</v>
      </c>
      <c r="U358" s="1">
        <v>0</v>
      </c>
      <c r="V358" s="1">
        <v>0</v>
      </c>
      <c r="W358" s="1">
        <v>0</v>
      </c>
      <c r="X358" s="1">
        <v>0</v>
      </c>
      <c r="Y358" s="1">
        <v>0</v>
      </c>
      <c r="Z358" s="1">
        <v>0</v>
      </c>
      <c r="AA358" s="1">
        <v>0</v>
      </c>
      <c r="AB358" s="1">
        <v>0</v>
      </c>
      <c r="AC358" s="1">
        <v>0</v>
      </c>
    </row>
    <row r="359" spans="1:29" x14ac:dyDescent="0.3">
      <c r="A359">
        <v>2022</v>
      </c>
      <c r="B359">
        <v>100</v>
      </c>
      <c r="C359" t="str">
        <f t="shared" si="50"/>
        <v>04</v>
      </c>
      <c r="D359" t="s">
        <v>207</v>
      </c>
      <c r="E359" t="str">
        <f t="shared" si="44"/>
        <v>04 LOCALIDAD TURISTICA Y DE LA VIRGEN</v>
      </c>
      <c r="F359" s="2">
        <v>2021130010061</v>
      </c>
      <c r="G359" s="2" t="str">
        <f>+VLOOKUP(F359,Hoja2!$F:$I,2,FALSE)</f>
        <v>10. PILAR: CARTAGENA TRANSPARENTE</v>
      </c>
      <c r="H359" s="2" t="str">
        <f>+VLOOKUP(F359,Hoja2!$F:$I,3,FALSE)</f>
        <v>10.7 LÍNEA ESTRATÉGICA: PARTICIPACIÓN Y DESCENTRALIZACIÓN</v>
      </c>
      <c r="I359" s="2" t="str">
        <f>+VLOOKUP(F359,Hoja2!$F:$I,4,FALSE)</f>
        <v xml:space="preserve">10.7.2 PROGRAMA: MODERNIZACIÓN DEL SISTEMA DISTRITAL DE PLANEACIÓN Y DESCENTRALIZACIÓN  </v>
      </c>
      <c r="J359" t="s">
        <v>239</v>
      </c>
      <c r="K359" t="str">
        <f t="shared" si="48"/>
        <v>001</v>
      </c>
      <c r="L359" t="s">
        <v>25</v>
      </c>
      <c r="M359" t="s">
        <v>26</v>
      </c>
      <c r="N359" t="s">
        <v>27</v>
      </c>
      <c r="O359" t="s">
        <v>240</v>
      </c>
      <c r="P359" t="str">
        <f t="shared" si="45"/>
        <v>2021130010061 DOTACION DE ELEMENTOS DE BIOSEGURIDAD QUE CONTRIBUYAN COMO MEDIDA DE INTERVENCION DIRIGIDA A MODIFICAR O DISMINUIR LAS CONDICIONES DE RIESGO ACTUALES A EVITAR NUEVOS RIESGOS Y GENERAR MECANISMOS PARA LA ATENCION DE EMERGENCIAS CARTAGENA DE INDIAS</v>
      </c>
      <c r="Q359" t="str">
        <f t="shared" si="42"/>
        <v>06</v>
      </c>
      <c r="R359" t="str">
        <f t="shared" si="43"/>
        <v>00</v>
      </c>
      <c r="S359" s="1">
        <v>0</v>
      </c>
      <c r="T359" s="1">
        <v>0</v>
      </c>
      <c r="U359" s="1">
        <v>0</v>
      </c>
      <c r="V359" s="1">
        <v>0</v>
      </c>
      <c r="W359" s="1">
        <v>0</v>
      </c>
      <c r="X359" s="1">
        <v>0</v>
      </c>
      <c r="Y359" s="1">
        <v>0</v>
      </c>
      <c r="Z359" s="1">
        <v>0</v>
      </c>
      <c r="AA359" s="1">
        <v>0</v>
      </c>
      <c r="AB359" s="1">
        <v>0</v>
      </c>
      <c r="AC359" s="1">
        <v>0</v>
      </c>
    </row>
    <row r="360" spans="1:29" x14ac:dyDescent="0.3">
      <c r="A360">
        <v>2022</v>
      </c>
      <c r="B360">
        <v>100</v>
      </c>
      <c r="C360" t="str">
        <f t="shared" ref="C360:C365" si="51">"23"</f>
        <v>23</v>
      </c>
      <c r="D360" t="s">
        <v>959</v>
      </c>
      <c r="E360" t="str">
        <f t="shared" si="44"/>
        <v>23 LOCALIDAD INDUSTRIAL Y DE LA BAHIA</v>
      </c>
      <c r="F360" s="2">
        <v>2021130010062</v>
      </c>
      <c r="G360" s="2" t="str">
        <f>+VLOOKUP(F360,Hoja2!$F:$I,2,FALSE)</f>
        <v>10. PILAR: CARTAGENA TRANSPARENTE</v>
      </c>
      <c r="H360" s="2" t="str">
        <f>+VLOOKUP(F360,Hoja2!$F:$I,3,FALSE)</f>
        <v>10.7 LÍNEA ESTRATÉGICA: PARTICIPACIÓN Y DESCENTRALIZACIÓN</v>
      </c>
      <c r="I360" s="2" t="str">
        <f>+VLOOKUP(F360,Hoja2!$F:$I,4,FALSE)</f>
        <v xml:space="preserve">10.7.2 PROGRAMA: MODERNIZACIÓN DEL SISTEMA DISTRITAL DE PLANEACIÓN Y DESCENTRALIZACIÓN  </v>
      </c>
      <c r="J360" t="s">
        <v>973</v>
      </c>
      <c r="K360" t="str">
        <f t="shared" si="48"/>
        <v>001</v>
      </c>
      <c r="L360" t="s">
        <v>25</v>
      </c>
      <c r="M360" t="s">
        <v>26</v>
      </c>
      <c r="N360" t="s">
        <v>27</v>
      </c>
      <c r="O360" t="s">
        <v>974</v>
      </c>
      <c r="P360" t="str">
        <f t="shared" si="45"/>
        <v>2021130010062 ASISTENCIA MUJER LIBRE DE VIOLENCIA EN LA LOCALIDAD INDUSTRIAL Y DE LA BAHIA   CARTAGENA DE INDIAS</v>
      </c>
      <c r="Q360" t="str">
        <f t="shared" si="42"/>
        <v>06</v>
      </c>
      <c r="R360" t="str">
        <f t="shared" si="43"/>
        <v>00</v>
      </c>
      <c r="S360" s="1">
        <v>0</v>
      </c>
      <c r="T360" s="1">
        <v>400000000</v>
      </c>
      <c r="U360" s="1">
        <v>400000000</v>
      </c>
      <c r="V360" s="1">
        <v>400000000</v>
      </c>
      <c r="W360" s="1">
        <v>0</v>
      </c>
      <c r="X360" s="1">
        <v>388279550</v>
      </c>
      <c r="Y360" s="1">
        <v>97.07</v>
      </c>
      <c r="Z360" s="1">
        <v>388279550</v>
      </c>
      <c r="AA360" s="1">
        <v>97.07</v>
      </c>
      <c r="AB360" s="1">
        <v>11720450</v>
      </c>
      <c r="AC360" s="1">
        <v>388279550</v>
      </c>
    </row>
    <row r="361" spans="1:29" x14ac:dyDescent="0.3">
      <c r="A361">
        <v>2022</v>
      </c>
      <c r="B361">
        <v>100</v>
      </c>
      <c r="C361" t="str">
        <f t="shared" si="51"/>
        <v>23</v>
      </c>
      <c r="D361" t="s">
        <v>959</v>
      </c>
      <c r="E361" t="str">
        <f t="shared" si="44"/>
        <v>23 LOCALIDAD INDUSTRIAL Y DE LA BAHIA</v>
      </c>
      <c r="F361" s="2">
        <v>2021130010063</v>
      </c>
      <c r="G361" s="2" t="str">
        <f>+VLOOKUP(F361,Hoja2!$F:$I,2,FALSE)</f>
        <v>10. PILAR: CARTAGENA TRANSPARENTE</v>
      </c>
      <c r="H361" s="2" t="str">
        <f>+VLOOKUP(F361,Hoja2!$F:$I,3,FALSE)</f>
        <v>10.7 LÍNEA ESTRATÉGICA: PARTICIPACIÓN Y DESCENTRALIZACIÓN</v>
      </c>
      <c r="I361" s="2" t="str">
        <f>+VLOOKUP(F361,Hoja2!$F:$I,4,FALSE)</f>
        <v xml:space="preserve">10.7.2 PROGRAMA: MODERNIZACIÓN DEL SISTEMA DISTRITAL DE PLANEACIÓN Y DESCENTRALIZACIÓN  </v>
      </c>
      <c r="J361" t="s">
        <v>985</v>
      </c>
      <c r="K361" t="str">
        <f t="shared" si="48"/>
        <v>001</v>
      </c>
      <c r="L361" t="s">
        <v>25</v>
      </c>
      <c r="M361" t="s">
        <v>26</v>
      </c>
      <c r="N361" t="s">
        <v>27</v>
      </c>
      <c r="O361" t="s">
        <v>986</v>
      </c>
      <c r="P361" t="str">
        <f t="shared" si="45"/>
        <v>2021130010063 FORMACION PARA IMPULSAR LOS ESPACIOS Y PROCESOS DE PARTICIPACION DE LAS MUJERES PARA EL PLENO GOCE DE SUS DERECHOS EN LA LOCALIDAD INDUSTRIAL Y DE LA BAHIA CARTAGENA DE INDIAS</v>
      </c>
      <c r="Q361" t="str">
        <f t="shared" si="42"/>
        <v>06</v>
      </c>
      <c r="R361" t="str">
        <f t="shared" si="43"/>
        <v>00</v>
      </c>
      <c r="S361" s="1">
        <v>0</v>
      </c>
      <c r="T361" s="1">
        <v>400000000</v>
      </c>
      <c r="U361" s="1">
        <v>400000000</v>
      </c>
      <c r="V361" s="1">
        <v>400000000</v>
      </c>
      <c r="W361" s="1">
        <v>0</v>
      </c>
      <c r="X361" s="1">
        <v>400000000</v>
      </c>
      <c r="Y361" s="1">
        <v>100</v>
      </c>
      <c r="Z361" s="1">
        <v>400000000</v>
      </c>
      <c r="AA361" s="1">
        <v>100</v>
      </c>
      <c r="AB361" s="1">
        <v>0</v>
      </c>
      <c r="AC361" s="1">
        <v>400000000</v>
      </c>
    </row>
    <row r="362" spans="1:29" x14ac:dyDescent="0.3">
      <c r="A362">
        <v>2022</v>
      </c>
      <c r="B362">
        <v>100</v>
      </c>
      <c r="C362" t="str">
        <f t="shared" si="51"/>
        <v>23</v>
      </c>
      <c r="D362" t="s">
        <v>959</v>
      </c>
      <c r="E362" t="str">
        <f t="shared" si="44"/>
        <v>23 LOCALIDAD INDUSTRIAL Y DE LA BAHIA</v>
      </c>
      <c r="F362" s="2">
        <v>2021130010064</v>
      </c>
      <c r="G362" s="2" t="str">
        <f>+VLOOKUP(F362,Hoja2!$F:$I,2,FALSE)</f>
        <v>10. PILAR: CARTAGENA TRANSPARENTE</v>
      </c>
      <c r="H362" s="2" t="str">
        <f>+VLOOKUP(F362,Hoja2!$F:$I,3,FALSE)</f>
        <v>10.7 LÍNEA ESTRATÉGICA: PARTICIPACIÓN Y DESCENTRALIZACIÓN</v>
      </c>
      <c r="I362" s="2" t="str">
        <f>+VLOOKUP(F362,Hoja2!$F:$I,4,FALSE)</f>
        <v xml:space="preserve">10.7.2 PROGRAMA: MODERNIZACIÓN DEL SISTEMA DISTRITAL DE PLANEACIÓN Y DESCENTRALIZACIÓN  </v>
      </c>
      <c r="J362" t="s">
        <v>1005</v>
      </c>
      <c r="K362" t="str">
        <f t="shared" si="48"/>
        <v>001</v>
      </c>
      <c r="L362" t="s">
        <v>25</v>
      </c>
      <c r="M362" t="s">
        <v>26</v>
      </c>
      <c r="N362" t="s">
        <v>27</v>
      </c>
      <c r="O362" t="s">
        <v>1006</v>
      </c>
      <c r="P362" t="str">
        <f t="shared" si="45"/>
        <v>2021130010064 FORMACION PARA PROMOVER LOS DERECHOS SEXUALES Y REPRODUCTIVOS EN LA LOCALIDAD INDUSTRIAL Y DE LA BAHIA CARTAGENA DE INDIAS</v>
      </c>
      <c r="Q362" t="str">
        <f t="shared" si="42"/>
        <v>06</v>
      </c>
      <c r="R362" t="str">
        <f t="shared" si="43"/>
        <v>00</v>
      </c>
      <c r="S362" s="1">
        <v>0</v>
      </c>
      <c r="T362" s="1">
        <v>200000000</v>
      </c>
      <c r="U362" s="1">
        <v>200000000</v>
      </c>
      <c r="V362" s="1">
        <v>200000000</v>
      </c>
      <c r="W362" s="1">
        <v>0</v>
      </c>
      <c r="X362" s="1">
        <v>200000000</v>
      </c>
      <c r="Y362" s="1">
        <v>100</v>
      </c>
      <c r="Z362" s="1">
        <v>0</v>
      </c>
      <c r="AA362" s="1">
        <v>0</v>
      </c>
      <c r="AB362" s="1">
        <v>0</v>
      </c>
      <c r="AC362" s="1">
        <v>0</v>
      </c>
    </row>
    <row r="363" spans="1:29" x14ac:dyDescent="0.3">
      <c r="A363">
        <v>2022</v>
      </c>
      <c r="B363">
        <v>100</v>
      </c>
      <c r="C363" t="str">
        <f t="shared" si="51"/>
        <v>23</v>
      </c>
      <c r="D363" t="s">
        <v>959</v>
      </c>
      <c r="E363" t="str">
        <f t="shared" si="44"/>
        <v>23 LOCALIDAD INDUSTRIAL Y DE LA BAHIA</v>
      </c>
      <c r="F363" s="2">
        <v>2021130010065</v>
      </c>
      <c r="G363" s="2" t="str">
        <f>+VLOOKUP(F363,Hoja2!$F:$I,2,FALSE)</f>
        <v>10. PILAR: CARTAGENA TRANSPARENTE</v>
      </c>
      <c r="H363" s="2" t="str">
        <f>+VLOOKUP(F363,Hoja2!$F:$I,3,FALSE)</f>
        <v>10.7 LÍNEA ESTRATÉGICA: PARTICIPACIÓN Y DESCENTRALIZACIÓN</v>
      </c>
      <c r="I363" s="2" t="str">
        <f>+VLOOKUP(F363,Hoja2!$F:$I,4,FALSE)</f>
        <v xml:space="preserve">10.7.2 PROGRAMA: MODERNIZACIÓN DEL SISTEMA DISTRITAL DE PLANEACIÓN Y DESCENTRALIZACIÓN  </v>
      </c>
      <c r="J363" t="s">
        <v>975</v>
      </c>
      <c r="K363" t="str">
        <f t="shared" si="48"/>
        <v>001</v>
      </c>
      <c r="L363" t="s">
        <v>25</v>
      </c>
      <c r="M363" t="s">
        <v>26</v>
      </c>
      <c r="N363" t="s">
        <v>27</v>
      </c>
      <c r="O363" t="s">
        <v>976</v>
      </c>
      <c r="P363" t="str">
        <f t="shared" si="45"/>
        <v>2021130010065 FORTALECIMIENTO DE ESTRATEGIAS PARA GARANTIZAR EL DERECHO FUNDAMENTAL A LA VIDA Y LA INTEGRIDAD PERSONAL EN LA LOCALIDAD INDUSTRIAL Y DE LA BAHIA CARTAGENA DE INDIAS</v>
      </c>
      <c r="Q363" t="str">
        <f t="shared" si="42"/>
        <v>06</v>
      </c>
      <c r="R363" t="str">
        <f t="shared" si="43"/>
        <v>00</v>
      </c>
      <c r="S363" s="1">
        <v>0</v>
      </c>
      <c r="T363" s="1">
        <v>400000000</v>
      </c>
      <c r="U363" s="1">
        <v>400000000</v>
      </c>
      <c r="V363" s="1">
        <v>400000000</v>
      </c>
      <c r="W363" s="1">
        <v>0</v>
      </c>
      <c r="X363" s="1">
        <v>395303101</v>
      </c>
      <c r="Y363" s="1">
        <v>98.83</v>
      </c>
      <c r="Z363" s="1">
        <v>0</v>
      </c>
      <c r="AA363" s="1">
        <v>0</v>
      </c>
      <c r="AB363" s="1">
        <v>4696899</v>
      </c>
      <c r="AC363" s="1">
        <v>0</v>
      </c>
    </row>
    <row r="364" spans="1:29" x14ac:dyDescent="0.3">
      <c r="A364">
        <v>2022</v>
      </c>
      <c r="B364">
        <v>100</v>
      </c>
      <c r="C364" t="str">
        <f t="shared" si="51"/>
        <v>23</v>
      </c>
      <c r="D364" t="s">
        <v>959</v>
      </c>
      <c r="E364" t="str">
        <f t="shared" si="44"/>
        <v>23 LOCALIDAD INDUSTRIAL Y DE LA BAHIA</v>
      </c>
      <c r="F364" s="2">
        <v>2021130010070</v>
      </c>
      <c r="G364" s="2" t="str">
        <f>+VLOOKUP(F364,Hoja2!$F:$I,2,FALSE)</f>
        <v>10. PILAR: CARTAGENA TRANSPARENTE</v>
      </c>
      <c r="H364" s="2" t="str">
        <f>+VLOOKUP(F364,Hoja2!$F:$I,3,FALSE)</f>
        <v>10.7 LÍNEA ESTRATÉGICA: PARTICIPACIÓN Y DESCENTRALIZACIÓN</v>
      </c>
      <c r="I364" s="2" t="str">
        <f>+VLOOKUP(F364,Hoja2!$F:$I,4,FALSE)</f>
        <v xml:space="preserve">10.7.2 PROGRAMA: MODERNIZACIÓN DEL SISTEMA DISTRITAL DE PLANEACIÓN Y DESCENTRALIZACIÓN  </v>
      </c>
      <c r="J364" t="s">
        <v>1001</v>
      </c>
      <c r="K364" t="str">
        <f t="shared" si="48"/>
        <v>001</v>
      </c>
      <c r="L364" t="s">
        <v>25</v>
      </c>
      <c r="M364" t="s">
        <v>26</v>
      </c>
      <c r="N364" t="s">
        <v>27</v>
      </c>
      <c r="O364" t="s">
        <v>1002</v>
      </c>
      <c r="P364" t="str">
        <f t="shared" si="45"/>
        <v>2021130010070 RESTAURACION DE LAS AREAS NATURALES COMO PATRIMONIO AMBIENTAL EN LA LOCALIDAD INDUSTRIAL Y DE LA BAHIA,  CARTAGENA DE INDIAS</v>
      </c>
      <c r="Q364" t="str">
        <f t="shared" si="42"/>
        <v>06</v>
      </c>
      <c r="R364" t="str">
        <f t="shared" si="43"/>
        <v>00</v>
      </c>
      <c r="S364" s="1">
        <v>0</v>
      </c>
      <c r="T364" s="1">
        <v>400000000</v>
      </c>
      <c r="U364" s="1">
        <v>400000000</v>
      </c>
      <c r="V364" s="1">
        <v>400000000</v>
      </c>
      <c r="W364" s="1">
        <v>0</v>
      </c>
      <c r="X364" s="1">
        <v>400000000</v>
      </c>
      <c r="Y364" s="1">
        <v>100</v>
      </c>
      <c r="Z364" s="1">
        <v>400000000</v>
      </c>
      <c r="AA364" s="1">
        <v>100</v>
      </c>
      <c r="AB364" s="1">
        <v>0</v>
      </c>
      <c r="AC364" s="1">
        <v>400000000</v>
      </c>
    </row>
    <row r="365" spans="1:29" x14ac:dyDescent="0.3">
      <c r="A365">
        <v>2022</v>
      </c>
      <c r="B365">
        <v>100</v>
      </c>
      <c r="C365" t="str">
        <f t="shared" si="51"/>
        <v>23</v>
      </c>
      <c r="D365" t="s">
        <v>959</v>
      </c>
      <c r="E365" t="str">
        <f t="shared" si="44"/>
        <v>23 LOCALIDAD INDUSTRIAL Y DE LA BAHIA</v>
      </c>
      <c r="F365" s="2">
        <v>2021130010073</v>
      </c>
      <c r="G365" s="2" t="str">
        <f>+VLOOKUP(F365,Hoja2!$F:$I,2,FALSE)</f>
        <v>10. PILAR: CARTAGENA TRANSPARENTE</v>
      </c>
      <c r="H365" s="2" t="str">
        <f>+VLOOKUP(F365,Hoja2!$F:$I,3,FALSE)</f>
        <v>10.7 LÍNEA ESTRATÉGICA: PARTICIPACIÓN Y DESCENTRALIZACIÓN</v>
      </c>
      <c r="I365" s="2" t="str">
        <f>+VLOOKUP(F365,Hoja2!$F:$I,4,FALSE)</f>
        <v xml:space="preserve">10.7.2 PROGRAMA: MODERNIZACIÓN DEL SISTEMA DISTRITAL DE PLANEACIÓN Y DESCENTRALIZACIÓN  </v>
      </c>
      <c r="J365" t="s">
        <v>981</v>
      </c>
      <c r="K365" t="str">
        <f t="shared" si="48"/>
        <v>001</v>
      </c>
      <c r="L365" t="s">
        <v>25</v>
      </c>
      <c r="M365" t="s">
        <v>26</v>
      </c>
      <c r="N365" t="s">
        <v>27</v>
      </c>
      <c r="O365" t="s">
        <v>982</v>
      </c>
      <c r="P365" t="str">
        <f t="shared" si="45"/>
        <v>2021130010073 FORTALECIMIENTO DEL CONSEJO LOCAL DE PLANEACION Y DE LOS CONSEJOS COMUNEROS DE GOBIERNOS URBANOS Y RURALES EN LA LOCALIDAD INDUSTRIAL Y DE LA BAHIA CARTAGENA DE INDIAS</v>
      </c>
      <c r="Q365" t="str">
        <f t="shared" si="42"/>
        <v>06</v>
      </c>
      <c r="R365" t="str">
        <f t="shared" si="43"/>
        <v>00</v>
      </c>
      <c r="S365" s="1">
        <v>0</v>
      </c>
      <c r="T365" s="1">
        <v>200000000</v>
      </c>
      <c r="U365" s="1">
        <v>200000000</v>
      </c>
      <c r="V365" s="1">
        <v>0</v>
      </c>
      <c r="W365" s="1">
        <v>200000000</v>
      </c>
      <c r="X365" s="1">
        <v>0</v>
      </c>
      <c r="Y365" s="1">
        <v>0</v>
      </c>
      <c r="Z365" s="1">
        <v>0</v>
      </c>
      <c r="AA365" s="1">
        <v>0</v>
      </c>
      <c r="AB365" s="1">
        <v>200000000</v>
      </c>
      <c r="AC365" s="1">
        <v>0</v>
      </c>
    </row>
    <row r="366" spans="1:29" x14ac:dyDescent="0.3">
      <c r="A366">
        <v>2022</v>
      </c>
      <c r="B366">
        <v>100</v>
      </c>
      <c r="C366" t="str">
        <f>"11"</f>
        <v>11</v>
      </c>
      <c r="D366" t="s">
        <v>694</v>
      </c>
      <c r="E366" t="str">
        <f t="shared" si="44"/>
        <v>11 LOCALIDAD HISTORICA Y DEL CARIBE NORTE</v>
      </c>
      <c r="F366" s="2">
        <v>2021130010074</v>
      </c>
      <c r="G366" s="2" t="str">
        <f>+VLOOKUP(F366,Hoja2!$F:$I,2,FALSE)</f>
        <v>10. PILAR: CARTAGENA TRANSPARENTE</v>
      </c>
      <c r="H366" s="2" t="str">
        <f>+VLOOKUP(F366,Hoja2!$F:$I,3,FALSE)</f>
        <v>10.7 LÍNEA ESTRATÉGICA: PARTICIPACIÓN Y DESCENTRALIZACIÓN</v>
      </c>
      <c r="I366" s="2" t="str">
        <f>+VLOOKUP(F366,Hoja2!$F:$I,4,FALSE)</f>
        <v xml:space="preserve">10.7.2 PROGRAMA: MODERNIZACIÓN DEL SISTEMA DISTRITAL DE PLANEACIÓN Y DESCENTRALIZACIÓN  </v>
      </c>
      <c r="J366" t="s">
        <v>703</v>
      </c>
      <c r="K366" t="str">
        <f t="shared" si="48"/>
        <v>001</v>
      </c>
      <c r="L366" t="s">
        <v>25</v>
      </c>
      <c r="M366" t="s">
        <v>26</v>
      </c>
      <c r="N366" t="s">
        <v>27</v>
      </c>
      <c r="O366" t="s">
        <v>704</v>
      </c>
      <c r="P366" t="str">
        <f t="shared" si="45"/>
        <v>2021130010074 IMPLEMENTACION PROYECTO DEL FORTALECIMIENTO DE LA POLITICA NACIONAL DE SALUD MENTAL Y POLITICA INTEGRAL PARA LA PREVENCION Y ATENCION DEL CONSUMO DE SUSTANCIAS PSICOACTIVAS EN LOS NI?OS JOVENES Y ADOLESCENTES</v>
      </c>
      <c r="Q366" t="str">
        <f t="shared" si="42"/>
        <v>06</v>
      </c>
      <c r="R366" t="str">
        <f t="shared" si="43"/>
        <v>00</v>
      </c>
      <c r="S366" s="1">
        <v>0</v>
      </c>
      <c r="T366" s="1">
        <v>650000000</v>
      </c>
      <c r="U366" s="1">
        <v>650000000</v>
      </c>
      <c r="V366" s="1">
        <v>650000000</v>
      </c>
      <c r="W366" s="1">
        <v>0</v>
      </c>
      <c r="X366" s="1">
        <v>650000000</v>
      </c>
      <c r="Y366" s="1">
        <v>100</v>
      </c>
      <c r="Z366" s="1">
        <v>325000000</v>
      </c>
      <c r="AA366" s="1">
        <v>50</v>
      </c>
      <c r="AB366" s="1">
        <v>0</v>
      </c>
      <c r="AC366" s="1">
        <v>325000000</v>
      </c>
    </row>
    <row r="367" spans="1:29" x14ac:dyDescent="0.3">
      <c r="A367">
        <v>2022</v>
      </c>
      <c r="B367">
        <v>100</v>
      </c>
      <c r="C367" t="str">
        <f>"11"</f>
        <v>11</v>
      </c>
      <c r="D367" t="s">
        <v>694</v>
      </c>
      <c r="E367" t="str">
        <f t="shared" si="44"/>
        <v>11 LOCALIDAD HISTORICA Y DEL CARIBE NORTE</v>
      </c>
      <c r="F367" s="2">
        <v>2021130010075</v>
      </c>
      <c r="G367" s="2" t="str">
        <f>+VLOOKUP(F367,Hoja2!$F:$I,2,FALSE)</f>
        <v>10. PILAR: CARTAGENA TRANSPARENTE</v>
      </c>
      <c r="H367" s="2" t="str">
        <f>+VLOOKUP(F367,Hoja2!$F:$I,3,FALSE)</f>
        <v>10.7 LÍNEA ESTRATÉGICA: PARTICIPACIÓN Y DESCENTRALIZACIÓN</v>
      </c>
      <c r="I367" s="2" t="str">
        <f>+VLOOKUP(F367,Hoja2!$F:$I,4,FALSE)</f>
        <v xml:space="preserve">10.7.2 PROGRAMA: MODERNIZACIÓN DEL SISTEMA DISTRITAL DE PLANEACIÓN Y DESCENTRALIZACIÓN  </v>
      </c>
      <c r="J367" t="s">
        <v>699</v>
      </c>
      <c r="K367" t="str">
        <f t="shared" si="48"/>
        <v>001</v>
      </c>
      <c r="L367" t="s">
        <v>25</v>
      </c>
      <c r="M367" t="s">
        <v>26</v>
      </c>
      <c r="N367" t="s">
        <v>27</v>
      </c>
      <c r="O367" t="s">
        <v>700</v>
      </c>
      <c r="P367" t="str">
        <f t="shared" si="45"/>
        <v>2021130010075 FORTALECIMIENTO PARA EL EMPRENDIMIENTO DE NEGOCIOS PARA LOS HABITANTES DE LA LOCALIDAD HISTORICA Y DEL CARIBE NORTE EN EL DISTRITO DE CARTAGENA DE INDIAS,</v>
      </c>
      <c r="Q367" t="str">
        <f t="shared" si="42"/>
        <v>06</v>
      </c>
      <c r="R367" t="str">
        <f t="shared" si="43"/>
        <v>00</v>
      </c>
      <c r="S367" s="1">
        <v>0</v>
      </c>
      <c r="T367" s="1">
        <v>630000000</v>
      </c>
      <c r="U367" s="1">
        <v>630000000</v>
      </c>
      <c r="V367" s="1">
        <v>630000000</v>
      </c>
      <c r="W367" s="1">
        <v>0</v>
      </c>
      <c r="X367" s="1">
        <v>630000000</v>
      </c>
      <c r="Y367" s="1">
        <v>100</v>
      </c>
      <c r="Z367" s="1">
        <v>630000000</v>
      </c>
      <c r="AA367" s="1">
        <v>100</v>
      </c>
      <c r="AB367" s="1">
        <v>0</v>
      </c>
      <c r="AC367" s="1">
        <v>630000000</v>
      </c>
    </row>
    <row r="368" spans="1:29" x14ac:dyDescent="0.3">
      <c r="A368">
        <v>2022</v>
      </c>
      <c r="B368">
        <v>100</v>
      </c>
      <c r="C368" t="str">
        <f>"11"</f>
        <v>11</v>
      </c>
      <c r="D368" t="s">
        <v>694</v>
      </c>
      <c r="E368" t="str">
        <f t="shared" si="44"/>
        <v>11 LOCALIDAD HISTORICA Y DEL CARIBE NORTE</v>
      </c>
      <c r="F368" s="2">
        <v>2021130010076</v>
      </c>
      <c r="G368" s="2" t="str">
        <f>+VLOOKUP(F368,Hoja2!$F:$I,2,FALSE)</f>
        <v>10. PILAR: CARTAGENA TRANSPARENTE</v>
      </c>
      <c r="H368" s="2" t="str">
        <f>+VLOOKUP(F368,Hoja2!$F:$I,3,FALSE)</f>
        <v>10.7 LÍNEA ESTRATÉGICA: PARTICIPACIÓN Y DESCENTRALIZACIÓN</v>
      </c>
      <c r="I368" s="2" t="str">
        <f>+VLOOKUP(F368,Hoja2!$F:$I,4,FALSE)</f>
        <v xml:space="preserve">10.7.2 PROGRAMA: MODERNIZACIÓN DEL SISTEMA DISTRITAL DE PLANEACIÓN Y DESCENTRALIZACIÓN  </v>
      </c>
      <c r="J368" t="s">
        <v>705</v>
      </c>
      <c r="K368" t="str">
        <f t="shared" si="48"/>
        <v>001</v>
      </c>
      <c r="L368" t="s">
        <v>25</v>
      </c>
      <c r="M368" t="s">
        <v>26</v>
      </c>
      <c r="N368" t="s">
        <v>27</v>
      </c>
      <c r="O368" t="s">
        <v>706</v>
      </c>
      <c r="P368" t="str">
        <f t="shared" si="45"/>
        <v>2021130010076 CONSTRUCCION MEJORAMIENTO Y REHABILITACION DE VIAS PARA EL TRANSPORTE Y LA MOVILIDAD EN LA LOCALIDAD HISTORICA Y DEL CARIBE NORTE EN EL DISTRITO DE CARTAGENA</v>
      </c>
      <c r="Q368" t="str">
        <f t="shared" si="42"/>
        <v>06</v>
      </c>
      <c r="R368" t="str">
        <f t="shared" si="43"/>
        <v>00</v>
      </c>
      <c r="S368" s="1">
        <v>0</v>
      </c>
      <c r="T368" s="1">
        <v>70000000</v>
      </c>
      <c r="U368" s="1">
        <v>70000000</v>
      </c>
      <c r="V368" s="1">
        <v>70000000</v>
      </c>
      <c r="W368" s="1">
        <v>0</v>
      </c>
      <c r="X368" s="1">
        <v>70000000</v>
      </c>
      <c r="Y368" s="1">
        <v>100</v>
      </c>
      <c r="Z368" s="1">
        <v>39955167.530000001</v>
      </c>
      <c r="AA368" s="1">
        <v>57.08</v>
      </c>
      <c r="AB368" s="1">
        <v>0</v>
      </c>
      <c r="AC368" s="1">
        <v>39955167.530000001</v>
      </c>
    </row>
    <row r="369" spans="1:29" x14ac:dyDescent="0.3">
      <c r="A369">
        <v>2022</v>
      </c>
      <c r="B369">
        <v>100</v>
      </c>
      <c r="C369" t="str">
        <f>"11"</f>
        <v>11</v>
      </c>
      <c r="D369" t="s">
        <v>694</v>
      </c>
      <c r="E369" t="str">
        <f t="shared" si="44"/>
        <v>11 LOCALIDAD HISTORICA Y DEL CARIBE NORTE</v>
      </c>
      <c r="F369" s="2">
        <v>2021130010079</v>
      </c>
      <c r="G369" s="2" t="str">
        <f>+VLOOKUP(F369,Hoja2!$F:$I,2,FALSE)</f>
        <v>10. PILAR: CARTAGENA TRANSPARENTE</v>
      </c>
      <c r="H369" s="2" t="str">
        <f>+VLOOKUP(F369,Hoja2!$F:$I,3,FALSE)</f>
        <v>10.7 LÍNEA ESTRATÉGICA: PARTICIPACIÓN Y DESCENTRALIZACIÓN</v>
      </c>
      <c r="I369" s="2" t="str">
        <f>+VLOOKUP(F369,Hoja2!$F:$I,4,FALSE)</f>
        <v xml:space="preserve">10.7.2 PROGRAMA: MODERNIZACIÓN DEL SISTEMA DISTRITAL DE PLANEACIÓN Y DESCENTRALIZACIÓN  </v>
      </c>
      <c r="J369" t="s">
        <v>719</v>
      </c>
      <c r="K369" t="str">
        <f t="shared" si="48"/>
        <v>001</v>
      </c>
      <c r="L369" t="s">
        <v>25</v>
      </c>
      <c r="M369" t="s">
        <v>26</v>
      </c>
      <c r="N369" t="s">
        <v>27</v>
      </c>
      <c r="O369" t="s">
        <v>720</v>
      </c>
      <c r="P369" t="str">
        <f t="shared" si="45"/>
        <v xml:space="preserve">2021130010079 CONSTRUCCION MANTENIMIENTOS ADECUACIONES REPARACIONES DE CANCHAS DEPORTIVAS Y PARQUES EN LA ZONA URBANA DE LA LOCALIDAD HISTORICA Y DEL CARIBE NORTE DEL DISTRITO DE CARTAGENA DE INDIAS   </v>
      </c>
      <c r="Q369" t="str">
        <f t="shared" si="42"/>
        <v>06</v>
      </c>
      <c r="R369" t="str">
        <f t="shared" si="43"/>
        <v>00</v>
      </c>
      <c r="S369" s="1">
        <v>0</v>
      </c>
      <c r="T369" s="1">
        <v>1000000000</v>
      </c>
      <c r="U369" s="1">
        <v>1000000000</v>
      </c>
      <c r="V369" s="1">
        <v>1000000000</v>
      </c>
      <c r="W369" s="1">
        <v>0</v>
      </c>
      <c r="X369" s="1">
        <v>1000000000</v>
      </c>
      <c r="Y369" s="1">
        <v>100</v>
      </c>
      <c r="Z369" s="1">
        <v>1000000000</v>
      </c>
      <c r="AA369" s="1">
        <v>100</v>
      </c>
      <c r="AB369" s="1">
        <v>0</v>
      </c>
      <c r="AC369" s="1">
        <v>1000000000</v>
      </c>
    </row>
    <row r="370" spans="1:29" x14ac:dyDescent="0.3">
      <c r="A370">
        <v>2022</v>
      </c>
      <c r="B370">
        <v>100</v>
      </c>
      <c r="C370" t="str">
        <f>"11"</f>
        <v>11</v>
      </c>
      <c r="D370" t="s">
        <v>694</v>
      </c>
      <c r="E370" t="str">
        <f t="shared" si="44"/>
        <v>11 LOCALIDAD HISTORICA Y DEL CARIBE NORTE</v>
      </c>
      <c r="F370" s="2">
        <v>2021130010079</v>
      </c>
      <c r="G370" s="2" t="str">
        <f>+VLOOKUP(F370,Hoja2!$F:$I,2,FALSE)</f>
        <v>10. PILAR: CARTAGENA TRANSPARENTE</v>
      </c>
      <c r="H370" s="2" t="str">
        <f>+VLOOKUP(F370,Hoja2!$F:$I,3,FALSE)</f>
        <v>10.7 LÍNEA ESTRATÉGICA: PARTICIPACIÓN Y DESCENTRALIZACIÓN</v>
      </c>
      <c r="I370" s="2" t="str">
        <f>+VLOOKUP(F370,Hoja2!$F:$I,4,FALSE)</f>
        <v xml:space="preserve">10.7.2 PROGRAMA: MODERNIZACIÓN DEL SISTEMA DISTRITAL DE PLANEACIÓN Y DESCENTRALIZACIÓN  </v>
      </c>
      <c r="J370" t="s">
        <v>733</v>
      </c>
      <c r="K370" t="str">
        <f t="shared" si="48"/>
        <v>001</v>
      </c>
      <c r="L370" t="s">
        <v>25</v>
      </c>
      <c r="M370" t="s">
        <v>26</v>
      </c>
      <c r="N370" t="s">
        <v>27</v>
      </c>
      <c r="O370" t="s">
        <v>734</v>
      </c>
      <c r="P370" t="str">
        <f t="shared" si="45"/>
        <v>2021130010079 CONSTRUCCION MANTENIMIENTOS ADECUACIONES REPARACIONES DE CANCHAS DEPORTIVAS Y PARQUES  EN LA ZONA URBANA DE LA LOCALIDAD HISTORICA Y DEL CARIBE NORTE DEL DISTRITO DE CARTAGENA DE INDIAS</v>
      </c>
      <c r="Q370" t="str">
        <f t="shared" si="42"/>
        <v>06</v>
      </c>
      <c r="R370" t="str">
        <f t="shared" si="43"/>
        <v>00</v>
      </c>
      <c r="S370" s="1">
        <v>0</v>
      </c>
      <c r="T370" s="1">
        <v>2040297835.03</v>
      </c>
      <c r="U370" s="1">
        <v>2040297835.03</v>
      </c>
      <c r="V370" s="1">
        <v>2040297835.03</v>
      </c>
      <c r="W370" s="1">
        <v>0</v>
      </c>
      <c r="X370" s="1">
        <v>2040297834</v>
      </c>
      <c r="Y370" s="1">
        <v>100</v>
      </c>
      <c r="Z370" s="1">
        <v>1983007734.5</v>
      </c>
      <c r="AA370" s="1">
        <v>97.19</v>
      </c>
      <c r="AB370" s="1">
        <v>1.03</v>
      </c>
      <c r="AC370" s="1">
        <v>1983007734.5</v>
      </c>
    </row>
    <row r="371" spans="1:29" x14ac:dyDescent="0.3">
      <c r="A371">
        <v>2022</v>
      </c>
      <c r="B371">
        <v>100</v>
      </c>
      <c r="C371" t="str">
        <f t="shared" ref="C371:C376" si="52">"23"</f>
        <v>23</v>
      </c>
      <c r="D371" t="s">
        <v>959</v>
      </c>
      <c r="E371" t="str">
        <f t="shared" si="44"/>
        <v>23 LOCALIDAD INDUSTRIAL Y DE LA BAHIA</v>
      </c>
      <c r="F371" s="2">
        <v>2021130010082</v>
      </c>
      <c r="G371" s="2" t="str">
        <f>+VLOOKUP(F371,Hoja2!$F:$I,2,FALSE)</f>
        <v>10. PILAR: CARTAGENA TRANSPARENTE</v>
      </c>
      <c r="H371" s="2" t="str">
        <f>+VLOOKUP(F371,Hoja2!$F:$I,3,FALSE)</f>
        <v>10.7 LÍNEA ESTRATÉGICA: PARTICIPACIÓN Y DESCENTRALIZACIÓN</v>
      </c>
      <c r="I371" s="2" t="str">
        <f>+VLOOKUP(F371,Hoja2!$F:$I,4,FALSE)</f>
        <v xml:space="preserve">10.7.2 PROGRAMA: MODERNIZACIÓN DEL SISTEMA DISTRITAL DE PLANEACIÓN Y DESCENTRALIZACIÓN  </v>
      </c>
      <c r="J371" t="s">
        <v>969</v>
      </c>
      <c r="K371" t="str">
        <f t="shared" si="48"/>
        <v>001</v>
      </c>
      <c r="L371" t="s">
        <v>25</v>
      </c>
      <c r="M371" t="s">
        <v>26</v>
      </c>
      <c r="N371" t="s">
        <v>27</v>
      </c>
      <c r="O371" t="s">
        <v>970</v>
      </c>
      <c r="P371" t="str">
        <f t="shared" si="45"/>
        <v>2021130010082 FORTALECIMIENTO DEL DEPORTE RECREACION Y LUDICA DE LOS HABITANTES DE LA LOCALIDAD INDUSTRIAL Y DE LA BAHIA CARTAGENA DE INDIAS</v>
      </c>
      <c r="Q371" t="str">
        <f t="shared" si="42"/>
        <v>06</v>
      </c>
      <c r="R371" t="str">
        <f t="shared" si="43"/>
        <v>00</v>
      </c>
      <c r="S371" s="1">
        <v>0</v>
      </c>
      <c r="T371" s="1">
        <v>400000000</v>
      </c>
      <c r="U371" s="1">
        <v>400000000</v>
      </c>
      <c r="V371" s="1">
        <v>400000000</v>
      </c>
      <c r="W371" s="1">
        <v>0</v>
      </c>
      <c r="X371" s="1">
        <v>400000000</v>
      </c>
      <c r="Y371" s="1">
        <v>100</v>
      </c>
      <c r="Z371" s="1">
        <v>200000000</v>
      </c>
      <c r="AA371" s="1">
        <v>50</v>
      </c>
      <c r="AB371" s="1">
        <v>0</v>
      </c>
      <c r="AC371" s="1">
        <v>0</v>
      </c>
    </row>
    <row r="372" spans="1:29" x14ac:dyDescent="0.3">
      <c r="A372">
        <v>2022</v>
      </c>
      <c r="B372">
        <v>100</v>
      </c>
      <c r="C372" t="str">
        <f t="shared" si="52"/>
        <v>23</v>
      </c>
      <c r="D372" t="s">
        <v>959</v>
      </c>
      <c r="E372" t="str">
        <f t="shared" si="44"/>
        <v>23 LOCALIDAD INDUSTRIAL Y DE LA BAHIA</v>
      </c>
      <c r="F372" s="2">
        <v>2021130010083</v>
      </c>
      <c r="G372" s="2" t="str">
        <f>+VLOOKUP(F372,Hoja2!$F:$I,2,FALSE)</f>
        <v>10. PILAR: CARTAGENA TRANSPARENTE</v>
      </c>
      <c r="H372" s="2" t="str">
        <f>+VLOOKUP(F372,Hoja2!$F:$I,3,FALSE)</f>
        <v>10.7 LÍNEA ESTRATÉGICA: PARTICIPACIÓN Y DESCENTRALIZACIÓN</v>
      </c>
      <c r="I372" s="2" t="str">
        <f>+VLOOKUP(F372,Hoja2!$F:$I,4,FALSE)</f>
        <v xml:space="preserve">10.7.2 PROGRAMA: MODERNIZACIÓN DEL SISTEMA DISTRITAL DE PLANEACIÓN Y DESCENTRALIZACIÓN  </v>
      </c>
      <c r="J372" t="s">
        <v>960</v>
      </c>
      <c r="K372" t="str">
        <f t="shared" si="48"/>
        <v>001</v>
      </c>
      <c r="L372" t="s">
        <v>25</v>
      </c>
      <c r="M372" t="s">
        <v>26</v>
      </c>
      <c r="N372" t="s">
        <v>27</v>
      </c>
      <c r="O372" t="s">
        <v>961</v>
      </c>
      <c r="P372" t="str">
        <f t="shared" si="45"/>
        <v>2021130010083 FORTALECIMIENTO DE LOS PROCESOS DE FORMACION SOBRE LOS DERECHOS DE LOS NI?OS NI?AS Y ADOLESCENTES EN LA LOCALIDAD INDUSTRIAL Y DE LA BAHIA,  CARTAGENA DE INDIAS</v>
      </c>
      <c r="Q372" t="str">
        <f t="shared" si="42"/>
        <v>06</v>
      </c>
      <c r="R372" t="str">
        <f t="shared" si="43"/>
        <v>00</v>
      </c>
      <c r="S372" s="1">
        <v>0</v>
      </c>
      <c r="T372" s="1">
        <v>400000000</v>
      </c>
      <c r="U372" s="1">
        <v>400000000</v>
      </c>
      <c r="V372" s="1">
        <v>400000000</v>
      </c>
      <c r="W372" s="1">
        <v>0</v>
      </c>
      <c r="X372" s="1">
        <v>398083750</v>
      </c>
      <c r="Y372" s="1">
        <v>99.52</v>
      </c>
      <c r="Z372" s="1">
        <v>199041875</v>
      </c>
      <c r="AA372" s="1">
        <v>49.76</v>
      </c>
      <c r="AB372" s="1">
        <v>1916250</v>
      </c>
      <c r="AC372" s="1">
        <v>199041875</v>
      </c>
    </row>
    <row r="373" spans="1:29" x14ac:dyDescent="0.3">
      <c r="A373">
        <v>2022</v>
      </c>
      <c r="B373">
        <v>100</v>
      </c>
      <c r="C373" t="str">
        <f t="shared" si="52"/>
        <v>23</v>
      </c>
      <c r="D373" t="s">
        <v>959</v>
      </c>
      <c r="E373" t="str">
        <f t="shared" si="44"/>
        <v>23 LOCALIDAD INDUSTRIAL Y DE LA BAHIA</v>
      </c>
      <c r="F373" s="2">
        <v>2021130010085</v>
      </c>
      <c r="G373" s="2" t="str">
        <f>+VLOOKUP(F373,Hoja2!$F:$I,2,FALSE)</f>
        <v>10. PILAR: CARTAGENA TRANSPARENTE</v>
      </c>
      <c r="H373" s="2" t="str">
        <f>+VLOOKUP(F373,Hoja2!$F:$I,3,FALSE)</f>
        <v>10.7 LÍNEA ESTRATÉGICA: PARTICIPACIÓN Y DESCENTRALIZACIÓN</v>
      </c>
      <c r="I373" s="2" t="str">
        <f>+VLOOKUP(F373,Hoja2!$F:$I,4,FALSE)</f>
        <v xml:space="preserve">10.7.2 PROGRAMA: MODERNIZACIÓN DEL SISTEMA DISTRITAL DE PLANEACIÓN Y DESCENTRALIZACIÓN  </v>
      </c>
      <c r="J373" t="s">
        <v>965</v>
      </c>
      <c r="K373" t="str">
        <f t="shared" ref="K373:K406" si="53">"001"</f>
        <v>001</v>
      </c>
      <c r="L373" t="s">
        <v>25</v>
      </c>
      <c r="M373" t="s">
        <v>26</v>
      </c>
      <c r="N373" t="s">
        <v>27</v>
      </c>
      <c r="O373" t="s">
        <v>966</v>
      </c>
      <c r="P373" t="str">
        <f t="shared" si="45"/>
        <v>2021130010085 FORTALECIMIENTO DE LA INCLUSION ETNICA EN LA LOCALIDAD INDUSTRIAL Y DE LA BAHIA,  CARTAGENA DE INDIAS</v>
      </c>
      <c r="Q373" t="str">
        <f t="shared" si="42"/>
        <v>06</v>
      </c>
      <c r="R373" t="str">
        <f t="shared" si="43"/>
        <v>00</v>
      </c>
      <c r="S373" s="1">
        <v>0</v>
      </c>
      <c r="T373" s="1">
        <v>400000000</v>
      </c>
      <c r="U373" s="1">
        <v>400000000</v>
      </c>
      <c r="V373" s="1">
        <v>400000000</v>
      </c>
      <c r="W373" s="1">
        <v>0</v>
      </c>
      <c r="X373" s="1">
        <v>396049196.35000002</v>
      </c>
      <c r="Y373" s="1">
        <v>99.01</v>
      </c>
      <c r="Z373" s="1">
        <v>198024598.18000001</v>
      </c>
      <c r="AA373" s="1">
        <v>49.51</v>
      </c>
      <c r="AB373" s="1">
        <v>3950803.65</v>
      </c>
      <c r="AC373" s="1">
        <v>198024598.18000001</v>
      </c>
    </row>
    <row r="374" spans="1:29" x14ac:dyDescent="0.3">
      <c r="A374">
        <v>2022</v>
      </c>
      <c r="B374">
        <v>100</v>
      </c>
      <c r="C374" t="str">
        <f t="shared" si="52"/>
        <v>23</v>
      </c>
      <c r="D374" t="s">
        <v>959</v>
      </c>
      <c r="E374" t="str">
        <f t="shared" si="44"/>
        <v>23 LOCALIDAD INDUSTRIAL Y DE LA BAHIA</v>
      </c>
      <c r="F374" s="2">
        <v>2021130010087</v>
      </c>
      <c r="G374" s="2" t="str">
        <f>+VLOOKUP(F374,Hoja2!$F:$I,2,FALSE)</f>
        <v>10. PILAR: CARTAGENA TRANSPARENTE</v>
      </c>
      <c r="H374" s="2" t="str">
        <f>+VLOOKUP(F374,Hoja2!$F:$I,3,FALSE)</f>
        <v>10.7 LÍNEA ESTRATÉGICA: PARTICIPACIÓN Y DESCENTRALIZACIÓN</v>
      </c>
      <c r="I374" s="2" t="str">
        <f>+VLOOKUP(F374,Hoja2!$F:$I,4,FALSE)</f>
        <v xml:space="preserve">10.7.2 PROGRAMA: MODERNIZACIÓN DEL SISTEMA DISTRITAL DE PLANEACIÓN Y DESCENTRALIZACIÓN  </v>
      </c>
      <c r="J374" t="s">
        <v>962</v>
      </c>
      <c r="K374" t="str">
        <f t="shared" si="53"/>
        <v>001</v>
      </c>
      <c r="L374" t="s">
        <v>25</v>
      </c>
      <c r="M374" t="s">
        <v>26</v>
      </c>
      <c r="N374" t="s">
        <v>27</v>
      </c>
      <c r="O374" t="s">
        <v>963</v>
      </c>
      <c r="P374" t="str">
        <f t="shared" si="45"/>
        <v>2021130010087 FORTALECIMIENTO A LA ATENCION INCLUSIVA DE LAS PERSONAS CON DISCAPACIDAD EN LA LOCALIDAD INDUSTRIAL Y DE LA BAHIA,  CARTAGENA DE INDIAS</v>
      </c>
      <c r="Q374" t="str">
        <f t="shared" si="42"/>
        <v>06</v>
      </c>
      <c r="R374" t="str">
        <f t="shared" si="43"/>
        <v>00</v>
      </c>
      <c r="S374" s="1">
        <v>0</v>
      </c>
      <c r="T374" s="1">
        <v>487875697</v>
      </c>
      <c r="U374" s="1">
        <v>487875697</v>
      </c>
      <c r="V374" s="1">
        <v>487875697</v>
      </c>
      <c r="W374" s="1">
        <v>0</v>
      </c>
      <c r="X374" s="1">
        <v>487875697</v>
      </c>
      <c r="Y374" s="1">
        <v>100</v>
      </c>
      <c r="Z374" s="1">
        <v>0</v>
      </c>
      <c r="AA374" s="1">
        <v>0</v>
      </c>
      <c r="AB374" s="1">
        <v>0</v>
      </c>
      <c r="AC374" s="1">
        <v>0</v>
      </c>
    </row>
    <row r="375" spans="1:29" x14ac:dyDescent="0.3">
      <c r="A375">
        <v>2022</v>
      </c>
      <c r="B375">
        <v>100</v>
      </c>
      <c r="C375" t="str">
        <f t="shared" si="52"/>
        <v>23</v>
      </c>
      <c r="D375" t="s">
        <v>959</v>
      </c>
      <c r="E375" t="str">
        <f t="shared" si="44"/>
        <v>23 LOCALIDAD INDUSTRIAL Y DE LA BAHIA</v>
      </c>
      <c r="F375" s="2">
        <v>2021130010088</v>
      </c>
      <c r="G375" s="2" t="str">
        <f>+VLOOKUP(F375,Hoja2!$F:$I,2,FALSE)</f>
        <v>10. PILAR: CARTAGENA TRANSPARENTE</v>
      </c>
      <c r="H375" s="2" t="str">
        <f>+VLOOKUP(F375,Hoja2!$F:$I,3,FALSE)</f>
        <v>10.7 LÍNEA ESTRATÉGICA: PARTICIPACIÓN Y DESCENTRALIZACIÓN</v>
      </c>
      <c r="I375" s="2" t="str">
        <f>+VLOOKUP(F375,Hoja2!$F:$I,4,FALSE)</f>
        <v xml:space="preserve">10.7.2 PROGRAMA: MODERNIZACIÓN DEL SISTEMA DISTRITAL DE PLANEACIÓN Y DESCENTRALIZACIÓN  </v>
      </c>
      <c r="J375" t="s">
        <v>967</v>
      </c>
      <c r="K375" t="str">
        <f t="shared" si="53"/>
        <v>001</v>
      </c>
      <c r="L375" t="s">
        <v>25</v>
      </c>
      <c r="M375" t="s">
        <v>26</v>
      </c>
      <c r="N375" t="s">
        <v>27</v>
      </c>
      <c r="O375" t="s">
        <v>968</v>
      </c>
      <c r="P375" t="str">
        <f t="shared" si="45"/>
        <v>2021130010088 FORTALECIMIENTO A LA ATENCION INTEGRAL DE LOS ADULTOS MAYORES DE LA LOCALIDAD INDUSTRIAL Y DE LA BAHIA,  CARTAGENA DE INDIAS</v>
      </c>
      <c r="Q375" t="str">
        <f t="shared" si="42"/>
        <v>06</v>
      </c>
      <c r="R375" t="str">
        <f t="shared" si="43"/>
        <v>00</v>
      </c>
      <c r="S375" s="1">
        <v>0</v>
      </c>
      <c r="T375" s="1">
        <v>400000000</v>
      </c>
      <c r="U375" s="1">
        <v>400000000</v>
      </c>
      <c r="V375" s="1">
        <v>400000000</v>
      </c>
      <c r="W375" s="1">
        <v>0</v>
      </c>
      <c r="X375" s="1">
        <v>394917196</v>
      </c>
      <c r="Y375" s="1">
        <v>98.73</v>
      </c>
      <c r="Z375" s="1">
        <v>0</v>
      </c>
      <c r="AA375" s="1">
        <v>0</v>
      </c>
      <c r="AB375" s="1">
        <v>5082804</v>
      </c>
      <c r="AC375" s="1">
        <v>0</v>
      </c>
    </row>
    <row r="376" spans="1:29" x14ac:dyDescent="0.3">
      <c r="A376">
        <v>2022</v>
      </c>
      <c r="B376">
        <v>100</v>
      </c>
      <c r="C376" t="str">
        <f t="shared" si="52"/>
        <v>23</v>
      </c>
      <c r="D376" t="s">
        <v>959</v>
      </c>
      <c r="E376" t="str">
        <f t="shared" si="44"/>
        <v>23 LOCALIDAD INDUSTRIAL Y DE LA BAHIA</v>
      </c>
      <c r="F376" s="2">
        <v>2021130010089</v>
      </c>
      <c r="G376" s="2" t="str">
        <f>+VLOOKUP(F376,Hoja2!$F:$I,2,FALSE)</f>
        <v>10. PILAR: CARTAGENA TRANSPARENTE</v>
      </c>
      <c r="H376" s="2" t="str">
        <f>+VLOOKUP(F376,Hoja2!$F:$I,3,FALSE)</f>
        <v>10.7 LÍNEA ESTRATÉGICA: PARTICIPACIÓN Y DESCENTRALIZACIÓN</v>
      </c>
      <c r="I376" s="2" t="str">
        <f>+VLOOKUP(F376,Hoja2!$F:$I,4,FALSE)</f>
        <v xml:space="preserve">10.7.2 PROGRAMA: MODERNIZACIÓN DEL SISTEMA DISTRITAL DE PLANEACIÓN Y DESCENTRALIZACIÓN  </v>
      </c>
      <c r="J376" t="s">
        <v>977</v>
      </c>
      <c r="K376" t="str">
        <f t="shared" si="53"/>
        <v>001</v>
      </c>
      <c r="L376" t="s">
        <v>25</v>
      </c>
      <c r="M376" t="s">
        <v>26</v>
      </c>
      <c r="N376" t="s">
        <v>27</v>
      </c>
      <c r="O376" t="s">
        <v>978</v>
      </c>
      <c r="P376" t="str">
        <f t="shared" si="45"/>
        <v>2021130010089 FORTALECIMIENTO DE LAS ORGANIZACIONES Y LIDERES COMUNITARIOS PARA LA PARTICIPACION LOCAL EN LA LOCALIDAD INDUSTRIAL Y DE LA BAHIA,  CARTAGENA DE INDIAS</v>
      </c>
      <c r="Q376" t="str">
        <f t="shared" si="42"/>
        <v>06</v>
      </c>
      <c r="R376" t="str">
        <f t="shared" si="43"/>
        <v>00</v>
      </c>
      <c r="S376" s="1">
        <v>0</v>
      </c>
      <c r="T376" s="1">
        <v>266162744.86000001</v>
      </c>
      <c r="U376" s="1">
        <v>266162744.86000001</v>
      </c>
      <c r="V376" s="1">
        <v>266162744.86000001</v>
      </c>
      <c r="W376" s="1">
        <v>0</v>
      </c>
      <c r="X376" s="1">
        <v>266162744.86000001</v>
      </c>
      <c r="Y376" s="1">
        <v>100</v>
      </c>
      <c r="Z376" s="1">
        <v>0</v>
      </c>
      <c r="AA376" s="1">
        <v>0</v>
      </c>
      <c r="AB376" s="1">
        <v>0</v>
      </c>
      <c r="AC376" s="1">
        <v>0</v>
      </c>
    </row>
    <row r="377" spans="1:29" x14ac:dyDescent="0.3">
      <c r="A377">
        <v>2022</v>
      </c>
      <c r="B377">
        <v>100</v>
      </c>
      <c r="C377" t="str">
        <f>"17"</f>
        <v>17</v>
      </c>
      <c r="D377" t="s">
        <v>852</v>
      </c>
      <c r="E377" t="str">
        <f t="shared" si="44"/>
        <v>17 INSTITUTO DE PATRIMONIO Y CULTURA DE CARTAGENA DE INDIAS</v>
      </c>
      <c r="F377" s="2">
        <v>2021130010090</v>
      </c>
      <c r="G377" s="2" t="str">
        <f>+VLOOKUP(F377,Hoja2!$F:$I,2,FALSE)</f>
        <v>11. EJE TRANSVERSAL: CARTAGENA CON ATENCION Y GARANTIA DE DERECHOS A POBLACION DIFERENCIAL.</v>
      </c>
      <c r="H377" s="2" t="str">
        <f>+VLOOKUP(F377,Hoja2!$F:$I,3,FALSE)</f>
        <v>11.4 LÍNEA ESTRATÉGICA JÓVENES SALVANDO A CARTAGENA</v>
      </c>
      <c r="I377" s="2" t="str">
        <f>+VLOOKUP(F377,Hoja2!$F:$I,4,FALSE)</f>
        <v>11.4.1 PROGRAMA: JOVENES PARTICIPANDO Y SALVANDO A CARTAGENA</v>
      </c>
      <c r="J377" t="s">
        <v>890</v>
      </c>
      <c r="K377" t="str">
        <f t="shared" si="53"/>
        <v>001</v>
      </c>
      <c r="L377" t="s">
        <v>25</v>
      </c>
      <c r="M377" t="s">
        <v>26</v>
      </c>
      <c r="N377" t="s">
        <v>27</v>
      </c>
      <c r="O377" t="s">
        <v>891</v>
      </c>
      <c r="P377" t="str">
        <f t="shared" si="45"/>
        <v>2021130010090 DESARROLLO DE ACTIVIDADES CULTURALES Y ARTISTICAS PARA LOS JOVENES ENTRE 14 Y 28 A?OS DEL DISTRITO DE   CARTAGENA DE INDIAS</v>
      </c>
      <c r="Q377" t="str">
        <f t="shared" si="42"/>
        <v>06</v>
      </c>
      <c r="R377" t="str">
        <f t="shared" si="43"/>
        <v>00</v>
      </c>
      <c r="S377" s="1">
        <v>90000000</v>
      </c>
      <c r="T377" s="1">
        <v>0</v>
      </c>
      <c r="U377" s="1">
        <v>90000000</v>
      </c>
      <c r="V377" s="1">
        <v>90000000</v>
      </c>
      <c r="W377" s="1">
        <v>0</v>
      </c>
      <c r="X377" s="1">
        <v>90000000</v>
      </c>
      <c r="Y377" s="1">
        <v>100</v>
      </c>
      <c r="Z377" s="1">
        <v>90000000</v>
      </c>
      <c r="AA377" s="1">
        <v>100</v>
      </c>
      <c r="AB377" s="1">
        <v>0</v>
      </c>
      <c r="AC377" s="1">
        <v>89550000</v>
      </c>
    </row>
    <row r="378" spans="1:29" x14ac:dyDescent="0.3">
      <c r="A378">
        <v>2022</v>
      </c>
      <c r="B378">
        <v>100</v>
      </c>
      <c r="C378" t="str">
        <f>"04"</f>
        <v>04</v>
      </c>
      <c r="D378" t="s">
        <v>207</v>
      </c>
      <c r="E378" t="str">
        <f t="shared" si="44"/>
        <v>04 LOCALIDAD TURISTICA Y DE LA VIRGEN</v>
      </c>
      <c r="F378" s="2">
        <v>2021130010091</v>
      </c>
      <c r="G378" s="2" t="str">
        <f>+VLOOKUP(F378,Hoja2!$F:$I,2,FALSE)</f>
        <v>10. PILAR: CARTAGENA TRANSPARENTE</v>
      </c>
      <c r="H378" s="2" t="str">
        <f>+VLOOKUP(F378,Hoja2!$F:$I,3,FALSE)</f>
        <v>10.7 LÍNEA ESTRATÉGICA: PARTICIPACIÓN Y DESCENTRALIZACIÓN</v>
      </c>
      <c r="I378" s="2" t="str">
        <f>+VLOOKUP(F378,Hoja2!$F:$I,4,FALSE)</f>
        <v xml:space="preserve">10.7.2 PROGRAMA: MODERNIZACIÓN DEL SISTEMA DISTRITAL DE PLANEACIÓN Y DESCENTRALIZACIÓN  </v>
      </c>
      <c r="J378" t="s">
        <v>257</v>
      </c>
      <c r="K378" t="str">
        <f t="shared" si="53"/>
        <v>001</v>
      </c>
      <c r="L378" t="s">
        <v>25</v>
      </c>
      <c r="M378" t="s">
        <v>26</v>
      </c>
      <c r="N378" t="s">
        <v>27</v>
      </c>
      <c r="O378" t="s">
        <v>258</v>
      </c>
      <c r="P378" t="str">
        <f t="shared" si="45"/>
        <v>2021130010091 INCREMENTO DE ZONAS VERDES A TRAVES DE LA RECUPERACION DE ESPACIO PUBLICO DE LA LOCALIDAD DE LA VIRGEN Y TURISTICA CARTAGENA DE INDIAS</v>
      </c>
      <c r="Q378" t="str">
        <f t="shared" si="42"/>
        <v>06</v>
      </c>
      <c r="R378" t="str">
        <f t="shared" si="43"/>
        <v>00</v>
      </c>
      <c r="S378" s="1">
        <v>200000000</v>
      </c>
      <c r="T378" s="1">
        <v>0</v>
      </c>
      <c r="U378" s="1">
        <v>200000000</v>
      </c>
      <c r="V378" s="1">
        <v>0</v>
      </c>
      <c r="W378" s="1">
        <v>200000000</v>
      </c>
      <c r="X378" s="1">
        <v>0</v>
      </c>
      <c r="Y378" s="1">
        <v>0</v>
      </c>
      <c r="Z378" s="1">
        <v>0</v>
      </c>
      <c r="AA378" s="1">
        <v>0</v>
      </c>
      <c r="AB378" s="1">
        <v>200000000</v>
      </c>
      <c r="AC378" s="1">
        <v>0</v>
      </c>
    </row>
    <row r="379" spans="1:29" x14ac:dyDescent="0.3">
      <c r="A379">
        <v>2022</v>
      </c>
      <c r="B379">
        <v>100</v>
      </c>
      <c r="C379" t="str">
        <f>"04"</f>
        <v>04</v>
      </c>
      <c r="D379" t="s">
        <v>207</v>
      </c>
      <c r="E379" t="str">
        <f t="shared" si="44"/>
        <v>04 LOCALIDAD TURISTICA Y DE LA VIRGEN</v>
      </c>
      <c r="F379" s="2">
        <v>2021130010092</v>
      </c>
      <c r="G379" s="2" t="str">
        <f>+VLOOKUP(F379,Hoja2!$F:$I,2,FALSE)</f>
        <v>10. PILAR: CARTAGENA TRANSPARENTE</v>
      </c>
      <c r="H379" s="2" t="str">
        <f>+VLOOKUP(F379,Hoja2!$F:$I,3,FALSE)</f>
        <v>10.7 LÍNEA ESTRATÉGICA: PARTICIPACIÓN Y DESCENTRALIZACIÓN</v>
      </c>
      <c r="I379" s="2" t="str">
        <f>+VLOOKUP(F379,Hoja2!$F:$I,4,FALSE)</f>
        <v xml:space="preserve">10.7.2 PROGRAMA: MODERNIZACIÓN DEL SISTEMA DISTRITAL DE PLANEACIÓN Y DESCENTRALIZACIÓN  </v>
      </c>
      <c r="J379" t="s">
        <v>215</v>
      </c>
      <c r="K379" t="str">
        <f t="shared" si="53"/>
        <v>001</v>
      </c>
      <c r="L379" t="s">
        <v>25</v>
      </c>
      <c r="M379" t="s">
        <v>26</v>
      </c>
      <c r="N379" t="s">
        <v>27</v>
      </c>
      <c r="O379" t="s">
        <v>216</v>
      </c>
      <c r="P379" t="str">
        <f t="shared" si="45"/>
        <v>2021130010092 MUJERES CON AUTONOMIA ECONOMICA</v>
      </c>
      <c r="Q379" t="str">
        <f t="shared" si="42"/>
        <v>06</v>
      </c>
      <c r="R379" t="str">
        <f t="shared" si="43"/>
        <v>00</v>
      </c>
      <c r="S379" s="1">
        <v>250000000</v>
      </c>
      <c r="T379" s="1">
        <v>-250000000</v>
      </c>
      <c r="U379" s="1">
        <v>0</v>
      </c>
      <c r="V379" s="1">
        <v>0</v>
      </c>
      <c r="W379" s="1">
        <v>0</v>
      </c>
      <c r="X379" s="1">
        <v>0</v>
      </c>
      <c r="Y379" s="1">
        <v>0</v>
      </c>
      <c r="Z379" s="1">
        <v>0</v>
      </c>
      <c r="AA379" s="1">
        <v>0</v>
      </c>
      <c r="AB379" s="1">
        <v>0</v>
      </c>
      <c r="AC379" s="1">
        <v>0</v>
      </c>
    </row>
    <row r="380" spans="1:29" x14ac:dyDescent="0.3">
      <c r="A380">
        <v>2022</v>
      </c>
      <c r="B380">
        <v>100</v>
      </c>
      <c r="C380" t="str">
        <f>"23"</f>
        <v>23</v>
      </c>
      <c r="D380" t="s">
        <v>959</v>
      </c>
      <c r="E380" t="str">
        <f t="shared" si="44"/>
        <v>23 LOCALIDAD INDUSTRIAL Y DE LA BAHIA</v>
      </c>
      <c r="F380" s="2">
        <v>2021130010093</v>
      </c>
      <c r="G380" s="2" t="str">
        <f>+VLOOKUP(F380,Hoja2!$F:$I,2,FALSE)</f>
        <v>10. PILAR: CARTAGENA TRANSPARENTE</v>
      </c>
      <c r="H380" s="2" t="str">
        <f>+VLOOKUP(F380,Hoja2!$F:$I,3,FALSE)</f>
        <v>10.7 LÍNEA ESTRATÉGICA: PARTICIPACIÓN Y DESCENTRALIZACIÓN</v>
      </c>
      <c r="I380" s="2" t="str">
        <f>+VLOOKUP(F380,Hoja2!$F:$I,4,FALSE)</f>
        <v xml:space="preserve">10.7.2 PROGRAMA: MODERNIZACIÓN DEL SISTEMA DISTRITAL DE PLANEACIÓN Y DESCENTRALIZACIÓN  </v>
      </c>
      <c r="J380" t="s">
        <v>979</v>
      </c>
      <c r="K380" t="str">
        <f t="shared" si="53"/>
        <v>001</v>
      </c>
      <c r="L380" t="s">
        <v>25</v>
      </c>
      <c r="M380" t="s">
        <v>26</v>
      </c>
      <c r="N380" t="s">
        <v>27</v>
      </c>
      <c r="O380" t="s">
        <v>980</v>
      </c>
      <c r="P380" t="str">
        <f t="shared" si="45"/>
        <v>2021130010093 FORMACION DE LA POBLACION JUVENIL DE LA LOCALIDAD PARA FOMENTAR SU PARTICIPACION CIUDADANA EN LA LOCALIDAD INDUSTRIAL Y DE LA BAHIA,  CARTAGENA DE INDIAS</v>
      </c>
      <c r="Q380" t="str">
        <f t="shared" si="42"/>
        <v>06</v>
      </c>
      <c r="R380" t="str">
        <f t="shared" si="43"/>
        <v>00</v>
      </c>
      <c r="S380" s="1">
        <v>0</v>
      </c>
      <c r="T380" s="1">
        <v>400000000</v>
      </c>
      <c r="U380" s="1">
        <v>400000000</v>
      </c>
      <c r="V380" s="1">
        <v>400000000</v>
      </c>
      <c r="W380" s="1">
        <v>0</v>
      </c>
      <c r="X380" s="1">
        <v>400000000</v>
      </c>
      <c r="Y380" s="1">
        <v>100</v>
      </c>
      <c r="Z380" s="1">
        <v>0</v>
      </c>
      <c r="AA380" s="1">
        <v>0</v>
      </c>
      <c r="AB380" s="1">
        <v>0</v>
      </c>
      <c r="AC380" s="1">
        <v>0</v>
      </c>
    </row>
    <row r="381" spans="1:29" x14ac:dyDescent="0.3">
      <c r="A381">
        <v>2022</v>
      </c>
      <c r="B381">
        <v>100</v>
      </c>
      <c r="C381" t="str">
        <f>"23"</f>
        <v>23</v>
      </c>
      <c r="D381" t="s">
        <v>959</v>
      </c>
      <c r="E381" t="str">
        <f t="shared" si="44"/>
        <v>23 LOCALIDAD INDUSTRIAL Y DE LA BAHIA</v>
      </c>
      <c r="F381" s="2">
        <v>2021130010095</v>
      </c>
      <c r="G381" s="2" t="str">
        <f>+VLOOKUP(F381,Hoja2!$F:$I,2,FALSE)</f>
        <v>10. PILAR: CARTAGENA TRANSPARENTE</v>
      </c>
      <c r="H381" s="2" t="str">
        <f>+VLOOKUP(F381,Hoja2!$F:$I,3,FALSE)</f>
        <v>10.7 LÍNEA ESTRATÉGICA: PARTICIPACIÓN Y DESCENTRALIZACIÓN</v>
      </c>
      <c r="I381" s="2" t="str">
        <f>+VLOOKUP(F381,Hoja2!$F:$I,4,FALSE)</f>
        <v xml:space="preserve">10.7.2 PROGRAMA: MODERNIZACIÓN DEL SISTEMA DISTRITAL DE PLANEACIÓN Y DESCENTRALIZACIÓN  </v>
      </c>
      <c r="J381" t="s">
        <v>995</v>
      </c>
      <c r="K381" t="str">
        <f t="shared" si="53"/>
        <v>001</v>
      </c>
      <c r="L381" t="s">
        <v>25</v>
      </c>
      <c r="M381" t="s">
        <v>26</v>
      </c>
      <c r="N381" t="s">
        <v>27</v>
      </c>
      <c r="O381" t="s">
        <v>996</v>
      </c>
      <c r="P381" t="str">
        <f t="shared" si="45"/>
        <v>2021130010095 FORTALECIMIENTO AL DESARROLLO DE LAS EXPRESIONES ARTISTICAS Y CULTURALES EN LA LOCALIDAD INDUSTRIAL Y DE LA BAHIA CARTAGENA DE INDIAS</v>
      </c>
      <c r="Q381" t="str">
        <f t="shared" si="42"/>
        <v>06</v>
      </c>
      <c r="R381" t="str">
        <f t="shared" si="43"/>
        <v>00</v>
      </c>
      <c r="S381" s="1">
        <v>0</v>
      </c>
      <c r="T381" s="1">
        <v>600000000</v>
      </c>
      <c r="U381" s="1">
        <v>600000000</v>
      </c>
      <c r="V381" s="1">
        <v>600000000</v>
      </c>
      <c r="W381" s="1">
        <v>0</v>
      </c>
      <c r="X381" s="1">
        <v>591544185</v>
      </c>
      <c r="Y381" s="1">
        <v>98.59</v>
      </c>
      <c r="Z381" s="1">
        <v>295772092.5</v>
      </c>
      <c r="AA381" s="1">
        <v>49.3</v>
      </c>
      <c r="AB381" s="1">
        <v>8455815</v>
      </c>
      <c r="AC381" s="1">
        <v>0</v>
      </c>
    </row>
    <row r="382" spans="1:29" x14ac:dyDescent="0.3">
      <c r="A382">
        <v>2022</v>
      </c>
      <c r="B382">
        <v>100</v>
      </c>
      <c r="C382" t="str">
        <f t="shared" ref="C382:C398" si="54">"04"</f>
        <v>04</v>
      </c>
      <c r="D382" t="s">
        <v>207</v>
      </c>
      <c r="E382" t="str">
        <f t="shared" si="44"/>
        <v>04 LOCALIDAD TURISTICA Y DE LA VIRGEN</v>
      </c>
      <c r="F382" s="2">
        <v>2021130010098</v>
      </c>
      <c r="G382" s="2" t="str">
        <f>+VLOOKUP(F382,Hoja2!$F:$I,2,FALSE)</f>
        <v>10. PILAR: CARTAGENA TRANSPARENTE</v>
      </c>
      <c r="H382" s="2" t="str">
        <f>+VLOOKUP(F382,Hoja2!$F:$I,3,FALSE)</f>
        <v>10.7 LÍNEA ESTRATÉGICA: PARTICIPACIÓN Y DESCENTRALIZACIÓN</v>
      </c>
      <c r="I382" s="2" t="str">
        <f>+VLOOKUP(F382,Hoja2!$F:$I,4,FALSE)</f>
        <v xml:space="preserve">10.7.2 PROGRAMA: MODERNIZACIÓN DEL SISTEMA DISTRITAL DE PLANEACIÓN Y DESCENTRALIZACIÓN  </v>
      </c>
      <c r="J382" t="s">
        <v>223</v>
      </c>
      <c r="K382" t="str">
        <f t="shared" si="53"/>
        <v>001</v>
      </c>
      <c r="L382" t="s">
        <v>25</v>
      </c>
      <c r="M382" t="s">
        <v>26</v>
      </c>
      <c r="N382" t="s">
        <v>27</v>
      </c>
      <c r="O382" t="s">
        <v>224</v>
      </c>
      <c r="P382" t="str">
        <f t="shared" si="45"/>
        <v>2021130010098 FORTALECIMIENTO DEL MANEJO Y PREVENCION DE DESASTRES DE LA LOCALIDAD DE LA VIRGEN Y TURISTICA CARTAGENA DE INDIAS</v>
      </c>
      <c r="Q382" t="str">
        <f t="shared" si="42"/>
        <v>06</v>
      </c>
      <c r="R382" t="str">
        <f t="shared" si="43"/>
        <v>00</v>
      </c>
      <c r="S382" s="1">
        <v>200000000</v>
      </c>
      <c r="T382" s="1">
        <v>2603305147</v>
      </c>
      <c r="U382" s="1">
        <v>2803305147</v>
      </c>
      <c r="V382" s="1">
        <v>2003307086</v>
      </c>
      <c r="W382" s="1">
        <v>799998061</v>
      </c>
      <c r="X382" s="1">
        <v>2003191219</v>
      </c>
      <c r="Y382" s="1">
        <v>71.459999999999994</v>
      </c>
      <c r="Z382" s="1">
        <v>300478682</v>
      </c>
      <c r="AA382" s="1">
        <v>10.72</v>
      </c>
      <c r="AB382" s="1">
        <v>800113928</v>
      </c>
      <c r="AC382" s="1">
        <v>0</v>
      </c>
    </row>
    <row r="383" spans="1:29" x14ac:dyDescent="0.3">
      <c r="A383">
        <v>2022</v>
      </c>
      <c r="B383">
        <v>100</v>
      </c>
      <c r="C383" t="str">
        <f t="shared" si="54"/>
        <v>04</v>
      </c>
      <c r="D383" t="s">
        <v>207</v>
      </c>
      <c r="E383" t="str">
        <f t="shared" si="44"/>
        <v>04 LOCALIDAD TURISTICA Y DE LA VIRGEN</v>
      </c>
      <c r="F383" s="2">
        <v>2021130010099</v>
      </c>
      <c r="G383" s="2" t="str">
        <f>+VLOOKUP(F383,Hoja2!$F:$I,2,FALSE)</f>
        <v>10. PILAR: CARTAGENA TRANSPARENTE</v>
      </c>
      <c r="H383" s="2" t="str">
        <f>+VLOOKUP(F383,Hoja2!$F:$I,3,FALSE)</f>
        <v>10.7 LÍNEA ESTRATÉGICA: PARTICIPACIÓN Y DESCENTRALIZACIÓN</v>
      </c>
      <c r="I383" s="2" t="str">
        <f>+VLOOKUP(F383,Hoja2!$F:$I,4,FALSE)</f>
        <v xml:space="preserve">10.7.2 PROGRAMA: MODERNIZACIÓN DEL SISTEMA DISTRITAL DE PLANEACIÓN Y DESCENTRALIZACIÓN  </v>
      </c>
      <c r="J383" t="s">
        <v>261</v>
      </c>
      <c r="K383" t="str">
        <f t="shared" si="53"/>
        <v>001</v>
      </c>
      <c r="L383" t="s">
        <v>25</v>
      </c>
      <c r="M383" t="s">
        <v>26</v>
      </c>
      <c r="N383" t="s">
        <v>27</v>
      </c>
      <c r="O383" t="s">
        <v>262</v>
      </c>
      <c r="P383" t="str">
        <f t="shared" si="45"/>
        <v>2021130010099 ADECUACION DE SANEAMIENTO BASICO PARA VIVIENDAS DE LA POBLACION EN CONDICION POBREZA DE LA LOCALIDAD DE LA VIRGEN Y TURISTICA CARTAGENA DE INDIAS</v>
      </c>
      <c r="Q383" t="str">
        <f t="shared" si="42"/>
        <v>06</v>
      </c>
      <c r="R383" t="str">
        <f t="shared" si="43"/>
        <v>00</v>
      </c>
      <c r="S383" s="1">
        <v>0</v>
      </c>
      <c r="T383" s="1">
        <v>0</v>
      </c>
      <c r="U383" s="1">
        <v>0</v>
      </c>
      <c r="V383" s="1">
        <v>0</v>
      </c>
      <c r="W383" s="1">
        <v>0</v>
      </c>
      <c r="X383" s="1">
        <v>0</v>
      </c>
      <c r="Y383" s="1">
        <v>0</v>
      </c>
      <c r="Z383" s="1">
        <v>0</v>
      </c>
      <c r="AA383" s="1">
        <v>0</v>
      </c>
      <c r="AB383" s="1">
        <v>0</v>
      </c>
      <c r="AC383" s="1">
        <v>0</v>
      </c>
    </row>
    <row r="384" spans="1:29" x14ac:dyDescent="0.3">
      <c r="A384">
        <v>2022</v>
      </c>
      <c r="B384">
        <v>100</v>
      </c>
      <c r="C384" t="str">
        <f t="shared" si="54"/>
        <v>04</v>
      </c>
      <c r="D384" t="s">
        <v>207</v>
      </c>
      <c r="E384" t="str">
        <f t="shared" si="44"/>
        <v>04 LOCALIDAD TURISTICA Y DE LA VIRGEN</v>
      </c>
      <c r="F384" s="2">
        <v>2021130010100</v>
      </c>
      <c r="G384" s="2" t="str">
        <f>+VLOOKUP(F384,Hoja2!$F:$I,2,FALSE)</f>
        <v>10. PILAR: CARTAGENA TRANSPARENTE</v>
      </c>
      <c r="H384" s="2" t="str">
        <f>+VLOOKUP(F384,Hoja2!$F:$I,3,FALSE)</f>
        <v>10.7 LÍNEA ESTRATÉGICA: PARTICIPACIÓN Y DESCENTRALIZACIÓN</v>
      </c>
      <c r="I384" s="2" t="str">
        <f>+VLOOKUP(F384,Hoja2!$F:$I,4,FALSE)</f>
        <v xml:space="preserve">10.7.2 PROGRAMA: MODERNIZACIÓN DEL SISTEMA DISTRITAL DE PLANEACIÓN Y DESCENTRALIZACIÓN  </v>
      </c>
      <c r="J384" t="s">
        <v>225</v>
      </c>
      <c r="K384" t="str">
        <f t="shared" si="53"/>
        <v>001</v>
      </c>
      <c r="L384" t="s">
        <v>25</v>
      </c>
      <c r="M384" t="s">
        <v>26</v>
      </c>
      <c r="N384" t="s">
        <v>27</v>
      </c>
      <c r="O384" t="s">
        <v>226</v>
      </c>
      <c r="P384" t="str">
        <f t="shared" si="45"/>
        <v>2021130010100 DESARROLLO DE MEDIDAS PARA MEJORAR LA CAPACIDAD HIDRAULICA DE LOS CANALES PLUVIALES EN LA LOCALIDAD DE LA VIRGEN Y TURISTICA CARTAGENA DE INDIAS</v>
      </c>
      <c r="Q384" t="str">
        <f t="shared" si="42"/>
        <v>06</v>
      </c>
      <c r="R384" t="str">
        <f t="shared" si="43"/>
        <v>00</v>
      </c>
      <c r="S384" s="1">
        <v>0</v>
      </c>
      <c r="T384" s="1">
        <v>1500000000</v>
      </c>
      <c r="U384" s="1">
        <v>1500000000</v>
      </c>
      <c r="V384" s="1">
        <v>1500000000</v>
      </c>
      <c r="W384" s="1">
        <v>0</v>
      </c>
      <c r="X384" s="1">
        <v>1497900000</v>
      </c>
      <c r="Y384" s="1">
        <v>99.86</v>
      </c>
      <c r="Z384" s="1">
        <v>1158326070</v>
      </c>
      <c r="AA384" s="1">
        <v>77.22</v>
      </c>
      <c r="AB384" s="1">
        <v>2100000</v>
      </c>
      <c r="AC384" s="1">
        <v>0</v>
      </c>
    </row>
    <row r="385" spans="1:29" x14ac:dyDescent="0.3">
      <c r="A385">
        <v>2022</v>
      </c>
      <c r="B385">
        <v>100</v>
      </c>
      <c r="C385" t="str">
        <f t="shared" si="54"/>
        <v>04</v>
      </c>
      <c r="D385" t="s">
        <v>207</v>
      </c>
      <c r="E385" t="str">
        <f t="shared" si="44"/>
        <v>04 LOCALIDAD TURISTICA Y DE LA VIRGEN</v>
      </c>
      <c r="F385" s="2">
        <v>2021130010101</v>
      </c>
      <c r="G385" s="2" t="str">
        <f>+VLOOKUP(F385,Hoja2!$F:$I,2,FALSE)</f>
        <v>10. PILAR: CARTAGENA TRANSPARENTE</v>
      </c>
      <c r="H385" s="2" t="str">
        <f>+VLOOKUP(F385,Hoja2!$F:$I,3,FALSE)</f>
        <v>10.7 LÍNEA ESTRATÉGICA: PARTICIPACIÓN Y DESCENTRALIZACIÓN</v>
      </c>
      <c r="I385" s="2" t="str">
        <f>+VLOOKUP(F385,Hoja2!$F:$I,4,FALSE)</f>
        <v xml:space="preserve">10.7.2 PROGRAMA: MODERNIZACIÓN DEL SISTEMA DISTRITAL DE PLANEACIÓN Y DESCENTRALIZACIÓN  </v>
      </c>
      <c r="J385" t="s">
        <v>245</v>
      </c>
      <c r="K385" t="str">
        <f t="shared" si="53"/>
        <v>001</v>
      </c>
      <c r="L385" t="s">
        <v>25</v>
      </c>
      <c r="M385" t="s">
        <v>26</v>
      </c>
      <c r="N385" t="s">
        <v>27</v>
      </c>
      <c r="O385" t="s">
        <v>246</v>
      </c>
      <c r="P385" t="str">
        <f t="shared" si="45"/>
        <v>2021130010101 ELABORACION DE CAMPA?AS EDUCATIVAS PARA REDUCIR LA SINIESTRALIDAD VIAL EN LA LOCALIDAD DE LA VIRGEN Y TURISTICA CARTAGENA DE INDIAS</v>
      </c>
      <c r="Q385" t="str">
        <f t="shared" si="42"/>
        <v>06</v>
      </c>
      <c r="R385" t="str">
        <f t="shared" si="43"/>
        <v>00</v>
      </c>
      <c r="S385" s="1">
        <v>0</v>
      </c>
      <c r="T385" s="1">
        <v>0</v>
      </c>
      <c r="U385" s="1">
        <v>0</v>
      </c>
      <c r="V385" s="1">
        <v>0</v>
      </c>
      <c r="W385" s="1">
        <v>0</v>
      </c>
      <c r="X385" s="1">
        <v>0</v>
      </c>
      <c r="Y385" s="1">
        <v>0</v>
      </c>
      <c r="Z385" s="1">
        <v>0</v>
      </c>
      <c r="AA385" s="1">
        <v>0</v>
      </c>
      <c r="AB385" s="1">
        <v>0</v>
      </c>
      <c r="AC385" s="1">
        <v>0</v>
      </c>
    </row>
    <row r="386" spans="1:29" x14ac:dyDescent="0.3">
      <c r="A386">
        <v>2022</v>
      </c>
      <c r="B386">
        <v>100</v>
      </c>
      <c r="C386" t="str">
        <f t="shared" si="54"/>
        <v>04</v>
      </c>
      <c r="D386" t="s">
        <v>207</v>
      </c>
      <c r="E386" t="str">
        <f t="shared" si="44"/>
        <v>04 LOCALIDAD TURISTICA Y DE LA VIRGEN</v>
      </c>
      <c r="F386" s="2">
        <v>2021130010102</v>
      </c>
      <c r="G386" s="2" t="str">
        <f>+VLOOKUP(F386,Hoja2!$F:$I,2,FALSE)</f>
        <v>10. PILAR: CARTAGENA TRANSPARENTE</v>
      </c>
      <c r="H386" s="2" t="str">
        <f>+VLOOKUP(F386,Hoja2!$F:$I,3,FALSE)</f>
        <v>10.7 LÍNEA ESTRATÉGICA: PARTICIPACIÓN Y DESCENTRALIZACIÓN</v>
      </c>
      <c r="I386" s="2" t="str">
        <f>+VLOOKUP(F386,Hoja2!$F:$I,4,FALSE)</f>
        <v xml:space="preserve">10.7.2 PROGRAMA: MODERNIZACIÓN DEL SISTEMA DISTRITAL DE PLANEACIÓN Y DESCENTRALIZACIÓN  </v>
      </c>
      <c r="J386" t="s">
        <v>277</v>
      </c>
      <c r="K386" t="str">
        <f t="shared" si="53"/>
        <v>001</v>
      </c>
      <c r="L386" t="s">
        <v>25</v>
      </c>
      <c r="M386" t="s">
        <v>26</v>
      </c>
      <c r="N386" t="s">
        <v>27</v>
      </c>
      <c r="O386" t="s">
        <v>278</v>
      </c>
      <c r="P386" t="str">
        <f t="shared" si="45"/>
        <v>2021130010102 FORTALECIMIENTO DEL EMPRENDIMIENTO EN LOS PEQUE?OS PRODUCTORES RURALES DE LA LOCALIDAD DE LA VIRGEN Y TURISTICA CARTAGENA DE INDIAS</v>
      </c>
      <c r="Q386" t="str">
        <f t="shared" ref="Q386:Q449" si="55">"06"</f>
        <v>06</v>
      </c>
      <c r="R386" t="str">
        <f t="shared" ref="R386:R449" si="56">"00"</f>
        <v>00</v>
      </c>
      <c r="S386" s="1">
        <v>300000000</v>
      </c>
      <c r="T386" s="1">
        <v>-300000000</v>
      </c>
      <c r="U386" s="1">
        <v>0</v>
      </c>
      <c r="V386" s="1">
        <v>0</v>
      </c>
      <c r="W386" s="1">
        <v>0</v>
      </c>
      <c r="X386" s="1">
        <v>0</v>
      </c>
      <c r="Y386" s="1">
        <v>0</v>
      </c>
      <c r="Z386" s="1">
        <v>0</v>
      </c>
      <c r="AA386" s="1">
        <v>0</v>
      </c>
      <c r="AB386" s="1">
        <v>0</v>
      </c>
      <c r="AC386" s="1">
        <v>0</v>
      </c>
    </row>
    <row r="387" spans="1:29" x14ac:dyDescent="0.3">
      <c r="A387">
        <v>2022</v>
      </c>
      <c r="B387">
        <v>100</v>
      </c>
      <c r="C387" t="str">
        <f t="shared" si="54"/>
        <v>04</v>
      </c>
      <c r="D387" t="s">
        <v>207</v>
      </c>
      <c r="E387" t="str">
        <f t="shared" ref="E387:E450" si="57">+CONCATENATE(C387," ",D387)</f>
        <v>04 LOCALIDAD TURISTICA Y DE LA VIRGEN</v>
      </c>
      <c r="F387" s="2">
        <v>2021130010103</v>
      </c>
      <c r="G387" s="2" t="str">
        <f>+VLOOKUP(F387,Hoja2!$F:$I,2,FALSE)</f>
        <v>10. PILAR: CARTAGENA TRANSPARENTE</v>
      </c>
      <c r="H387" s="2" t="str">
        <f>+VLOOKUP(F387,Hoja2!$F:$I,3,FALSE)</f>
        <v>10.7 LÍNEA ESTRATÉGICA: PARTICIPACIÓN Y DESCENTRALIZACIÓN</v>
      </c>
      <c r="I387" s="2" t="str">
        <f>+VLOOKUP(F387,Hoja2!$F:$I,4,FALSE)</f>
        <v xml:space="preserve">10.7.2 PROGRAMA: MODERNIZACIÓN DEL SISTEMA DISTRITAL DE PLANEACIÓN Y DESCENTRALIZACIÓN  </v>
      </c>
      <c r="J387" t="s">
        <v>241</v>
      </c>
      <c r="K387" t="str">
        <f t="shared" si="53"/>
        <v>001</v>
      </c>
      <c r="L387" t="s">
        <v>25</v>
      </c>
      <c r="M387" t="s">
        <v>26</v>
      </c>
      <c r="N387" t="s">
        <v>27</v>
      </c>
      <c r="O387" t="s">
        <v>242</v>
      </c>
      <c r="P387" t="str">
        <f t="shared" ref="P387:P450" si="58">+CONCATENATE(F387," ",O387)</f>
        <v>2021130010103 FORMACION DE ADOLESCENTES EN SALUD SEXUAL Y REPRODUCTIVA EN LA LOCALIDAD DE LA VIRGEN Y TURISTICA CARTAGENA DE INDIAS</v>
      </c>
      <c r="Q387" t="str">
        <f t="shared" si="55"/>
        <v>06</v>
      </c>
      <c r="R387" t="str">
        <f t="shared" si="56"/>
        <v>00</v>
      </c>
      <c r="S387" s="1">
        <v>200000000</v>
      </c>
      <c r="T387" s="1">
        <v>-200000000</v>
      </c>
      <c r="U387" s="1">
        <v>0</v>
      </c>
      <c r="V387" s="1">
        <v>0</v>
      </c>
      <c r="W387" s="1">
        <v>0</v>
      </c>
      <c r="X387" s="1">
        <v>0</v>
      </c>
      <c r="Y387" s="1">
        <v>0</v>
      </c>
      <c r="Z387" s="1">
        <v>0</v>
      </c>
      <c r="AA387" s="1">
        <v>0</v>
      </c>
      <c r="AB387" s="1">
        <v>0</v>
      </c>
      <c r="AC387" s="1">
        <v>0</v>
      </c>
    </row>
    <row r="388" spans="1:29" x14ac:dyDescent="0.3">
      <c r="A388">
        <v>2022</v>
      </c>
      <c r="B388">
        <v>100</v>
      </c>
      <c r="C388" t="str">
        <f t="shared" si="54"/>
        <v>04</v>
      </c>
      <c r="D388" t="s">
        <v>207</v>
      </c>
      <c r="E388" t="str">
        <f t="shared" si="57"/>
        <v>04 LOCALIDAD TURISTICA Y DE LA VIRGEN</v>
      </c>
      <c r="F388" s="2">
        <v>2021130010104</v>
      </c>
      <c r="G388" s="2" t="str">
        <f>+VLOOKUP(F388,Hoja2!$F:$I,2,FALSE)</f>
        <v>10. PILAR: CARTAGENA TRANSPARENTE</v>
      </c>
      <c r="H388" s="2" t="str">
        <f>+VLOOKUP(F388,Hoja2!$F:$I,3,FALSE)</f>
        <v>10.7 LÍNEA ESTRATÉGICA: PARTICIPACIÓN Y DESCENTRALIZACIÓN</v>
      </c>
      <c r="I388" s="2" t="str">
        <f>+VLOOKUP(F388,Hoja2!$F:$I,4,FALSE)</f>
        <v xml:space="preserve">10.7.2 PROGRAMA: MODERNIZACIÓN DEL SISTEMA DISTRITAL DE PLANEACIÓN Y DESCENTRALIZACIÓN  </v>
      </c>
      <c r="J388" t="s">
        <v>279</v>
      </c>
      <c r="K388" t="str">
        <f t="shared" si="53"/>
        <v>001</v>
      </c>
      <c r="L388" t="s">
        <v>25</v>
      </c>
      <c r="M388" t="s">
        <v>26</v>
      </c>
      <c r="N388" t="s">
        <v>27</v>
      </c>
      <c r="O388" t="s">
        <v>280</v>
      </c>
      <c r="P388" t="str">
        <f t="shared" si="58"/>
        <v>2021130010104 CAPACITACION DE LOS PRESTADORES DE SERVICIOS TURISTICOS PARA LA REACTIVACION ECONOMICA DEL SECTOR EN LA LOCALIDAD DE LA VIRGEN Y TURISTICA, CARTAGENA DE INDIAS</v>
      </c>
      <c r="Q388" t="str">
        <f t="shared" si="55"/>
        <v>06</v>
      </c>
      <c r="R388" t="str">
        <f t="shared" si="56"/>
        <v>00</v>
      </c>
      <c r="S388" s="1">
        <v>200000000</v>
      </c>
      <c r="T388" s="1">
        <v>-200000000</v>
      </c>
      <c r="U388" s="1">
        <v>0</v>
      </c>
      <c r="V388" s="1">
        <v>0</v>
      </c>
      <c r="W388" s="1">
        <v>0</v>
      </c>
      <c r="X388" s="1">
        <v>0</v>
      </c>
      <c r="Y388" s="1">
        <v>0</v>
      </c>
      <c r="Z388" s="1">
        <v>0</v>
      </c>
      <c r="AA388" s="1">
        <v>0</v>
      </c>
      <c r="AB388" s="1">
        <v>0</v>
      </c>
      <c r="AC388" s="1">
        <v>0</v>
      </c>
    </row>
    <row r="389" spans="1:29" x14ac:dyDescent="0.3">
      <c r="A389">
        <v>2022</v>
      </c>
      <c r="B389">
        <v>100</v>
      </c>
      <c r="C389" t="str">
        <f t="shared" si="54"/>
        <v>04</v>
      </c>
      <c r="D389" t="s">
        <v>207</v>
      </c>
      <c r="E389" t="str">
        <f t="shared" si="57"/>
        <v>04 LOCALIDAD TURISTICA Y DE LA VIRGEN</v>
      </c>
      <c r="F389" s="2">
        <v>2021130010105</v>
      </c>
      <c r="G389" s="2" t="str">
        <f>+VLOOKUP(F389,Hoja2!$F:$I,2,FALSE)</f>
        <v>10. PILAR: CARTAGENA TRANSPARENTE</v>
      </c>
      <c r="H389" s="2" t="str">
        <f>+VLOOKUP(F389,Hoja2!$F:$I,3,FALSE)</f>
        <v>10.7 LÍNEA ESTRATÉGICA: PARTICIPACIÓN Y DESCENTRALIZACIÓN</v>
      </c>
      <c r="I389" s="2" t="str">
        <f>+VLOOKUP(F389,Hoja2!$F:$I,4,FALSE)</f>
        <v xml:space="preserve">10.7.2 PROGRAMA: MODERNIZACIÓN DEL SISTEMA DISTRITAL DE PLANEACIÓN Y DESCENTRALIZACIÓN  </v>
      </c>
      <c r="J389" t="s">
        <v>253</v>
      </c>
      <c r="K389" t="str">
        <f t="shared" si="53"/>
        <v>001</v>
      </c>
      <c r="L389" t="s">
        <v>25</v>
      </c>
      <c r="M389" t="s">
        <v>26</v>
      </c>
      <c r="N389" t="s">
        <v>27</v>
      </c>
      <c r="O389" t="s">
        <v>254</v>
      </c>
      <c r="P389" t="str">
        <f t="shared" si="58"/>
        <v>2021130010105 FORTALECIMIENTO DEL EMPRENDIMIENTO Y LA EMPLEABILIDAD EN LA LOCALIDAD DE LA VIRGEN Y TURISTICA, CARTAGENA DE INDIAS</v>
      </c>
      <c r="Q389" t="str">
        <f t="shared" si="55"/>
        <v>06</v>
      </c>
      <c r="R389" t="str">
        <f t="shared" si="56"/>
        <v>00</v>
      </c>
      <c r="S389" s="1">
        <v>300000000</v>
      </c>
      <c r="T389" s="1">
        <v>-300000000</v>
      </c>
      <c r="U389" s="1">
        <v>0</v>
      </c>
      <c r="V389" s="1">
        <v>0</v>
      </c>
      <c r="W389" s="1">
        <v>0</v>
      </c>
      <c r="X389" s="1">
        <v>0</v>
      </c>
      <c r="Y389" s="1">
        <v>0</v>
      </c>
      <c r="Z389" s="1">
        <v>0</v>
      </c>
      <c r="AA389" s="1">
        <v>0</v>
      </c>
      <c r="AB389" s="1">
        <v>0</v>
      </c>
      <c r="AC389" s="1">
        <v>0</v>
      </c>
    </row>
    <row r="390" spans="1:29" x14ac:dyDescent="0.3">
      <c r="A390">
        <v>2022</v>
      </c>
      <c r="B390">
        <v>100</v>
      </c>
      <c r="C390" t="str">
        <f t="shared" si="54"/>
        <v>04</v>
      </c>
      <c r="D390" t="s">
        <v>207</v>
      </c>
      <c r="E390" t="str">
        <f t="shared" si="57"/>
        <v>04 LOCALIDAD TURISTICA Y DE LA VIRGEN</v>
      </c>
      <c r="F390" s="2">
        <v>2021130010106</v>
      </c>
      <c r="G390" s="2" t="str">
        <f>+VLOOKUP(F390,Hoja2!$F:$I,2,FALSE)</f>
        <v>10. PILAR: CARTAGENA TRANSPARENTE</v>
      </c>
      <c r="H390" s="2" t="str">
        <f>+VLOOKUP(F390,Hoja2!$F:$I,3,FALSE)</f>
        <v>10.7 LÍNEA ESTRATÉGICA: PARTICIPACIÓN Y DESCENTRALIZACIÓN</v>
      </c>
      <c r="I390" s="2" t="str">
        <f>+VLOOKUP(F390,Hoja2!$F:$I,4,FALSE)</f>
        <v xml:space="preserve">10.7.2 PROGRAMA: MODERNIZACIÓN DEL SISTEMA DISTRITAL DE PLANEACIÓN Y DESCENTRALIZACIÓN  </v>
      </c>
      <c r="J390" t="s">
        <v>249</v>
      </c>
      <c r="K390" t="str">
        <f t="shared" si="53"/>
        <v>001</v>
      </c>
      <c r="L390" t="s">
        <v>25</v>
      </c>
      <c r="M390" t="s">
        <v>26</v>
      </c>
      <c r="N390" t="s">
        <v>27</v>
      </c>
      <c r="O390" t="s">
        <v>250</v>
      </c>
      <c r="P390" t="str">
        <f t="shared" si="58"/>
        <v>2021130010106 CONSTRUCCION Y MANTENIMIENTO DE INFRAESTRUCTURA CULTURAL EN LA LOCALIDAD DE LA VIRGEN Y TURISTICA, CARTAGENA DE INDIAS</v>
      </c>
      <c r="Q390" t="str">
        <f t="shared" si="55"/>
        <v>06</v>
      </c>
      <c r="R390" t="str">
        <f t="shared" si="56"/>
        <v>00</v>
      </c>
      <c r="S390" s="1">
        <v>300000000</v>
      </c>
      <c r="T390" s="1">
        <v>-300000000</v>
      </c>
      <c r="U390" s="1">
        <v>0</v>
      </c>
      <c r="V390" s="1">
        <v>0</v>
      </c>
      <c r="W390" s="1">
        <v>0</v>
      </c>
      <c r="X390" s="1">
        <v>0</v>
      </c>
      <c r="Y390" s="1">
        <v>0</v>
      </c>
      <c r="Z390" s="1">
        <v>0</v>
      </c>
      <c r="AA390" s="1">
        <v>0</v>
      </c>
      <c r="AB390" s="1">
        <v>0</v>
      </c>
      <c r="AC390" s="1">
        <v>0</v>
      </c>
    </row>
    <row r="391" spans="1:29" x14ac:dyDescent="0.3">
      <c r="A391">
        <v>2022</v>
      </c>
      <c r="B391">
        <v>100</v>
      </c>
      <c r="C391" t="str">
        <f t="shared" si="54"/>
        <v>04</v>
      </c>
      <c r="D391" t="s">
        <v>207</v>
      </c>
      <c r="E391" t="str">
        <f t="shared" si="57"/>
        <v>04 LOCALIDAD TURISTICA Y DE LA VIRGEN</v>
      </c>
      <c r="F391" s="2">
        <v>2021130010107</v>
      </c>
      <c r="G391" s="2" t="str">
        <f>+VLOOKUP(F391,Hoja2!$F:$I,2,FALSE)</f>
        <v>10. PILAR: CARTAGENA TRANSPARENTE</v>
      </c>
      <c r="H391" s="2" t="str">
        <f>+VLOOKUP(F391,Hoja2!$F:$I,3,FALSE)</f>
        <v>10.7 LÍNEA ESTRATÉGICA: PARTICIPACIÓN Y DESCENTRALIZACIÓN</v>
      </c>
      <c r="I391" s="2" t="str">
        <f>+VLOOKUP(F391,Hoja2!$F:$I,4,FALSE)</f>
        <v xml:space="preserve">10.7.2 PROGRAMA: MODERNIZACIÓN DEL SISTEMA DISTRITAL DE PLANEACIÓN Y DESCENTRALIZACIÓN  </v>
      </c>
      <c r="J391" t="s">
        <v>251</v>
      </c>
      <c r="K391" t="str">
        <f t="shared" si="53"/>
        <v>001</v>
      </c>
      <c r="L391" t="s">
        <v>25</v>
      </c>
      <c r="M391" t="s">
        <v>26</v>
      </c>
      <c r="N391" t="s">
        <v>27</v>
      </c>
      <c r="O391" t="s">
        <v>252</v>
      </c>
      <c r="P391" t="str">
        <f t="shared" si="58"/>
        <v>2021130010107 FORTALECIMIENTO DE LA PARTICIPACION DE ARTISTAS Y GESTORES CULTURALES EN LOS FESTEJOS Y FIESTAS DE LA LOCALIDAD DE LA VIRGEN Y TURISTICA CARTAGENA DE INDIAS</v>
      </c>
      <c r="Q391" t="str">
        <f t="shared" si="55"/>
        <v>06</v>
      </c>
      <c r="R391" t="str">
        <f t="shared" si="56"/>
        <v>00</v>
      </c>
      <c r="S391" s="1">
        <v>200000000</v>
      </c>
      <c r="T391" s="1">
        <v>-200000000</v>
      </c>
      <c r="U391" s="1">
        <v>0</v>
      </c>
      <c r="V391" s="1">
        <v>0</v>
      </c>
      <c r="W391" s="1">
        <v>0</v>
      </c>
      <c r="X391" s="1">
        <v>0</v>
      </c>
      <c r="Y391" s="1">
        <v>0</v>
      </c>
      <c r="Z391" s="1">
        <v>0</v>
      </c>
      <c r="AA391" s="1">
        <v>0</v>
      </c>
      <c r="AB391" s="1">
        <v>0</v>
      </c>
      <c r="AC391" s="1">
        <v>0</v>
      </c>
    </row>
    <row r="392" spans="1:29" x14ac:dyDescent="0.3">
      <c r="A392">
        <v>2022</v>
      </c>
      <c r="B392">
        <v>100</v>
      </c>
      <c r="C392" t="str">
        <f t="shared" si="54"/>
        <v>04</v>
      </c>
      <c r="D392" t="s">
        <v>207</v>
      </c>
      <c r="E392" t="str">
        <f t="shared" si="57"/>
        <v>04 LOCALIDAD TURISTICA Y DE LA VIRGEN</v>
      </c>
      <c r="F392" s="2">
        <v>2021130010110</v>
      </c>
      <c r="G392" s="2" t="str">
        <f>+VLOOKUP(F392,Hoja2!$F:$I,2,FALSE)</f>
        <v>10. PILAR: CARTAGENA TRANSPARENTE</v>
      </c>
      <c r="H392" s="2" t="str">
        <f>+VLOOKUP(F392,Hoja2!$F:$I,3,FALSE)</f>
        <v>10.7 LÍNEA ESTRATÉGICA: PARTICIPACIÓN Y DESCENTRALIZACIÓN</v>
      </c>
      <c r="I392" s="2" t="str">
        <f>+VLOOKUP(F392,Hoja2!$F:$I,4,FALSE)</f>
        <v xml:space="preserve">10.7.2 PROGRAMA: MODERNIZACIÓN DEL SISTEMA DISTRITAL DE PLANEACIÓN Y DESCENTRALIZACIÓN  </v>
      </c>
      <c r="J392" t="s">
        <v>285</v>
      </c>
      <c r="K392" t="str">
        <f t="shared" si="53"/>
        <v>001</v>
      </c>
      <c r="L392" t="s">
        <v>25</v>
      </c>
      <c r="M392" t="s">
        <v>26</v>
      </c>
      <c r="N392" t="s">
        <v>27</v>
      </c>
      <c r="O392" t="s">
        <v>286</v>
      </c>
      <c r="P392" t="str">
        <f t="shared" si="58"/>
        <v>2021130010110 DESARROLLO DE EVENTOS O TORNEOS DEPORTIVOS PARA IMPULSAR LA INTEGRACION SOCIAL EN LA LOCALIDAD DE LA VIRGEN Y TURISTICA CARTAGENA DE INDIAS</v>
      </c>
      <c r="Q392" t="str">
        <f t="shared" si="55"/>
        <v>06</v>
      </c>
      <c r="R392" t="str">
        <f t="shared" si="56"/>
        <v>00</v>
      </c>
      <c r="S392" s="1">
        <v>200000000</v>
      </c>
      <c r="T392" s="1">
        <v>-200000000</v>
      </c>
      <c r="U392" s="1">
        <v>0</v>
      </c>
      <c r="V392" s="1">
        <v>0</v>
      </c>
      <c r="W392" s="1">
        <v>0</v>
      </c>
      <c r="X392" s="1">
        <v>0</v>
      </c>
      <c r="Y392" s="1">
        <v>0</v>
      </c>
      <c r="Z392" s="1">
        <v>0</v>
      </c>
      <c r="AA392" s="1">
        <v>0</v>
      </c>
      <c r="AB392" s="1">
        <v>0</v>
      </c>
      <c r="AC392" s="1">
        <v>0</v>
      </c>
    </row>
    <row r="393" spans="1:29" x14ac:dyDescent="0.3">
      <c r="A393">
        <v>2022</v>
      </c>
      <c r="B393">
        <v>100</v>
      </c>
      <c r="C393" t="str">
        <f t="shared" si="54"/>
        <v>04</v>
      </c>
      <c r="D393" t="s">
        <v>207</v>
      </c>
      <c r="E393" t="str">
        <f t="shared" si="57"/>
        <v>04 LOCALIDAD TURISTICA Y DE LA VIRGEN</v>
      </c>
      <c r="F393" s="2">
        <v>2021130010111</v>
      </c>
      <c r="G393" s="2" t="str">
        <f>+VLOOKUP(F393,Hoja2!$F:$I,2,FALSE)</f>
        <v>10. PILAR: CARTAGENA TRANSPARENTE</v>
      </c>
      <c r="H393" s="2" t="str">
        <f>+VLOOKUP(F393,Hoja2!$F:$I,3,FALSE)</f>
        <v>10.7 LÍNEA ESTRATÉGICA: PARTICIPACIÓN Y DESCENTRALIZACIÓN</v>
      </c>
      <c r="I393" s="2" t="str">
        <f>+VLOOKUP(F393,Hoja2!$F:$I,4,FALSE)</f>
        <v xml:space="preserve">10.7.2 PROGRAMA: MODERNIZACIÓN DEL SISTEMA DISTRITAL DE PLANEACIÓN Y DESCENTRALIZACIÓN  </v>
      </c>
      <c r="J393" t="s">
        <v>263</v>
      </c>
      <c r="K393" t="str">
        <f t="shared" si="53"/>
        <v>001</v>
      </c>
      <c r="L393" t="s">
        <v>25</v>
      </c>
      <c r="M393" t="s">
        <v>26</v>
      </c>
      <c r="N393" t="s">
        <v>27</v>
      </c>
      <c r="O393" t="s">
        <v>264</v>
      </c>
      <c r="P393" t="str">
        <f t="shared" si="58"/>
        <v>2021130010111 ASISTENCIA PSICOSOCIAL A LA POBLACION NNA CON RIESGO DE VINCULARSE A ACTIVIDADES DELICTIVAS EN LA LOCALIDAD DE LA VIRGEN Y TURISTICA, CARTAGENA DE INDIAS</v>
      </c>
      <c r="Q393" t="str">
        <f t="shared" si="55"/>
        <v>06</v>
      </c>
      <c r="R393" t="str">
        <f t="shared" si="56"/>
        <v>00</v>
      </c>
      <c r="S393" s="1">
        <v>200000000</v>
      </c>
      <c r="T393" s="1">
        <v>-200000000</v>
      </c>
      <c r="U393" s="1">
        <v>0</v>
      </c>
      <c r="V393" s="1">
        <v>0</v>
      </c>
      <c r="W393" s="1">
        <v>0</v>
      </c>
      <c r="X393" s="1">
        <v>0</v>
      </c>
      <c r="Y393" s="1">
        <v>0</v>
      </c>
      <c r="Z393" s="1">
        <v>0</v>
      </c>
      <c r="AA393" s="1">
        <v>0</v>
      </c>
      <c r="AB393" s="1">
        <v>0</v>
      </c>
      <c r="AC393" s="1">
        <v>0</v>
      </c>
    </row>
    <row r="394" spans="1:29" x14ac:dyDescent="0.3">
      <c r="A394">
        <v>2022</v>
      </c>
      <c r="B394">
        <v>100</v>
      </c>
      <c r="C394" t="str">
        <f t="shared" si="54"/>
        <v>04</v>
      </c>
      <c r="D394" t="s">
        <v>207</v>
      </c>
      <c r="E394" t="str">
        <f t="shared" si="57"/>
        <v>04 LOCALIDAD TURISTICA Y DE LA VIRGEN</v>
      </c>
      <c r="F394" s="2">
        <v>2021130010113</v>
      </c>
      <c r="G394" s="2" t="str">
        <f>+VLOOKUP(F394,Hoja2!$F:$I,2,FALSE)</f>
        <v>10. PILAR: CARTAGENA TRANSPARENTE</v>
      </c>
      <c r="H394" s="2" t="str">
        <f>+VLOOKUP(F394,Hoja2!$F:$I,3,FALSE)</f>
        <v>10.7 LÍNEA ESTRATÉGICA: PARTICIPACIÓN Y DESCENTRALIZACIÓN</v>
      </c>
      <c r="I394" s="2" t="str">
        <f>+VLOOKUP(F394,Hoja2!$F:$I,4,FALSE)</f>
        <v xml:space="preserve">10.7.2 PROGRAMA: MODERNIZACIÓN DEL SISTEMA DISTRITAL DE PLANEACIÓN Y DESCENTRALIZACIÓN  </v>
      </c>
      <c r="J394" t="s">
        <v>259</v>
      </c>
      <c r="K394" t="str">
        <f t="shared" si="53"/>
        <v>001</v>
      </c>
      <c r="L394" t="s">
        <v>25</v>
      </c>
      <c r="M394" t="s">
        <v>26</v>
      </c>
      <c r="N394" t="s">
        <v>27</v>
      </c>
      <c r="O394" t="s">
        <v>260</v>
      </c>
      <c r="P394" t="str">
        <f t="shared" si="58"/>
        <v>2021130010113 GENERACION DE MEDIDAS ENCAMINADAS A RECUPERAR EL ESPACIO PUBLICO DE LA LOCALIDAD DE LA VIRGEN Y TURISTICA, CARTAGENA DE INDIAS</v>
      </c>
      <c r="Q394" t="str">
        <f t="shared" si="55"/>
        <v>06</v>
      </c>
      <c r="R394" t="str">
        <f t="shared" si="56"/>
        <v>00</v>
      </c>
      <c r="S394" s="1">
        <v>200000000</v>
      </c>
      <c r="T394" s="1">
        <v>-200000000</v>
      </c>
      <c r="U394" s="1">
        <v>0</v>
      </c>
      <c r="V394" s="1">
        <v>0</v>
      </c>
      <c r="W394" s="1">
        <v>0</v>
      </c>
      <c r="X394" s="1">
        <v>0</v>
      </c>
      <c r="Y394" s="1">
        <v>0</v>
      </c>
      <c r="Z394" s="1">
        <v>0</v>
      </c>
      <c r="AA394" s="1">
        <v>0</v>
      </c>
      <c r="AB394" s="1">
        <v>0</v>
      </c>
      <c r="AC394" s="1">
        <v>0</v>
      </c>
    </row>
    <row r="395" spans="1:29" x14ac:dyDescent="0.3">
      <c r="A395">
        <v>2022</v>
      </c>
      <c r="B395">
        <v>100</v>
      </c>
      <c r="C395" t="str">
        <f t="shared" si="54"/>
        <v>04</v>
      </c>
      <c r="D395" t="s">
        <v>207</v>
      </c>
      <c r="E395" t="str">
        <f t="shared" si="57"/>
        <v>04 LOCALIDAD TURISTICA Y DE LA VIRGEN</v>
      </c>
      <c r="F395" s="2">
        <v>2021130010114</v>
      </c>
      <c r="G395" s="2" t="str">
        <f>+VLOOKUP(F395,Hoja2!$F:$I,2,FALSE)</f>
        <v>10. PILAR: CARTAGENA TRANSPARENTE</v>
      </c>
      <c r="H395" s="2" t="str">
        <f>+VLOOKUP(F395,Hoja2!$F:$I,3,FALSE)</f>
        <v>10.7 LÍNEA ESTRATÉGICA: PARTICIPACIÓN Y DESCENTRALIZACIÓN</v>
      </c>
      <c r="I395" s="2" t="str">
        <f>+VLOOKUP(F395,Hoja2!$F:$I,4,FALSE)</f>
        <v xml:space="preserve">10.7.2 PROGRAMA: MODERNIZACIÓN DEL SISTEMA DISTRITAL DE PLANEACIÓN Y DESCENTRALIZACIÓN  </v>
      </c>
      <c r="J395" t="s">
        <v>265</v>
      </c>
      <c r="K395" t="str">
        <f t="shared" si="53"/>
        <v>001</v>
      </c>
      <c r="L395" t="s">
        <v>25</v>
      </c>
      <c r="M395" t="s">
        <v>26</v>
      </c>
      <c r="N395" t="s">
        <v>27</v>
      </c>
      <c r="O395" t="s">
        <v>266</v>
      </c>
      <c r="P395" t="str">
        <f t="shared" si="58"/>
        <v>2021130010114 FORTALECIMIENTO DE LA CAPACIDAD DE MANEJO Y RESOLUCION DE CONFLICTOS DE LOS ESTUDIANTES DE LAS IEO DE LA LOCALIDAD DE LA VIRGEN Y TURISTICA?</v>
      </c>
      <c r="Q395" t="str">
        <f t="shared" si="55"/>
        <v>06</v>
      </c>
      <c r="R395" t="str">
        <f t="shared" si="56"/>
        <v>00</v>
      </c>
      <c r="S395" s="1">
        <v>1425000000</v>
      </c>
      <c r="T395" s="1">
        <v>0</v>
      </c>
      <c r="U395" s="1">
        <v>1425000000</v>
      </c>
      <c r="V395" s="1">
        <v>0</v>
      </c>
      <c r="W395" s="1">
        <v>1425000000</v>
      </c>
      <c r="X395" s="1">
        <v>0</v>
      </c>
      <c r="Y395" s="1">
        <v>0</v>
      </c>
      <c r="Z395" s="1">
        <v>0</v>
      </c>
      <c r="AA395" s="1">
        <v>0</v>
      </c>
      <c r="AB395" s="1">
        <v>1425000000</v>
      </c>
      <c r="AC395" s="1">
        <v>0</v>
      </c>
    </row>
    <row r="396" spans="1:29" x14ac:dyDescent="0.3">
      <c r="A396">
        <v>2022</v>
      </c>
      <c r="B396">
        <v>100</v>
      </c>
      <c r="C396" t="str">
        <f t="shared" si="54"/>
        <v>04</v>
      </c>
      <c r="D396" t="s">
        <v>207</v>
      </c>
      <c r="E396" t="str">
        <f t="shared" si="57"/>
        <v>04 LOCALIDAD TURISTICA Y DE LA VIRGEN</v>
      </c>
      <c r="F396" s="2">
        <v>2021130010115</v>
      </c>
      <c r="G396" s="2" t="str">
        <f>+VLOOKUP(F396,Hoja2!$F:$I,2,FALSE)</f>
        <v>10. PILAR: CARTAGENA TRANSPARENTE</v>
      </c>
      <c r="H396" s="2" t="str">
        <f>+VLOOKUP(F396,Hoja2!$F:$I,3,FALSE)</f>
        <v>10.7 LÍNEA ESTRATÉGICA: PARTICIPACIÓN Y DESCENTRALIZACIÓN</v>
      </c>
      <c r="I396" s="2" t="str">
        <f>+VLOOKUP(F396,Hoja2!$F:$I,4,FALSE)</f>
        <v xml:space="preserve">10.7.2 PROGRAMA: MODERNIZACIÓN DEL SISTEMA DISTRITAL DE PLANEACIÓN Y DESCENTRALIZACIÓN  </v>
      </c>
      <c r="J396" t="s">
        <v>281</v>
      </c>
      <c r="K396" t="str">
        <f t="shared" si="53"/>
        <v>001</v>
      </c>
      <c r="L396" t="s">
        <v>25</v>
      </c>
      <c r="M396" t="s">
        <v>26</v>
      </c>
      <c r="N396" t="s">
        <v>27</v>
      </c>
      <c r="O396" t="s">
        <v>282</v>
      </c>
      <c r="P396" t="str">
        <f t="shared" si="58"/>
        <v>2021130010115 CONTRIBUCION A LA GENERACION DE INGRESOS DE LOS GRUPOS ETNICOS DE LA LOCALIDAD DE LA VIRGEN Y TURISTICA CARTAGENA DE INDIAS</v>
      </c>
      <c r="Q396" t="str">
        <f t="shared" si="55"/>
        <v>06</v>
      </c>
      <c r="R396" t="str">
        <f t="shared" si="56"/>
        <v>00</v>
      </c>
      <c r="S396" s="1">
        <v>200000000</v>
      </c>
      <c r="T396" s="1">
        <v>-200000000</v>
      </c>
      <c r="U396" s="1">
        <v>0</v>
      </c>
      <c r="V396" s="1">
        <v>0</v>
      </c>
      <c r="W396" s="1">
        <v>0</v>
      </c>
      <c r="X396" s="1">
        <v>0</v>
      </c>
      <c r="Y396" s="1">
        <v>0</v>
      </c>
      <c r="Z396" s="1">
        <v>0</v>
      </c>
      <c r="AA396" s="1">
        <v>0</v>
      </c>
      <c r="AB396" s="1">
        <v>0</v>
      </c>
      <c r="AC396" s="1">
        <v>0</v>
      </c>
    </row>
    <row r="397" spans="1:29" x14ac:dyDescent="0.3">
      <c r="A397">
        <v>2022</v>
      </c>
      <c r="B397">
        <v>100</v>
      </c>
      <c r="C397" t="str">
        <f t="shared" si="54"/>
        <v>04</v>
      </c>
      <c r="D397" t="s">
        <v>207</v>
      </c>
      <c r="E397" t="str">
        <f t="shared" si="57"/>
        <v>04 LOCALIDAD TURISTICA Y DE LA VIRGEN</v>
      </c>
      <c r="F397" s="2">
        <v>2021130010117</v>
      </c>
      <c r="G397" s="2" t="str">
        <f>+VLOOKUP(F397,Hoja2!$F:$I,2,FALSE)</f>
        <v>10. PILAR: CARTAGENA TRANSPARENTE</v>
      </c>
      <c r="H397" s="2" t="str">
        <f>+VLOOKUP(F397,Hoja2!$F:$I,3,FALSE)</f>
        <v>10.7 LÍNEA ESTRATÉGICA: PARTICIPACIÓN Y DESCENTRALIZACIÓN</v>
      </c>
      <c r="I397" s="2" t="str">
        <f>+VLOOKUP(F397,Hoja2!$F:$I,4,FALSE)</f>
        <v xml:space="preserve">10.7.2 PROGRAMA: MODERNIZACIÓN DEL SISTEMA DISTRITAL DE PLANEACIÓN Y DESCENTRALIZACIÓN  </v>
      </c>
      <c r="J397" t="s">
        <v>289</v>
      </c>
      <c r="K397" t="str">
        <f t="shared" si="53"/>
        <v>001</v>
      </c>
      <c r="L397" t="s">
        <v>25</v>
      </c>
      <c r="M397" t="s">
        <v>26</v>
      </c>
      <c r="N397" t="s">
        <v>27</v>
      </c>
      <c r="O397" t="s">
        <v>290</v>
      </c>
      <c r="P397" t="str">
        <f t="shared" si="58"/>
        <v>2021130010117 DESARROLLO DE ACCIONES PARA DISMINUIR LA VIOLENCIA CONTRA LA MUJER EN LA LOCALIDAD DE LA VIRGEN Y TURISTICA CARTAGENA DE INDIAS</v>
      </c>
      <c r="Q397" t="str">
        <f t="shared" si="55"/>
        <v>06</v>
      </c>
      <c r="R397" t="str">
        <f t="shared" si="56"/>
        <v>00</v>
      </c>
      <c r="S397" s="1">
        <v>300000000</v>
      </c>
      <c r="T397" s="1">
        <v>-300000000</v>
      </c>
      <c r="U397" s="1">
        <v>0</v>
      </c>
      <c r="V397" s="1">
        <v>0</v>
      </c>
      <c r="W397" s="1">
        <v>0</v>
      </c>
      <c r="X397" s="1">
        <v>0</v>
      </c>
      <c r="Y397" s="1">
        <v>0</v>
      </c>
      <c r="Z397" s="1">
        <v>0</v>
      </c>
      <c r="AA397" s="1">
        <v>0</v>
      </c>
      <c r="AB397" s="1">
        <v>0</v>
      </c>
      <c r="AC397" s="1">
        <v>0</v>
      </c>
    </row>
    <row r="398" spans="1:29" x14ac:dyDescent="0.3">
      <c r="A398">
        <v>2022</v>
      </c>
      <c r="B398">
        <v>100</v>
      </c>
      <c r="C398" t="str">
        <f t="shared" si="54"/>
        <v>04</v>
      </c>
      <c r="D398" t="s">
        <v>207</v>
      </c>
      <c r="E398" t="str">
        <f t="shared" si="57"/>
        <v>04 LOCALIDAD TURISTICA Y DE LA VIRGEN</v>
      </c>
      <c r="F398" s="2">
        <v>2021130010118</v>
      </c>
      <c r="G398" s="2" t="str">
        <f>+VLOOKUP(F398,Hoja2!$F:$I,2,FALSE)</f>
        <v>10. PILAR: CARTAGENA TRANSPARENTE</v>
      </c>
      <c r="H398" s="2" t="str">
        <f>+VLOOKUP(F398,Hoja2!$F:$I,3,FALSE)</f>
        <v>10.7 LÍNEA ESTRATÉGICA: PARTICIPACIÓN Y DESCENTRALIZACIÓN</v>
      </c>
      <c r="I398" s="2" t="str">
        <f>+VLOOKUP(F398,Hoja2!$F:$I,4,FALSE)</f>
        <v xml:space="preserve">10.7.2 PROGRAMA: MODERNIZACIÓN DEL SISTEMA DISTRITAL DE PLANEACIÓN Y DESCENTRALIZACIÓN  </v>
      </c>
      <c r="J398" t="s">
        <v>255</v>
      </c>
      <c r="K398" t="str">
        <f t="shared" si="53"/>
        <v>001</v>
      </c>
      <c r="L398" t="s">
        <v>25</v>
      </c>
      <c r="M398" t="s">
        <v>26</v>
      </c>
      <c r="N398" t="s">
        <v>27</v>
      </c>
      <c r="O398" t="s">
        <v>256</v>
      </c>
      <c r="P398" t="str">
        <f t="shared" si="58"/>
        <v>2021130010118 FORMACION DE MUJERES PARA EJERCER LIDERAZGO EN LA COMUNIDAD DE LA LOCALIDAD DE LA VIRGEN Y TURISTICA, CARTAGENA DE INDIAS</v>
      </c>
      <c r="Q398" t="str">
        <f t="shared" si="55"/>
        <v>06</v>
      </c>
      <c r="R398" t="str">
        <f t="shared" si="56"/>
        <v>00</v>
      </c>
      <c r="S398" s="1">
        <v>200000000</v>
      </c>
      <c r="T398" s="1">
        <v>-200000000</v>
      </c>
      <c r="U398" s="1">
        <v>0</v>
      </c>
      <c r="V398" s="1">
        <v>0</v>
      </c>
      <c r="W398" s="1">
        <v>0</v>
      </c>
      <c r="X398" s="1">
        <v>0</v>
      </c>
      <c r="Y398" s="1">
        <v>0</v>
      </c>
      <c r="Z398" s="1">
        <v>0</v>
      </c>
      <c r="AA398" s="1">
        <v>0</v>
      </c>
      <c r="AB398" s="1">
        <v>0</v>
      </c>
      <c r="AC398" s="1">
        <v>0</v>
      </c>
    </row>
    <row r="399" spans="1:29" x14ac:dyDescent="0.3">
      <c r="A399">
        <v>2022</v>
      </c>
      <c r="B399">
        <v>100</v>
      </c>
      <c r="C399" t="str">
        <f>"06"</f>
        <v>06</v>
      </c>
      <c r="D399" t="s">
        <v>375</v>
      </c>
      <c r="E399" t="str">
        <f t="shared" si="57"/>
        <v>06 SECRETARIA DE INFRAESTRUCTURA</v>
      </c>
      <c r="F399" s="2">
        <v>2021130010121</v>
      </c>
      <c r="G399" s="2" t="str">
        <f>+VLOOKUP(F399,Hoja2!$F:$I,2,FALSE)</f>
        <v>11. EJE TRANSVERSAL: CARTAGENA CON ATENCION Y GARANTIA DE DERECHOS A POBLACION DIFERENCIAL.</v>
      </c>
      <c r="H399" s="2" t="str">
        <f>+VLOOKUP(F399,Hoja2!$F:$I,3,FALSE)</f>
        <v>11.1 LÍNEA ESTRATÉGICA PARA LA EQUIDAD E INCLUSIÓN DE LOS NEGROS, AFROS, PALENQUEROS E INDÍGENA.</v>
      </c>
      <c r="I399" s="2" t="str">
        <f>+VLOOKUP(F399,Hoja2!$F:$I,4,FALSE)</f>
        <v>11.1.4 PROGRAMA: PROMOCIÓN, PREVENCIÓN Y ATENCIÓN EN SALUD PARA LA POBLACIÓN NEGRA, AFROCOLOMBIANA, RAIZAL Y PALENQUERA EN EL DISTRITO DE CARTAGENA.</v>
      </c>
      <c r="J399" t="s">
        <v>397</v>
      </c>
      <c r="K399" t="str">
        <f t="shared" si="53"/>
        <v>001</v>
      </c>
      <c r="L399" t="s">
        <v>25</v>
      </c>
      <c r="M399" t="s">
        <v>26</v>
      </c>
      <c r="N399" t="s">
        <v>27</v>
      </c>
      <c r="O399" t="s">
        <v>398</v>
      </c>
      <c r="P399" t="str">
        <f t="shared" si="58"/>
        <v>2021130010121 ADECUACION DE CENTROS DE SALUD PARA LA POBLACION NEGRA AFROCOLOMBIANA RAIZAL Y PALENQUERA EN EL DISTRITO DE   CARTAGENA DE INDIAS</v>
      </c>
      <c r="Q399" t="str">
        <f t="shared" si="55"/>
        <v>06</v>
      </c>
      <c r="R399" t="str">
        <f t="shared" si="56"/>
        <v>00</v>
      </c>
      <c r="S399" s="1">
        <v>150000000</v>
      </c>
      <c r="T399" s="1">
        <v>0</v>
      </c>
      <c r="U399" s="1">
        <v>150000000</v>
      </c>
      <c r="V399" s="1">
        <v>143920374</v>
      </c>
      <c r="W399" s="1">
        <v>6079626</v>
      </c>
      <c r="X399" s="1">
        <v>126257831</v>
      </c>
      <c r="Y399" s="1">
        <v>84.17</v>
      </c>
      <c r="Z399" s="1">
        <v>118028434.22</v>
      </c>
      <c r="AA399" s="1">
        <v>78.69</v>
      </c>
      <c r="AB399" s="1">
        <v>23742169</v>
      </c>
      <c r="AC399" s="1">
        <v>118028434.22</v>
      </c>
    </row>
    <row r="400" spans="1:29" x14ac:dyDescent="0.3">
      <c r="A400">
        <v>2022</v>
      </c>
      <c r="B400">
        <v>100</v>
      </c>
      <c r="C400" t="str">
        <f>"23"</f>
        <v>23</v>
      </c>
      <c r="D400" t="s">
        <v>959</v>
      </c>
      <c r="E400" t="str">
        <f t="shared" si="57"/>
        <v>23 LOCALIDAD INDUSTRIAL Y DE LA BAHIA</v>
      </c>
      <c r="F400" s="2">
        <v>2021130010123</v>
      </c>
      <c r="G400" s="2" t="str">
        <f>+VLOOKUP(F400,Hoja2!$F:$I,2,FALSE)</f>
        <v>10. PILAR: CARTAGENA TRANSPARENTE</v>
      </c>
      <c r="H400" s="2" t="str">
        <f>+VLOOKUP(F400,Hoja2!$F:$I,3,FALSE)</f>
        <v>10.7 LÍNEA ESTRATÉGICA: PARTICIPACIÓN Y DESCENTRALIZACIÓN</v>
      </c>
      <c r="I400" s="2" t="str">
        <f>+VLOOKUP(F400,Hoja2!$F:$I,4,FALSE)</f>
        <v xml:space="preserve">10.7.2 PROGRAMA: MODERNIZACIÓN DEL SISTEMA DISTRITAL DE PLANEACIÓN Y DESCENTRALIZACIÓN  </v>
      </c>
      <c r="J400" t="s">
        <v>983</v>
      </c>
      <c r="K400" t="str">
        <f t="shared" si="53"/>
        <v>001</v>
      </c>
      <c r="L400" t="s">
        <v>25</v>
      </c>
      <c r="M400" t="s">
        <v>26</v>
      </c>
      <c r="N400" t="s">
        <v>27</v>
      </c>
      <c r="O400" t="s">
        <v>984</v>
      </c>
      <c r="P400" t="str">
        <f t="shared" si="58"/>
        <v>2021130010123 FORTALECIMIENTO DE PROCESOS DE RECONOCIMIENTO Y PROMOCION DE LA DIVERSIDAD SEXUAL EN MEDIO DE LA COMUNIDAD DE LA LOCALIDAD INDUSTRIAL Y DE LA BAHIA, CARTAGENA DE INDIAS,</v>
      </c>
      <c r="Q400" t="str">
        <f t="shared" si="55"/>
        <v>06</v>
      </c>
      <c r="R400" t="str">
        <f t="shared" si="56"/>
        <v>00</v>
      </c>
      <c r="S400" s="1">
        <v>0</v>
      </c>
      <c r="T400" s="1">
        <v>200000000</v>
      </c>
      <c r="U400" s="1">
        <v>200000000</v>
      </c>
      <c r="V400" s="1">
        <v>200000000</v>
      </c>
      <c r="W400" s="1">
        <v>0</v>
      </c>
      <c r="X400" s="1">
        <v>199999986</v>
      </c>
      <c r="Y400" s="1">
        <v>100</v>
      </c>
      <c r="Z400" s="1">
        <v>0</v>
      </c>
      <c r="AA400" s="1">
        <v>0</v>
      </c>
      <c r="AB400" s="1">
        <v>14</v>
      </c>
      <c r="AC400" s="1">
        <v>0</v>
      </c>
    </row>
    <row r="401" spans="1:29" x14ac:dyDescent="0.3">
      <c r="A401">
        <v>2022</v>
      </c>
      <c r="B401">
        <v>100</v>
      </c>
      <c r="C401" t="str">
        <f>"04"</f>
        <v>04</v>
      </c>
      <c r="D401" t="s">
        <v>207</v>
      </c>
      <c r="E401" t="str">
        <f t="shared" si="57"/>
        <v>04 LOCALIDAD TURISTICA Y DE LA VIRGEN</v>
      </c>
      <c r="F401" s="2">
        <v>2021130010125</v>
      </c>
      <c r="G401" s="2" t="str">
        <f>+VLOOKUP(F401,Hoja2!$F:$I,2,FALSE)</f>
        <v>10. PILAR: CARTAGENA TRANSPARENTE</v>
      </c>
      <c r="H401" s="2" t="str">
        <f>+VLOOKUP(F401,Hoja2!$F:$I,3,FALSE)</f>
        <v>10.7 LÍNEA ESTRATÉGICA: PARTICIPACIÓN Y DESCENTRALIZACIÓN</v>
      </c>
      <c r="I401" s="2" t="str">
        <f>+VLOOKUP(F401,Hoja2!$F:$I,4,FALSE)</f>
        <v xml:space="preserve">10.7.2 PROGRAMA: MODERNIZACIÓN DEL SISTEMA DISTRITAL DE PLANEACIÓN Y DESCENTRALIZACIÓN  </v>
      </c>
      <c r="J401" t="s">
        <v>219</v>
      </c>
      <c r="K401" t="str">
        <f t="shared" si="53"/>
        <v>001</v>
      </c>
      <c r="L401" t="s">
        <v>25</v>
      </c>
      <c r="M401" t="s">
        <v>26</v>
      </c>
      <c r="N401" t="s">
        <v>27</v>
      </c>
      <c r="O401" t="s">
        <v>220</v>
      </c>
      <c r="P401" t="str">
        <f t="shared" si="58"/>
        <v>2021130010125 DIVERSIDAD SEXUAL Y NUEVAS IDENTIDADES DE GENERO EN LA LOCALIDAD</v>
      </c>
      <c r="Q401" t="str">
        <f t="shared" si="55"/>
        <v>06</v>
      </c>
      <c r="R401" t="str">
        <f t="shared" si="56"/>
        <v>00</v>
      </c>
      <c r="S401" s="1">
        <v>100000000</v>
      </c>
      <c r="T401" s="1">
        <v>-100000000</v>
      </c>
      <c r="U401" s="1">
        <v>0</v>
      </c>
      <c r="V401" s="1">
        <v>0</v>
      </c>
      <c r="W401" s="1">
        <v>0</v>
      </c>
      <c r="X401" s="1">
        <v>0</v>
      </c>
      <c r="Y401" s="1">
        <v>0</v>
      </c>
      <c r="Z401" s="1">
        <v>0</v>
      </c>
      <c r="AA401" s="1">
        <v>0</v>
      </c>
      <c r="AB401" s="1">
        <v>0</v>
      </c>
      <c r="AC401" s="1">
        <v>0</v>
      </c>
    </row>
    <row r="402" spans="1:29" x14ac:dyDescent="0.3">
      <c r="A402">
        <v>2022</v>
      </c>
      <c r="B402">
        <v>100</v>
      </c>
      <c r="C402" t="str">
        <f>"04"</f>
        <v>04</v>
      </c>
      <c r="D402" t="s">
        <v>207</v>
      </c>
      <c r="E402" t="str">
        <f t="shared" si="57"/>
        <v>04 LOCALIDAD TURISTICA Y DE LA VIRGEN</v>
      </c>
      <c r="F402" s="2">
        <v>2021130010126</v>
      </c>
      <c r="G402" s="2" t="str">
        <f>+VLOOKUP(F402,Hoja2!$F:$I,2,FALSE)</f>
        <v>10. PILAR: CARTAGENA TRANSPARENTE</v>
      </c>
      <c r="H402" s="2" t="str">
        <f>+VLOOKUP(F402,Hoja2!$F:$I,3,FALSE)</f>
        <v>10.7 LÍNEA ESTRATÉGICA: PARTICIPACIÓN Y DESCENTRALIZACIÓN</v>
      </c>
      <c r="I402" s="2" t="str">
        <f>+VLOOKUP(F402,Hoja2!$F:$I,4,FALSE)</f>
        <v xml:space="preserve">10.7.2 PROGRAMA: MODERNIZACIÓN DEL SISTEMA DISTRITAL DE PLANEACIÓN Y DESCENTRALIZACIÓN  </v>
      </c>
      <c r="J402" t="s">
        <v>211</v>
      </c>
      <c r="K402" t="str">
        <f t="shared" si="53"/>
        <v>001</v>
      </c>
      <c r="L402" t="s">
        <v>25</v>
      </c>
      <c r="M402" t="s">
        <v>26</v>
      </c>
      <c r="N402" t="s">
        <v>27</v>
      </c>
      <c r="O402" t="s">
        <v>212</v>
      </c>
      <c r="P402" t="str">
        <f t="shared" si="58"/>
        <v>2021130010126 FORTALECIMIENTO TECNICO Y LOGISTICO DE LAS ORGANIZACIONES COMUNALES DE LA LOCALIDAD DE LA VIRGEN Y TURISTICA CARTAGENA DE INDIAS</v>
      </c>
      <c r="Q402" t="str">
        <f t="shared" si="55"/>
        <v>06</v>
      </c>
      <c r="R402" t="str">
        <f t="shared" si="56"/>
        <v>00</v>
      </c>
      <c r="S402" s="1">
        <v>100000000</v>
      </c>
      <c r="T402" s="1">
        <v>0</v>
      </c>
      <c r="U402" s="1">
        <v>100000000</v>
      </c>
      <c r="V402" s="1">
        <v>0</v>
      </c>
      <c r="W402" s="1">
        <v>100000000</v>
      </c>
      <c r="X402" s="1">
        <v>0</v>
      </c>
      <c r="Y402" s="1">
        <v>0</v>
      </c>
      <c r="Z402" s="1">
        <v>0</v>
      </c>
      <c r="AA402" s="1">
        <v>0</v>
      </c>
      <c r="AB402" s="1">
        <v>100000000</v>
      </c>
      <c r="AC402" s="1">
        <v>0</v>
      </c>
    </row>
    <row r="403" spans="1:29" x14ac:dyDescent="0.3">
      <c r="A403">
        <v>2022</v>
      </c>
      <c r="B403">
        <v>100</v>
      </c>
      <c r="C403" t="str">
        <f>"04"</f>
        <v>04</v>
      </c>
      <c r="D403" t="s">
        <v>207</v>
      </c>
      <c r="E403" t="str">
        <f t="shared" si="57"/>
        <v>04 LOCALIDAD TURISTICA Y DE LA VIRGEN</v>
      </c>
      <c r="F403" s="2">
        <v>2021130010127</v>
      </c>
      <c r="G403" s="2" t="str">
        <f>+VLOOKUP(F403,Hoja2!$F:$I,2,FALSE)</f>
        <v>10. PILAR: CARTAGENA TRANSPARENTE</v>
      </c>
      <c r="H403" s="2" t="str">
        <f>+VLOOKUP(F403,Hoja2!$F:$I,3,FALSE)</f>
        <v>10.7 LÍNEA ESTRATÉGICA: PARTICIPACIÓN Y DESCENTRALIZACIÓN</v>
      </c>
      <c r="I403" s="2" t="str">
        <f>+VLOOKUP(F403,Hoja2!$F:$I,4,FALSE)</f>
        <v xml:space="preserve">10.7.2 PROGRAMA: MODERNIZACIÓN DEL SISTEMA DISTRITAL DE PLANEACIÓN Y DESCENTRALIZACIÓN  </v>
      </c>
      <c r="J403" t="s">
        <v>227</v>
      </c>
      <c r="K403" t="str">
        <f t="shared" si="53"/>
        <v>001</v>
      </c>
      <c r="L403" t="s">
        <v>25</v>
      </c>
      <c r="M403" t="s">
        <v>26</v>
      </c>
      <c r="N403" t="s">
        <v>27</v>
      </c>
      <c r="O403" t="s">
        <v>228</v>
      </c>
      <c r="P403" t="str">
        <f t="shared" si="58"/>
        <v>2021130010127 FORTALECIMIENTO TECNICO Y LOGISTICO DEL CONSEJO LOCAL DE PLANEACION DE LA LOCALIDAD DE LA VIRGEN Y TURISTICA, CARTAGENA DE INDIAS</v>
      </c>
      <c r="Q403" t="str">
        <f t="shared" si="55"/>
        <v>06</v>
      </c>
      <c r="R403" t="str">
        <f t="shared" si="56"/>
        <v>00</v>
      </c>
      <c r="S403" s="1">
        <v>100000000</v>
      </c>
      <c r="T403" s="1">
        <v>0</v>
      </c>
      <c r="U403" s="1">
        <v>100000000</v>
      </c>
      <c r="V403" s="1">
        <v>0</v>
      </c>
      <c r="W403" s="1">
        <v>100000000</v>
      </c>
      <c r="X403" s="1">
        <v>0</v>
      </c>
      <c r="Y403" s="1">
        <v>0</v>
      </c>
      <c r="Z403" s="1">
        <v>0</v>
      </c>
      <c r="AA403" s="1">
        <v>0</v>
      </c>
      <c r="AB403" s="1">
        <v>100000000</v>
      </c>
      <c r="AC403" s="1">
        <v>0</v>
      </c>
    </row>
    <row r="404" spans="1:29" x14ac:dyDescent="0.3">
      <c r="A404">
        <v>2022</v>
      </c>
      <c r="B404">
        <v>100</v>
      </c>
      <c r="C404" t="str">
        <f>"04"</f>
        <v>04</v>
      </c>
      <c r="D404" t="s">
        <v>207</v>
      </c>
      <c r="E404" t="str">
        <f t="shared" si="57"/>
        <v>04 LOCALIDAD TURISTICA Y DE LA VIRGEN</v>
      </c>
      <c r="F404" s="2">
        <v>2021130010131</v>
      </c>
      <c r="G404" s="2" t="str">
        <f>+VLOOKUP(F404,Hoja2!$F:$I,2,FALSE)</f>
        <v>10. PILAR: CARTAGENA TRANSPARENTE</v>
      </c>
      <c r="H404" s="2" t="str">
        <f>+VLOOKUP(F404,Hoja2!$F:$I,3,FALSE)</f>
        <v>10.7 LÍNEA ESTRATÉGICA: PARTICIPACIÓN Y DESCENTRALIZACIÓN</v>
      </c>
      <c r="I404" s="2" t="str">
        <f>+VLOOKUP(F404,Hoja2!$F:$I,4,FALSE)</f>
        <v xml:space="preserve">10.7.2 PROGRAMA: MODERNIZACIÓN DEL SISTEMA DISTRITAL DE PLANEACIÓN Y DESCENTRALIZACIÓN  </v>
      </c>
      <c r="J404" t="s">
        <v>221</v>
      </c>
      <c r="K404" t="str">
        <f t="shared" si="53"/>
        <v>001</v>
      </c>
      <c r="L404" t="s">
        <v>25</v>
      </c>
      <c r="M404" t="s">
        <v>26</v>
      </c>
      <c r="N404" t="s">
        <v>27</v>
      </c>
      <c r="O404" t="s">
        <v>222</v>
      </c>
      <c r="P404" t="str">
        <f t="shared" si="58"/>
        <v>2021130010131 FORMACION SOCIOPOLITICA PARA IMPULSAR LA PARTICIPACION CIUDADANA DE LOS JOVENES DE LA LOCALIDAD DE LA VIRGEN Y TURISTICA CARTAGENA DE INDIAS</v>
      </c>
      <c r="Q404" t="str">
        <f t="shared" si="55"/>
        <v>06</v>
      </c>
      <c r="R404" t="str">
        <f t="shared" si="56"/>
        <v>00</v>
      </c>
      <c r="S404" s="1">
        <v>100000000</v>
      </c>
      <c r="T404" s="1">
        <v>-100000000</v>
      </c>
      <c r="U404" s="1">
        <v>0</v>
      </c>
      <c r="V404" s="1">
        <v>0</v>
      </c>
      <c r="W404" s="1">
        <v>0</v>
      </c>
      <c r="X404" s="1">
        <v>0</v>
      </c>
      <c r="Y404" s="1">
        <v>0</v>
      </c>
      <c r="Z404" s="1">
        <v>0</v>
      </c>
      <c r="AA404" s="1">
        <v>0</v>
      </c>
      <c r="AB404" s="1">
        <v>0</v>
      </c>
      <c r="AC404" s="1">
        <v>0</v>
      </c>
    </row>
    <row r="405" spans="1:29" x14ac:dyDescent="0.3">
      <c r="A405">
        <v>2022</v>
      </c>
      <c r="B405">
        <v>100</v>
      </c>
      <c r="C405" t="str">
        <f>"04"</f>
        <v>04</v>
      </c>
      <c r="D405" t="s">
        <v>207</v>
      </c>
      <c r="E405" t="str">
        <f t="shared" si="57"/>
        <v>04 LOCALIDAD TURISTICA Y DE LA VIRGEN</v>
      </c>
      <c r="F405" s="2">
        <v>2021130010132</v>
      </c>
      <c r="G405" s="2" t="str">
        <f>+VLOOKUP(F405,Hoja2!$F:$I,2,FALSE)</f>
        <v>10. PILAR: CARTAGENA TRANSPARENTE</v>
      </c>
      <c r="H405" s="2" t="str">
        <f>+VLOOKUP(F405,Hoja2!$F:$I,3,FALSE)</f>
        <v>10.7 LÍNEA ESTRATÉGICA: PARTICIPACIÓN Y DESCENTRALIZACIÓN</v>
      </c>
      <c r="I405" s="2" t="str">
        <f>+VLOOKUP(F405,Hoja2!$F:$I,4,FALSE)</f>
        <v xml:space="preserve">10.7.2 PROGRAMA: MODERNIZACIÓN DEL SISTEMA DISTRITAL DE PLANEACIÓN Y DESCENTRALIZACIÓN  </v>
      </c>
      <c r="J405" t="s">
        <v>235</v>
      </c>
      <c r="K405" t="str">
        <f t="shared" si="53"/>
        <v>001</v>
      </c>
      <c r="L405" t="s">
        <v>25</v>
      </c>
      <c r="M405" t="s">
        <v>26</v>
      </c>
      <c r="N405" t="s">
        <v>27</v>
      </c>
      <c r="O405" t="s">
        <v>236</v>
      </c>
      <c r="P405" t="str">
        <f t="shared" si="58"/>
        <v>2021130010132 FORTALECIMIENTO ORGANIZACIONAL ASOCIADO A LA ATENCION DE PERSONAS MAYORES EN CENTROS DE VIDA DE LA LOCALIDAD DE LA VIRGEN Y TURISTICA CARTAGENA DE INDIAS</v>
      </c>
      <c r="Q405" t="str">
        <f t="shared" si="55"/>
        <v>06</v>
      </c>
      <c r="R405" t="str">
        <f t="shared" si="56"/>
        <v>00</v>
      </c>
      <c r="S405" s="1">
        <v>300000000</v>
      </c>
      <c r="T405" s="1">
        <v>-300000000</v>
      </c>
      <c r="U405" s="1">
        <v>0</v>
      </c>
      <c r="V405" s="1">
        <v>0</v>
      </c>
      <c r="W405" s="1">
        <v>0</v>
      </c>
      <c r="X405" s="1">
        <v>0</v>
      </c>
      <c r="Y405" s="1">
        <v>0</v>
      </c>
      <c r="Z405" s="1">
        <v>0</v>
      </c>
      <c r="AA405" s="1">
        <v>0</v>
      </c>
      <c r="AB405" s="1">
        <v>0</v>
      </c>
      <c r="AC405" s="1">
        <v>0</v>
      </c>
    </row>
    <row r="406" spans="1:29" x14ac:dyDescent="0.3">
      <c r="A406">
        <v>2022</v>
      </c>
      <c r="B406">
        <v>100</v>
      </c>
      <c r="C406" t="str">
        <f>"17"</f>
        <v>17</v>
      </c>
      <c r="D406" t="s">
        <v>852</v>
      </c>
      <c r="E406" t="str">
        <f t="shared" si="57"/>
        <v>17 INSTITUTO DE PATRIMONIO Y CULTURA DE CARTAGENA DE INDIAS</v>
      </c>
      <c r="F406" s="2">
        <v>2021130010134</v>
      </c>
      <c r="G406" s="2" t="str">
        <f>+VLOOKUP(F406,Hoja2!$F:$I,2,FALSE)</f>
        <v>11. EJE TRANSVERSAL: CARTAGENA CON ATENCION Y GARANTIA DE DERECHOS A POBLACION DIFERENCIAL.</v>
      </c>
      <c r="H406" s="2" t="str">
        <f>+VLOOKUP(F406,Hoja2!$F:$I,3,FALSE)</f>
        <v>11.1 LÍNEA ESTRATÉGICA PARA LA EQUIDAD E INCLUSIÓN DE LOS NEGROS, AFROS, PALENQUEROS E INDÍGENA.</v>
      </c>
      <c r="I406" s="2" t="str">
        <f>+VLOOKUP(F406,Hoja2!$F:$I,4,FALSE)</f>
        <v>11.1.6 PROGRAMA: SOSTENIBILIDAD CULTURAL COMO GARANTÍA DE PERMANENCIA.</v>
      </c>
      <c r="J406" t="s">
        <v>881</v>
      </c>
      <c r="K406" t="str">
        <f t="shared" si="53"/>
        <v>001</v>
      </c>
      <c r="L406" t="s">
        <v>25</v>
      </c>
      <c r="M406" t="s">
        <v>26</v>
      </c>
      <c r="N406" t="s">
        <v>27</v>
      </c>
      <c r="O406" t="s">
        <v>882</v>
      </c>
      <c r="P406" t="str">
        <f t="shared" si="58"/>
        <v>2021130010134 DESARROLLO DEL FESTIVAL DE MEMORIA ORAL UNA ESTRATEGIA PARA LA SOSTENIBILIDAD CULTURAL COMO GARANTIA DE PERMANENCIA DE LOS VALORES CULTURALES EN EL DISTRITO DE CARTAGENA DE INDIAS</v>
      </c>
      <c r="Q406" t="str">
        <f t="shared" si="55"/>
        <v>06</v>
      </c>
      <c r="R406" t="str">
        <f t="shared" si="56"/>
        <v>00</v>
      </c>
      <c r="S406" s="1">
        <v>75000000</v>
      </c>
      <c r="T406" s="1">
        <v>0</v>
      </c>
      <c r="U406" s="1">
        <v>75000000</v>
      </c>
      <c r="V406" s="1">
        <v>75000000</v>
      </c>
      <c r="W406" s="1">
        <v>0</v>
      </c>
      <c r="X406" s="1">
        <v>75000000</v>
      </c>
      <c r="Y406" s="1">
        <v>100</v>
      </c>
      <c r="Z406" s="1">
        <v>75000000</v>
      </c>
      <c r="AA406" s="1">
        <v>100</v>
      </c>
      <c r="AB406" s="1">
        <v>0</v>
      </c>
      <c r="AC406" s="1">
        <v>75000000</v>
      </c>
    </row>
    <row r="407" spans="1:29" x14ac:dyDescent="0.3">
      <c r="A407">
        <v>2022</v>
      </c>
      <c r="B407">
        <v>100</v>
      </c>
      <c r="C407" t="str">
        <f>"06"</f>
        <v>06</v>
      </c>
      <c r="D407" t="s">
        <v>375</v>
      </c>
      <c r="E407" t="str">
        <f t="shared" si="57"/>
        <v>06 SECRETARIA DE INFRAESTRUCTURA</v>
      </c>
      <c r="F407" s="2">
        <v>2021130010141</v>
      </c>
      <c r="G407" s="2" t="str">
        <f>+VLOOKUP(F407,Hoja2!$F:$I,2,FALSE)</f>
        <v>07. PILAR CARTAGENA RESILIENTE</v>
      </c>
      <c r="H407" s="2" t="str">
        <f>+VLOOKUP(F407,Hoja2!$F:$I,3,FALSE)</f>
        <v>7.3 LÍNEA ESTRATÉGICA DESARROLLO URBANO</v>
      </c>
      <c r="I407" s="2" t="str">
        <f>+VLOOKUP(F407,Hoja2!$F:$I,4,FALSE)</f>
        <v>7.3.2 SISTEMA HÍDRICO Y PLAN MAESTRO DE ALCANTARILLADO PLUVIALES EN LA CIUDAD PARA SALVAR EL HÁBITAT</v>
      </c>
      <c r="J407" t="s">
        <v>381</v>
      </c>
      <c r="K407" t="str">
        <f>"869"</f>
        <v>869</v>
      </c>
      <c r="L407" t="s">
        <v>55</v>
      </c>
      <c r="M407" t="s">
        <v>26</v>
      </c>
      <c r="N407" t="s">
        <v>27</v>
      </c>
      <c r="O407" t="s">
        <v>382</v>
      </c>
      <c r="P407" t="str">
        <f t="shared" si="58"/>
        <v>2021130010141 CONSTRUCCION, RECTIFICACION Y RECUPERACION DEL SISTEMA HIDRICO Y PLAN MAESTRO DE ALCANTARILLADO PLUVIAL PARA SALVAR EL HABITAT EN EL DISTRITO DE CARTAGENA DE INDIAS</v>
      </c>
      <c r="Q407" t="str">
        <f t="shared" si="55"/>
        <v>06</v>
      </c>
      <c r="R407" t="str">
        <f t="shared" si="56"/>
        <v>00</v>
      </c>
      <c r="S407" s="1">
        <v>0</v>
      </c>
      <c r="T407" s="1">
        <v>1085753638.8099999</v>
      </c>
      <c r="U407" s="1">
        <v>1085753638.8099999</v>
      </c>
      <c r="V407" s="1">
        <v>1085753638.8099999</v>
      </c>
      <c r="W407" s="1">
        <v>0</v>
      </c>
      <c r="X407" s="1">
        <v>1085753638.8099999</v>
      </c>
      <c r="Y407" s="1">
        <v>100</v>
      </c>
      <c r="Z407" s="1">
        <v>1085753638.8099999</v>
      </c>
      <c r="AA407" s="1">
        <v>100</v>
      </c>
      <c r="AB407" s="1">
        <v>0</v>
      </c>
      <c r="AC407" s="1">
        <v>1085753638.8099999</v>
      </c>
    </row>
    <row r="408" spans="1:29" x14ac:dyDescent="0.3">
      <c r="A408">
        <v>2022</v>
      </c>
      <c r="B408">
        <v>100</v>
      </c>
      <c r="C408" t="str">
        <f>"06"</f>
        <v>06</v>
      </c>
      <c r="D408" t="s">
        <v>375</v>
      </c>
      <c r="E408" t="str">
        <f t="shared" si="57"/>
        <v>06 SECRETARIA DE INFRAESTRUCTURA</v>
      </c>
      <c r="F408" s="2">
        <v>2021130010141</v>
      </c>
      <c r="G408" s="2" t="str">
        <f>+VLOOKUP(F408,Hoja2!$F:$I,2,FALSE)</f>
        <v>07. PILAR CARTAGENA RESILIENTE</v>
      </c>
      <c r="H408" s="2" t="str">
        <f>+VLOOKUP(F408,Hoja2!$F:$I,3,FALSE)</f>
        <v>7.3 LÍNEA ESTRATÉGICA DESARROLLO URBANO</v>
      </c>
      <c r="I408" s="2" t="str">
        <f>+VLOOKUP(F408,Hoja2!$F:$I,4,FALSE)</f>
        <v>7.3.2 SISTEMA HÍDRICO Y PLAN MAESTRO DE ALCANTARILLADO PLUVIALES EN LA CIUDAD PARA SALVAR EL HÁBITAT</v>
      </c>
      <c r="J408" t="s">
        <v>381</v>
      </c>
      <c r="K408" t="str">
        <f>"138"</f>
        <v>138</v>
      </c>
      <c r="L408" t="s">
        <v>186</v>
      </c>
      <c r="M408" t="s">
        <v>26</v>
      </c>
      <c r="N408" t="s">
        <v>27</v>
      </c>
      <c r="O408" t="s">
        <v>382</v>
      </c>
      <c r="P408" t="str">
        <f t="shared" si="58"/>
        <v>2021130010141 CONSTRUCCION, RECTIFICACION Y RECUPERACION DEL SISTEMA HIDRICO Y PLAN MAESTRO DE ALCANTARILLADO PLUVIAL PARA SALVAR EL HABITAT EN EL DISTRITO DE CARTAGENA DE INDIAS</v>
      </c>
      <c r="Q408" t="str">
        <f t="shared" si="55"/>
        <v>06</v>
      </c>
      <c r="R408" t="str">
        <f t="shared" si="56"/>
        <v>00</v>
      </c>
      <c r="S408" s="1">
        <v>1267081637</v>
      </c>
      <c r="T408" s="1">
        <v>800000000</v>
      </c>
      <c r="U408" s="1">
        <v>2067081637</v>
      </c>
      <c r="V408" s="1">
        <v>2067081636.98</v>
      </c>
      <c r="W408" s="1">
        <v>0.02</v>
      </c>
      <c r="X408" s="1">
        <v>1293935638.8299999</v>
      </c>
      <c r="Y408" s="1">
        <v>62.6</v>
      </c>
      <c r="Z408" s="1">
        <v>1268808591.3299999</v>
      </c>
      <c r="AA408" s="1">
        <v>61.38</v>
      </c>
      <c r="AB408" s="1">
        <v>773145998.16999996</v>
      </c>
      <c r="AC408" s="1">
        <v>1247510457.74</v>
      </c>
    </row>
    <row r="409" spans="1:29" x14ac:dyDescent="0.3">
      <c r="A409">
        <v>2022</v>
      </c>
      <c r="B409">
        <v>100</v>
      </c>
      <c r="C409" t="str">
        <f>"06"</f>
        <v>06</v>
      </c>
      <c r="D409" t="s">
        <v>375</v>
      </c>
      <c r="E409" t="str">
        <f t="shared" si="57"/>
        <v>06 SECRETARIA DE INFRAESTRUCTURA</v>
      </c>
      <c r="F409" s="2">
        <v>2021130010141</v>
      </c>
      <c r="G409" s="2" t="str">
        <f>+VLOOKUP(F409,Hoja2!$F:$I,2,FALSE)</f>
        <v>07. PILAR CARTAGENA RESILIENTE</v>
      </c>
      <c r="H409" s="2" t="str">
        <f>+VLOOKUP(F409,Hoja2!$F:$I,3,FALSE)</f>
        <v>7.3 LÍNEA ESTRATÉGICA DESARROLLO URBANO</v>
      </c>
      <c r="I409" s="2" t="str">
        <f>+VLOOKUP(F409,Hoja2!$F:$I,4,FALSE)</f>
        <v>7.3.2 SISTEMA HÍDRICO Y PLAN MAESTRO DE ALCANTARILLADO PLUVIALES EN LA CIUDAD PARA SALVAR EL HÁBITAT</v>
      </c>
      <c r="J409" t="s">
        <v>381</v>
      </c>
      <c r="K409" t="str">
        <f>"001"</f>
        <v>001</v>
      </c>
      <c r="L409" t="s">
        <v>25</v>
      </c>
      <c r="M409" t="s">
        <v>26</v>
      </c>
      <c r="N409" t="s">
        <v>27</v>
      </c>
      <c r="O409" t="s">
        <v>382</v>
      </c>
      <c r="P409" t="str">
        <f t="shared" si="58"/>
        <v>2021130010141 CONSTRUCCION, RECTIFICACION Y RECUPERACION DEL SISTEMA HIDRICO Y PLAN MAESTRO DE ALCANTARILLADO PLUVIAL PARA SALVAR EL HABITAT EN EL DISTRITO DE CARTAGENA DE INDIAS</v>
      </c>
      <c r="Q409" t="str">
        <f t="shared" si="55"/>
        <v>06</v>
      </c>
      <c r="R409" t="str">
        <f t="shared" si="56"/>
        <v>00</v>
      </c>
      <c r="S409" s="1">
        <v>1194545004</v>
      </c>
      <c r="T409" s="1">
        <v>68847232</v>
      </c>
      <c r="U409" s="1">
        <v>1263392236</v>
      </c>
      <c r="V409" s="1">
        <v>1263392235.3399999</v>
      </c>
      <c r="W409" s="1">
        <v>0.66</v>
      </c>
      <c r="X409" s="1">
        <v>1018912036.01</v>
      </c>
      <c r="Y409" s="1">
        <v>80.650000000000006</v>
      </c>
      <c r="Z409" s="1">
        <v>1004412036.01</v>
      </c>
      <c r="AA409" s="1">
        <v>79.5</v>
      </c>
      <c r="AB409" s="1">
        <v>244480199.99000001</v>
      </c>
      <c r="AC409" s="1">
        <v>865819023.44000006</v>
      </c>
    </row>
    <row r="410" spans="1:29" x14ac:dyDescent="0.3">
      <c r="A410">
        <v>2022</v>
      </c>
      <c r="B410">
        <v>100</v>
      </c>
      <c r="C410" t="str">
        <f t="shared" ref="C410:C416" si="59">"02"</f>
        <v>02</v>
      </c>
      <c r="D410" t="s">
        <v>106</v>
      </c>
      <c r="E410" t="str">
        <f t="shared" si="57"/>
        <v>02 SECRETARIA DEL INTERIOR Y CONVIVENCIA CIUDADANAL</v>
      </c>
      <c r="F410" s="2">
        <v>2021130010142</v>
      </c>
      <c r="G410" s="2" t="str">
        <f>+VLOOKUP(F410,Hoja2!$F:$I,2,FALSE)</f>
        <v>07. PILAR CARTAGENA RESILIENTE</v>
      </c>
      <c r="H410" s="2" t="str">
        <f>+VLOOKUP(F410,Hoja2!$F:$I,3,FALSE)</f>
        <v>7.4 LÍNEA ESTRATÉGICA GESTIÓN DEL RIESGO</v>
      </c>
      <c r="I410" s="2" t="str">
        <f>+VLOOKUP(F410,Hoja2!$F:$I,4,FALSE)</f>
        <v>7.4.4 FORTALECIMIENTO CUERPO DE BOMBEROS</v>
      </c>
      <c r="J410" t="s">
        <v>122</v>
      </c>
      <c r="K410" t="str">
        <f>"849"</f>
        <v>849</v>
      </c>
      <c r="L410" t="s">
        <v>123</v>
      </c>
      <c r="M410" t="s">
        <v>26</v>
      </c>
      <c r="N410" t="s">
        <v>27</v>
      </c>
      <c r="O410" t="s">
        <v>124</v>
      </c>
      <c r="P410" t="str">
        <f t="shared" si="58"/>
        <v>2021130010142 FORTALECIMIENTO DEL CUERPO DE BOMBEROS DEL DISTRITO DE   CARTAGENA DE INDIAS</v>
      </c>
      <c r="Q410" t="str">
        <f t="shared" si="55"/>
        <v>06</v>
      </c>
      <c r="R410" t="str">
        <f t="shared" si="56"/>
        <v>00</v>
      </c>
      <c r="S410" s="1">
        <v>0</v>
      </c>
      <c r="T410" s="1">
        <v>5898070221.6499996</v>
      </c>
      <c r="U410" s="1">
        <v>5898070221.6499996</v>
      </c>
      <c r="V410" s="1">
        <v>5104567110</v>
      </c>
      <c r="W410" s="1">
        <v>793503111.64999998</v>
      </c>
      <c r="X410" s="1">
        <v>4268764496</v>
      </c>
      <c r="Y410" s="1">
        <v>72.38</v>
      </c>
      <c r="Z410" s="1">
        <v>1018680000</v>
      </c>
      <c r="AA410" s="1">
        <v>17.27</v>
      </c>
      <c r="AB410" s="1">
        <v>1629305725.6500001</v>
      </c>
      <c r="AC410" s="1">
        <v>1015580000</v>
      </c>
    </row>
    <row r="411" spans="1:29" x14ac:dyDescent="0.3">
      <c r="A411">
        <v>2022</v>
      </c>
      <c r="B411">
        <v>100</v>
      </c>
      <c r="C411" t="str">
        <f t="shared" si="59"/>
        <v>02</v>
      </c>
      <c r="D411" t="s">
        <v>106</v>
      </c>
      <c r="E411" t="str">
        <f t="shared" si="57"/>
        <v>02 SECRETARIA DEL INTERIOR Y CONVIVENCIA CIUDADANAL</v>
      </c>
      <c r="F411" s="2">
        <v>2021130010142</v>
      </c>
      <c r="G411" s="2" t="str">
        <f>+VLOOKUP(F411,Hoja2!$F:$I,2,FALSE)</f>
        <v>07. PILAR CARTAGENA RESILIENTE</v>
      </c>
      <c r="H411" s="2" t="str">
        <f>+VLOOKUP(F411,Hoja2!$F:$I,3,FALSE)</f>
        <v>7.4 LÍNEA ESTRATÉGICA GESTIÓN DEL RIESGO</v>
      </c>
      <c r="I411" s="2" t="str">
        <f>+VLOOKUP(F411,Hoja2!$F:$I,4,FALSE)</f>
        <v>7.4.4 FORTALECIMIENTO CUERPO DE BOMBEROS</v>
      </c>
      <c r="J411" t="s">
        <v>122</v>
      </c>
      <c r="K411" t="str">
        <f>"042"</f>
        <v>042</v>
      </c>
      <c r="L411" t="s">
        <v>139</v>
      </c>
      <c r="M411" t="s">
        <v>26</v>
      </c>
      <c r="N411" t="s">
        <v>27</v>
      </c>
      <c r="O411" t="s">
        <v>124</v>
      </c>
      <c r="P411" t="str">
        <f t="shared" si="58"/>
        <v>2021130010142 FORTALECIMIENTO DEL CUERPO DE BOMBEROS DEL DISTRITO DE   CARTAGENA DE INDIAS</v>
      </c>
      <c r="Q411" t="str">
        <f t="shared" si="55"/>
        <v>06</v>
      </c>
      <c r="R411" t="str">
        <f t="shared" si="56"/>
        <v>00</v>
      </c>
      <c r="S411" s="1">
        <v>0</v>
      </c>
      <c r="T411" s="1">
        <v>2506263320</v>
      </c>
      <c r="U411" s="1">
        <v>2506263320</v>
      </c>
      <c r="V411" s="1">
        <v>0</v>
      </c>
      <c r="W411" s="1">
        <v>2506263320</v>
      </c>
      <c r="X411" s="1">
        <v>0</v>
      </c>
      <c r="Y411" s="1">
        <v>0</v>
      </c>
      <c r="Z411" s="1">
        <v>0</v>
      </c>
      <c r="AA411" s="1">
        <v>0</v>
      </c>
      <c r="AB411" s="1">
        <v>2506263320</v>
      </c>
      <c r="AC411" s="1">
        <v>0</v>
      </c>
    </row>
    <row r="412" spans="1:29" x14ac:dyDescent="0.3">
      <c r="A412">
        <v>2022</v>
      </c>
      <c r="B412">
        <v>100</v>
      </c>
      <c r="C412" t="str">
        <f t="shared" si="59"/>
        <v>02</v>
      </c>
      <c r="D412" t="s">
        <v>106</v>
      </c>
      <c r="E412" t="str">
        <f t="shared" si="57"/>
        <v>02 SECRETARIA DEL INTERIOR Y CONVIVENCIA CIUDADANAL</v>
      </c>
      <c r="F412" s="2">
        <v>2021130010142</v>
      </c>
      <c r="G412" s="2" t="str">
        <f>+VLOOKUP(F412,Hoja2!$F:$I,2,FALSE)</f>
        <v>07. PILAR CARTAGENA RESILIENTE</v>
      </c>
      <c r="H412" s="2" t="str">
        <f>+VLOOKUP(F412,Hoja2!$F:$I,3,FALSE)</f>
        <v>7.4 LÍNEA ESTRATÉGICA GESTIÓN DEL RIESGO</v>
      </c>
      <c r="I412" s="2" t="str">
        <f>+VLOOKUP(F412,Hoja2!$F:$I,4,FALSE)</f>
        <v>7.4.4 FORTALECIMIENTO CUERPO DE BOMBEROS</v>
      </c>
      <c r="J412" t="s">
        <v>122</v>
      </c>
      <c r="K412" t="str">
        <f>"044"</f>
        <v>044</v>
      </c>
      <c r="L412" t="s">
        <v>149</v>
      </c>
      <c r="M412" t="s">
        <v>26</v>
      </c>
      <c r="N412" t="s">
        <v>27</v>
      </c>
      <c r="O412" t="s">
        <v>124</v>
      </c>
      <c r="P412" t="str">
        <f t="shared" si="58"/>
        <v>2021130010142 FORTALECIMIENTO DEL CUERPO DE BOMBEROS DEL DISTRITO DE   CARTAGENA DE INDIAS</v>
      </c>
      <c r="Q412" t="str">
        <f t="shared" si="55"/>
        <v>06</v>
      </c>
      <c r="R412" t="str">
        <f t="shared" si="56"/>
        <v>00</v>
      </c>
      <c r="S412" s="1">
        <v>1</v>
      </c>
      <c r="T412" s="1">
        <v>0</v>
      </c>
      <c r="U412" s="1">
        <v>1</v>
      </c>
      <c r="V412" s="1">
        <v>0</v>
      </c>
      <c r="W412" s="1">
        <v>1</v>
      </c>
      <c r="X412" s="1">
        <v>0</v>
      </c>
      <c r="Y412" s="1">
        <v>0</v>
      </c>
      <c r="Z412" s="1">
        <v>0</v>
      </c>
      <c r="AA412" s="1">
        <v>0</v>
      </c>
      <c r="AB412" s="1">
        <v>1</v>
      </c>
      <c r="AC412" s="1">
        <v>0</v>
      </c>
    </row>
    <row r="413" spans="1:29" x14ac:dyDescent="0.3">
      <c r="A413">
        <v>2022</v>
      </c>
      <c r="B413">
        <v>100</v>
      </c>
      <c r="C413" t="str">
        <f t="shared" si="59"/>
        <v>02</v>
      </c>
      <c r="D413" t="s">
        <v>106</v>
      </c>
      <c r="E413" t="str">
        <f t="shared" si="57"/>
        <v>02 SECRETARIA DEL INTERIOR Y CONVIVENCIA CIUDADANAL</v>
      </c>
      <c r="F413" s="2">
        <v>2021130010142</v>
      </c>
      <c r="G413" s="2" t="str">
        <f>+VLOOKUP(F413,Hoja2!$F:$I,2,FALSE)</f>
        <v>07. PILAR CARTAGENA RESILIENTE</v>
      </c>
      <c r="H413" s="2" t="str">
        <f>+VLOOKUP(F413,Hoja2!$F:$I,3,FALSE)</f>
        <v>7.4 LÍNEA ESTRATÉGICA GESTIÓN DEL RIESGO</v>
      </c>
      <c r="I413" s="2" t="str">
        <f>+VLOOKUP(F413,Hoja2!$F:$I,4,FALSE)</f>
        <v>7.4.4 FORTALECIMIENTO CUERPO DE BOMBEROS</v>
      </c>
      <c r="J413" t="s">
        <v>122</v>
      </c>
      <c r="K413" t="str">
        <f>"001"</f>
        <v>001</v>
      </c>
      <c r="L413" t="s">
        <v>25</v>
      </c>
      <c r="M413" t="s">
        <v>26</v>
      </c>
      <c r="N413" t="s">
        <v>27</v>
      </c>
      <c r="O413" t="s">
        <v>124</v>
      </c>
      <c r="P413" t="str">
        <f t="shared" si="58"/>
        <v>2021130010142 FORTALECIMIENTO DEL CUERPO DE BOMBEROS DEL DISTRITO DE   CARTAGENA DE INDIAS</v>
      </c>
      <c r="Q413" t="str">
        <f t="shared" si="55"/>
        <v>06</v>
      </c>
      <c r="R413" t="str">
        <f t="shared" si="56"/>
        <v>00</v>
      </c>
      <c r="S413" s="1">
        <v>150000000</v>
      </c>
      <c r="T413" s="1">
        <v>0</v>
      </c>
      <c r="U413" s="1">
        <v>150000000</v>
      </c>
      <c r="V413" s="1">
        <v>150000000</v>
      </c>
      <c r="W413" s="1">
        <v>0</v>
      </c>
      <c r="X413" s="1">
        <v>149200000</v>
      </c>
      <c r="Y413" s="1">
        <v>99.47</v>
      </c>
      <c r="Z413" s="1">
        <v>149200000</v>
      </c>
      <c r="AA413" s="1">
        <v>99.47</v>
      </c>
      <c r="AB413" s="1">
        <v>800000</v>
      </c>
      <c r="AC413" s="1">
        <v>149200000</v>
      </c>
    </row>
    <row r="414" spans="1:29" x14ac:dyDescent="0.3">
      <c r="A414">
        <v>2022</v>
      </c>
      <c r="B414">
        <v>100</v>
      </c>
      <c r="C414" t="str">
        <f t="shared" si="59"/>
        <v>02</v>
      </c>
      <c r="D414" t="s">
        <v>106</v>
      </c>
      <c r="E414" t="str">
        <f t="shared" si="57"/>
        <v>02 SECRETARIA DEL INTERIOR Y CONVIVENCIA CIUDADANAL</v>
      </c>
      <c r="F414" s="2">
        <v>2021130010143</v>
      </c>
      <c r="G414" s="2" t="str">
        <f>+VLOOKUP(F414,Hoja2!$F:$I,2,FALSE)</f>
        <v>10. PILAR: CARTAGENA TRANSPARENTE</v>
      </c>
      <c r="H414" s="2" t="str">
        <f>+VLOOKUP(F414,Hoja2!$F:$I,3,FALSE)</f>
        <v>10.4 LÍNEA ESTRATÉGICA DERECHOS HUMANOS PARA LA PAZ</v>
      </c>
      <c r="I414" s="2" t="str">
        <f>+VLOOKUP(F414,Hoja2!$F:$I,4,FALSE)</f>
        <v>10.4.1 PROGRAMA: PREVENCIÓN, PROMOCIÓN Y PROTECCIÓN DE LOS DERECHOS HUMANOS EN EL DISTRITO DE CARTAGENA</v>
      </c>
      <c r="J414" t="s">
        <v>154</v>
      </c>
      <c r="K414" t="str">
        <f>"001"</f>
        <v>001</v>
      </c>
      <c r="L414" t="s">
        <v>25</v>
      </c>
      <c r="M414" t="s">
        <v>26</v>
      </c>
      <c r="N414" t="s">
        <v>27</v>
      </c>
      <c r="O414" t="s">
        <v>155</v>
      </c>
      <c r="P414" t="str">
        <f t="shared" si="58"/>
        <v>2021130010143 GENERACION DE UNA CULTURA DE PREVENCION, PROMOCION Y PROTECCION DE LOS DERECHOS HUMANOS CON ENFOQUE DIFERENCIAL Y DE GENERO EN EL DISTRITO DE CARTAGENA DE INDIAS</v>
      </c>
      <c r="Q414" t="str">
        <f t="shared" si="55"/>
        <v>06</v>
      </c>
      <c r="R414" t="str">
        <f t="shared" si="56"/>
        <v>00</v>
      </c>
      <c r="S414" s="1">
        <v>363729577</v>
      </c>
      <c r="T414" s="1">
        <v>-54000000</v>
      </c>
      <c r="U414" s="1">
        <v>309729577</v>
      </c>
      <c r="V414" s="1">
        <v>309657848</v>
      </c>
      <c r="W414" s="1">
        <v>71729</v>
      </c>
      <c r="X414" s="1">
        <v>297075099.97000003</v>
      </c>
      <c r="Y414" s="1">
        <v>95.91</v>
      </c>
      <c r="Z414" s="1">
        <v>231802666.63999999</v>
      </c>
      <c r="AA414" s="1">
        <v>74.84</v>
      </c>
      <c r="AB414" s="1">
        <v>12654477.029999999</v>
      </c>
      <c r="AC414" s="1">
        <v>224945999.97</v>
      </c>
    </row>
    <row r="415" spans="1:29" x14ac:dyDescent="0.3">
      <c r="A415">
        <v>2022</v>
      </c>
      <c r="B415">
        <v>100</v>
      </c>
      <c r="C415" t="str">
        <f t="shared" si="59"/>
        <v>02</v>
      </c>
      <c r="D415" t="s">
        <v>106</v>
      </c>
      <c r="E415" t="str">
        <f t="shared" si="57"/>
        <v>02 SECRETARIA DEL INTERIOR Y CONVIVENCIA CIUDADANAL</v>
      </c>
      <c r="F415" s="2">
        <v>2021130010145</v>
      </c>
      <c r="G415" s="2" t="str">
        <f>+VLOOKUP(F415,Hoja2!$F:$I,2,FALSE)</f>
        <v>11. EJE TRANSVERSAL: CARTAGENA CON ATENCION Y GARANTIA DE DERECHOS A POBLACION DIFERENCIAL.</v>
      </c>
      <c r="H415" s="2" t="str">
        <f>+VLOOKUP(F415,Hoja2!$F:$I,3,FALSE)</f>
        <v>11.1 LÍNEA ESTRATÉGICA PARA LA EQUIDAD E INCLUSIÓN DE LOS NEGROS, AFROS, PALENQUEROS E INDÍGENA.</v>
      </c>
      <c r="I415" s="2" t="str">
        <f>+VLOOKUP(F415,Hoja2!$F:$I,4,FALSE)</f>
        <v>11.1.7 PROGRAMA: FORTALECIMIENTO DE LA POBLACIÓN INDÍGENA EN EL DISTRITO DE CARTAGENA.</v>
      </c>
      <c r="J415" t="s">
        <v>120</v>
      </c>
      <c r="K415" t="str">
        <f>"816"</f>
        <v>816</v>
      </c>
      <c r="L415" t="s">
        <v>116</v>
      </c>
      <c r="M415" t="s">
        <v>26</v>
      </c>
      <c r="N415" t="s">
        <v>27</v>
      </c>
      <c r="O415" t="s">
        <v>121</v>
      </c>
      <c r="P415" t="str">
        <f t="shared" si="58"/>
        <v>2021130010145 FORTALECIMIENTO DE LA GOBERNANZA Y AUTODETERMINACION DE LA CULTURA EN INSTITUCIONES PROPIAS DE LA POBLACION INDIGENA EN EL DISTRITO DE CARTAGENA DE INDIAS</v>
      </c>
      <c r="Q415" t="str">
        <f t="shared" si="55"/>
        <v>06</v>
      </c>
      <c r="R415" t="str">
        <f t="shared" si="56"/>
        <v>00</v>
      </c>
      <c r="S415" s="1">
        <v>0</v>
      </c>
      <c r="T415" s="1">
        <v>600000000</v>
      </c>
      <c r="U415" s="1">
        <v>600000000</v>
      </c>
      <c r="V415" s="1">
        <v>0</v>
      </c>
      <c r="W415" s="1">
        <v>600000000</v>
      </c>
      <c r="X415" s="1">
        <v>0</v>
      </c>
      <c r="Y415" s="1">
        <v>0</v>
      </c>
      <c r="Z415" s="1">
        <v>0</v>
      </c>
      <c r="AA415" s="1">
        <v>0</v>
      </c>
      <c r="AB415" s="1">
        <v>600000000</v>
      </c>
      <c r="AC415" s="1">
        <v>0</v>
      </c>
    </row>
    <row r="416" spans="1:29" x14ac:dyDescent="0.3">
      <c r="A416">
        <v>2022</v>
      </c>
      <c r="B416">
        <v>100</v>
      </c>
      <c r="C416" t="str">
        <f t="shared" si="59"/>
        <v>02</v>
      </c>
      <c r="D416" t="s">
        <v>106</v>
      </c>
      <c r="E416" t="str">
        <f t="shared" si="57"/>
        <v>02 SECRETARIA DEL INTERIOR Y CONVIVENCIA CIUDADANAL</v>
      </c>
      <c r="F416" s="2">
        <v>2021130010145</v>
      </c>
      <c r="G416" s="2" t="str">
        <f>+VLOOKUP(F416,Hoja2!$F:$I,2,FALSE)</f>
        <v>11. EJE TRANSVERSAL: CARTAGENA CON ATENCION Y GARANTIA DE DERECHOS A POBLACION DIFERENCIAL.</v>
      </c>
      <c r="H416" s="2" t="str">
        <f>+VLOOKUP(F416,Hoja2!$F:$I,3,FALSE)</f>
        <v>11.1 LÍNEA ESTRATÉGICA PARA LA EQUIDAD E INCLUSIÓN DE LOS NEGROS, AFROS, PALENQUEROS E INDÍGENA.</v>
      </c>
      <c r="I416" s="2" t="str">
        <f>+VLOOKUP(F416,Hoja2!$F:$I,4,FALSE)</f>
        <v>11.1.7 PROGRAMA: FORTALECIMIENTO DE LA POBLACIÓN INDÍGENA EN EL DISTRITO DE CARTAGENA.</v>
      </c>
      <c r="J416" t="s">
        <v>120</v>
      </c>
      <c r="K416" t="str">
        <f>"001"</f>
        <v>001</v>
      </c>
      <c r="L416" t="s">
        <v>25</v>
      </c>
      <c r="M416" t="s">
        <v>26</v>
      </c>
      <c r="N416" t="s">
        <v>27</v>
      </c>
      <c r="O416" t="s">
        <v>156</v>
      </c>
      <c r="P416" t="str">
        <f t="shared" si="58"/>
        <v xml:space="preserve">2021130010145 FORTALECIMIENTO DE LA GOBERNANZA Y AUTODETERMINACION DE LA CULTURA E INSTITUCIONES PROPIAS DE LA POBLACION INDIGENA EN EL DISTRITO DE CARTAGENA DE INDIAS </v>
      </c>
      <c r="Q416" t="str">
        <f t="shared" si="55"/>
        <v>06</v>
      </c>
      <c r="R416" t="str">
        <f t="shared" si="56"/>
        <v>00</v>
      </c>
      <c r="S416" s="1">
        <v>172292957</v>
      </c>
      <c r="T416" s="1">
        <v>0</v>
      </c>
      <c r="U416" s="1">
        <v>172292957</v>
      </c>
      <c r="V416" s="1">
        <v>111839077</v>
      </c>
      <c r="W416" s="1">
        <v>60453880</v>
      </c>
      <c r="X416" s="1">
        <v>96284077</v>
      </c>
      <c r="Y416" s="1">
        <v>55.88</v>
      </c>
      <c r="Z416" s="1">
        <v>66576077</v>
      </c>
      <c r="AA416" s="1">
        <v>38.64</v>
      </c>
      <c r="AB416" s="1">
        <v>76008880</v>
      </c>
      <c r="AC416" s="1">
        <v>60576077</v>
      </c>
    </row>
    <row r="417" spans="1:29" x14ac:dyDescent="0.3">
      <c r="A417">
        <v>2022</v>
      </c>
      <c r="B417">
        <v>100</v>
      </c>
      <c r="C417" t="str">
        <f>"05"</f>
        <v>05</v>
      </c>
      <c r="D417" t="s">
        <v>292</v>
      </c>
      <c r="E417" t="str">
        <f t="shared" si="57"/>
        <v>05 SECRETARIA GENERAL</v>
      </c>
      <c r="F417" s="2">
        <v>2021130010146</v>
      </c>
      <c r="G417" s="2" t="str">
        <f>+VLOOKUP(F417,Hoja2!$F:$I,2,FALSE)</f>
        <v>09. PILAR CARTAGENA CONTINGENTE</v>
      </c>
      <c r="H417" s="2" t="str">
        <f>+VLOOKUP(F417,Hoja2!$F:$I,3,FALSE)</f>
        <v>9.3 LÍNEA ESTRATÉGICA: TURISMO, MOTOR DE REACTIVACIÓN ECONÓMICA PARA CARTAGENA DE INDIAS</v>
      </c>
      <c r="I417" s="2" t="str">
        <f>+VLOOKUP(F417,Hoja2!$F:$I,4,FALSE)</f>
        <v>9.3.1 PROGRAMA: PROMOCIÓN NACIONAL E INTERNACIONAL DE CARTAGENA DE INDIAS</v>
      </c>
      <c r="J417" t="s">
        <v>308</v>
      </c>
      <c r="K417" t="str">
        <f>"830"</f>
        <v>830</v>
      </c>
      <c r="L417" t="s">
        <v>309</v>
      </c>
      <c r="M417" t="s">
        <v>26</v>
      </c>
      <c r="N417" t="s">
        <v>27</v>
      </c>
      <c r="O417" t="s">
        <v>310</v>
      </c>
      <c r="P417" t="str">
        <f t="shared" si="58"/>
        <v>2021130010146 APOYO A LA REALIZACION DEL FESTIVAL INTERNACIONAL DE CINE DE CARTAGENA FICCI 2021 PARA LOS BARRIOS DE CARTAGENA DE INDIAS</v>
      </c>
      <c r="Q417" t="str">
        <f t="shared" si="55"/>
        <v>06</v>
      </c>
      <c r="R417" t="str">
        <f t="shared" si="56"/>
        <v>00</v>
      </c>
      <c r="S417" s="1">
        <v>0</v>
      </c>
      <c r="T417" s="1">
        <v>14910027</v>
      </c>
      <c r="U417" s="1">
        <v>14910027</v>
      </c>
      <c r="V417" s="1">
        <v>0</v>
      </c>
      <c r="W417" s="1">
        <v>14910027</v>
      </c>
      <c r="X417" s="1">
        <v>0</v>
      </c>
      <c r="Y417" s="1">
        <v>0</v>
      </c>
      <c r="Z417" s="1">
        <v>0</v>
      </c>
      <c r="AA417" s="1">
        <v>0</v>
      </c>
      <c r="AB417" s="1">
        <v>14910027</v>
      </c>
      <c r="AC417" s="1">
        <v>0</v>
      </c>
    </row>
    <row r="418" spans="1:29" x14ac:dyDescent="0.3">
      <c r="A418">
        <v>2022</v>
      </c>
      <c r="B418">
        <v>100</v>
      </c>
      <c r="C418" t="str">
        <f>"05"</f>
        <v>05</v>
      </c>
      <c r="D418" t="s">
        <v>292</v>
      </c>
      <c r="E418" t="str">
        <f t="shared" si="57"/>
        <v>05 SECRETARIA GENERAL</v>
      </c>
      <c r="F418" s="2">
        <v>2021130010146</v>
      </c>
      <c r="G418" s="2" t="str">
        <f>+VLOOKUP(F418,Hoja2!$F:$I,2,FALSE)</f>
        <v>09. PILAR CARTAGENA CONTINGENTE</v>
      </c>
      <c r="H418" s="2" t="str">
        <f>+VLOOKUP(F418,Hoja2!$F:$I,3,FALSE)</f>
        <v>9.3 LÍNEA ESTRATÉGICA: TURISMO, MOTOR DE REACTIVACIÓN ECONÓMICA PARA CARTAGENA DE INDIAS</v>
      </c>
      <c r="I418" s="2" t="str">
        <f>+VLOOKUP(F418,Hoja2!$F:$I,4,FALSE)</f>
        <v>9.3.1 PROGRAMA: PROMOCIÓN NACIONAL E INTERNACIONAL DE CARTAGENA DE INDIAS</v>
      </c>
      <c r="J418" t="s">
        <v>308</v>
      </c>
      <c r="K418" t="str">
        <f>"001"</f>
        <v>001</v>
      </c>
      <c r="L418" t="s">
        <v>25</v>
      </c>
      <c r="M418" t="s">
        <v>26</v>
      </c>
      <c r="N418" t="s">
        <v>27</v>
      </c>
      <c r="O418" t="s">
        <v>310</v>
      </c>
      <c r="P418" t="str">
        <f t="shared" si="58"/>
        <v>2021130010146 APOYO A LA REALIZACION DEL FESTIVAL INTERNACIONAL DE CINE DE CARTAGENA FICCI 2021 PARA LOS BARRIOS DE CARTAGENA DE INDIAS</v>
      </c>
      <c r="Q418" t="str">
        <f t="shared" si="55"/>
        <v>06</v>
      </c>
      <c r="R418" t="str">
        <f t="shared" si="56"/>
        <v>00</v>
      </c>
      <c r="S418" s="1">
        <v>66597687</v>
      </c>
      <c r="T418" s="1">
        <v>-16597687</v>
      </c>
      <c r="U418" s="1">
        <v>50000000</v>
      </c>
      <c r="V418" s="1">
        <v>50000000</v>
      </c>
      <c r="W418" s="1">
        <v>0</v>
      </c>
      <c r="X418" s="1">
        <v>50000000</v>
      </c>
      <c r="Y418" s="1">
        <v>100</v>
      </c>
      <c r="Z418" s="1">
        <v>0</v>
      </c>
      <c r="AA418" s="1">
        <v>0</v>
      </c>
      <c r="AB418" s="1">
        <v>0</v>
      </c>
      <c r="AC418" s="1">
        <v>0</v>
      </c>
    </row>
    <row r="419" spans="1:29" x14ac:dyDescent="0.3">
      <c r="A419">
        <v>2022</v>
      </c>
      <c r="B419">
        <v>100</v>
      </c>
      <c r="C419" t="str">
        <f t="shared" ref="C419:C424" si="60">"01"</f>
        <v>01</v>
      </c>
      <c r="D419" t="s">
        <v>23</v>
      </c>
      <c r="E419" t="str">
        <f t="shared" si="57"/>
        <v>01 DESPACHO DEL ALCALDE</v>
      </c>
      <c r="F419" s="2">
        <v>2021130010147</v>
      </c>
      <c r="G419" s="2" t="str">
        <f>+VLOOKUP(F419,Hoja2!$F:$I,2,FALSE)</f>
        <v>07. PILAR CARTAGENA RESILIENTE</v>
      </c>
      <c r="H419" s="2" t="str">
        <f>+VLOOKUP(F419,Hoja2!$F:$I,3,FALSE)</f>
        <v>7.4 LÍNEA ESTRATÉGICA GESTIÓN DEL RIESGO</v>
      </c>
      <c r="I419" s="2" t="str">
        <f>+VLOOKUP(F419,Hoja2!$F:$I,4,FALSE)</f>
        <v>7.4.1 CONOCIMIENTO DEL RIESGO</v>
      </c>
      <c r="J419" t="s">
        <v>71</v>
      </c>
      <c r="K419" t="str">
        <f>"835"</f>
        <v>835</v>
      </c>
      <c r="L419" t="s">
        <v>72</v>
      </c>
      <c r="M419" t="s">
        <v>26</v>
      </c>
      <c r="N419" t="s">
        <v>27</v>
      </c>
      <c r="O419" t="s">
        <v>73</v>
      </c>
      <c r="P419" t="str">
        <f t="shared" si="58"/>
        <v>2021130010147 EXTENSION DEL CONOCIMIENTO DEL RIESGO EN NUESTRO TERRITORIO   CARTAGENA DE INDIAS</v>
      </c>
      <c r="Q419" t="str">
        <f t="shared" si="55"/>
        <v>06</v>
      </c>
      <c r="R419" t="str">
        <f t="shared" si="56"/>
        <v>00</v>
      </c>
      <c r="S419" s="1">
        <v>0</v>
      </c>
      <c r="T419" s="1">
        <v>190649230.41</v>
      </c>
      <c r="U419" s="1">
        <v>190649230.41</v>
      </c>
      <c r="V419" s="1">
        <v>190649230.41</v>
      </c>
      <c r="W419" s="1">
        <v>0</v>
      </c>
      <c r="X419" s="1">
        <v>0</v>
      </c>
      <c r="Y419" s="1">
        <v>0</v>
      </c>
      <c r="Z419" s="1">
        <v>0</v>
      </c>
      <c r="AA419" s="1">
        <v>0</v>
      </c>
      <c r="AB419" s="1">
        <v>190649230.41</v>
      </c>
      <c r="AC419" s="1">
        <v>0</v>
      </c>
    </row>
    <row r="420" spans="1:29" x14ac:dyDescent="0.3">
      <c r="A420">
        <v>2022</v>
      </c>
      <c r="B420">
        <v>100</v>
      </c>
      <c r="C420" t="str">
        <f t="shared" si="60"/>
        <v>01</v>
      </c>
      <c r="D420" t="s">
        <v>23</v>
      </c>
      <c r="E420" t="str">
        <f t="shared" si="57"/>
        <v>01 DESPACHO DEL ALCALDE</v>
      </c>
      <c r="F420" s="2">
        <v>2021130010147</v>
      </c>
      <c r="G420" s="2" t="str">
        <f>+VLOOKUP(F420,Hoja2!$F:$I,2,FALSE)</f>
        <v>07. PILAR CARTAGENA RESILIENTE</v>
      </c>
      <c r="H420" s="2" t="str">
        <f>+VLOOKUP(F420,Hoja2!$F:$I,3,FALSE)</f>
        <v>7.4 LÍNEA ESTRATÉGICA GESTIÓN DEL RIESGO</v>
      </c>
      <c r="I420" s="2" t="str">
        <f>+VLOOKUP(F420,Hoja2!$F:$I,4,FALSE)</f>
        <v>7.4.1 CONOCIMIENTO DEL RIESGO</v>
      </c>
      <c r="J420" t="s">
        <v>71</v>
      </c>
      <c r="K420" t="str">
        <f>"842"</f>
        <v>842</v>
      </c>
      <c r="L420" t="s">
        <v>75</v>
      </c>
      <c r="M420" t="s">
        <v>26</v>
      </c>
      <c r="N420" t="s">
        <v>27</v>
      </c>
      <c r="O420" t="s">
        <v>73</v>
      </c>
      <c r="P420" t="str">
        <f t="shared" si="58"/>
        <v>2021130010147 EXTENSION DEL CONOCIMIENTO DEL RIESGO EN NUESTRO TERRITORIO   CARTAGENA DE INDIAS</v>
      </c>
      <c r="Q420" t="str">
        <f t="shared" si="55"/>
        <v>06</v>
      </c>
      <c r="R420" t="str">
        <f t="shared" si="56"/>
        <v>00</v>
      </c>
      <c r="S420" s="1">
        <v>0</v>
      </c>
      <c r="T420" s="1">
        <v>899994695</v>
      </c>
      <c r="U420" s="1">
        <v>899994695</v>
      </c>
      <c r="V420" s="1">
        <v>899994695</v>
      </c>
      <c r="W420" s="1">
        <v>0</v>
      </c>
      <c r="X420" s="1">
        <v>0</v>
      </c>
      <c r="Y420" s="1">
        <v>0</v>
      </c>
      <c r="Z420" s="1">
        <v>0</v>
      </c>
      <c r="AA420" s="1">
        <v>0</v>
      </c>
      <c r="AB420" s="1">
        <v>899994695</v>
      </c>
      <c r="AC420" s="1">
        <v>0</v>
      </c>
    </row>
    <row r="421" spans="1:29" x14ac:dyDescent="0.3">
      <c r="A421">
        <v>2022</v>
      </c>
      <c r="B421">
        <v>100</v>
      </c>
      <c r="C421" t="str">
        <f t="shared" si="60"/>
        <v>01</v>
      </c>
      <c r="D421" t="s">
        <v>23</v>
      </c>
      <c r="E421" t="str">
        <f t="shared" si="57"/>
        <v>01 DESPACHO DEL ALCALDE</v>
      </c>
      <c r="F421" s="2">
        <v>2021130010147</v>
      </c>
      <c r="G421" s="2" t="str">
        <f>+VLOOKUP(F421,Hoja2!$F:$I,2,FALSE)</f>
        <v>07. PILAR CARTAGENA RESILIENTE</v>
      </c>
      <c r="H421" s="2" t="str">
        <f>+VLOOKUP(F421,Hoja2!$F:$I,3,FALSE)</f>
        <v>7.4 LÍNEA ESTRATÉGICA GESTIÓN DEL RIESGO</v>
      </c>
      <c r="I421" s="2" t="str">
        <f>+VLOOKUP(F421,Hoja2!$F:$I,4,FALSE)</f>
        <v>7.4.1 CONOCIMIENTO DEL RIESGO</v>
      </c>
      <c r="J421" t="s">
        <v>71</v>
      </c>
      <c r="K421" t="str">
        <f>"922"</f>
        <v>922</v>
      </c>
      <c r="L421" t="s">
        <v>78</v>
      </c>
      <c r="M421" t="s">
        <v>26</v>
      </c>
      <c r="N421" t="s">
        <v>27</v>
      </c>
      <c r="O421" t="s">
        <v>73</v>
      </c>
      <c r="P421" t="str">
        <f t="shared" si="58"/>
        <v>2021130010147 EXTENSION DEL CONOCIMIENTO DEL RIESGO EN NUESTRO TERRITORIO   CARTAGENA DE INDIAS</v>
      </c>
      <c r="Q421" t="str">
        <f t="shared" si="55"/>
        <v>06</v>
      </c>
      <c r="R421" t="str">
        <f t="shared" si="56"/>
        <v>00</v>
      </c>
      <c r="S421" s="1">
        <v>0</v>
      </c>
      <c r="T421" s="1">
        <v>389695166.81</v>
      </c>
      <c r="U421" s="1">
        <v>389695166.81</v>
      </c>
      <c r="V421" s="1">
        <v>389695166.81</v>
      </c>
      <c r="W421" s="1">
        <v>0</v>
      </c>
      <c r="X421" s="1">
        <v>0</v>
      </c>
      <c r="Y421" s="1">
        <v>0</v>
      </c>
      <c r="Z421" s="1">
        <v>0</v>
      </c>
      <c r="AA421" s="1">
        <v>0</v>
      </c>
      <c r="AB421" s="1">
        <v>389695166.81</v>
      </c>
      <c r="AC421" s="1">
        <v>0</v>
      </c>
    </row>
    <row r="422" spans="1:29" x14ac:dyDescent="0.3">
      <c r="A422">
        <v>2022</v>
      </c>
      <c r="B422">
        <v>100</v>
      </c>
      <c r="C422" t="str">
        <f t="shared" si="60"/>
        <v>01</v>
      </c>
      <c r="D422" t="s">
        <v>23</v>
      </c>
      <c r="E422" t="str">
        <f t="shared" si="57"/>
        <v>01 DESPACHO DEL ALCALDE</v>
      </c>
      <c r="F422" s="2">
        <v>2021130010147</v>
      </c>
      <c r="G422" s="2" t="str">
        <f>+VLOOKUP(F422,Hoja2!$F:$I,2,FALSE)</f>
        <v>07. PILAR CARTAGENA RESILIENTE</v>
      </c>
      <c r="H422" s="2" t="str">
        <f>+VLOOKUP(F422,Hoja2!$F:$I,3,FALSE)</f>
        <v>7.4 LÍNEA ESTRATÉGICA GESTIÓN DEL RIESGO</v>
      </c>
      <c r="I422" s="2" t="str">
        <f>+VLOOKUP(F422,Hoja2!$F:$I,4,FALSE)</f>
        <v>7.4.1 CONOCIMIENTO DEL RIESGO</v>
      </c>
      <c r="J422" t="s">
        <v>71</v>
      </c>
      <c r="K422" t="str">
        <f>"070"</f>
        <v>070</v>
      </c>
      <c r="L422" t="s">
        <v>93</v>
      </c>
      <c r="M422" t="s">
        <v>26</v>
      </c>
      <c r="N422" t="s">
        <v>27</v>
      </c>
      <c r="O422" t="s">
        <v>73</v>
      </c>
      <c r="P422" t="str">
        <f t="shared" si="58"/>
        <v>2021130010147 EXTENSION DEL CONOCIMIENTO DEL RIESGO EN NUESTRO TERRITORIO   CARTAGENA DE INDIAS</v>
      </c>
      <c r="Q422" t="str">
        <f t="shared" si="55"/>
        <v>06</v>
      </c>
      <c r="R422" t="str">
        <f t="shared" si="56"/>
        <v>00</v>
      </c>
      <c r="S422" s="1">
        <v>656279390</v>
      </c>
      <c r="T422" s="1">
        <v>0</v>
      </c>
      <c r="U422" s="1">
        <v>656279390</v>
      </c>
      <c r="V422" s="1">
        <v>424042950.43000001</v>
      </c>
      <c r="W422" s="1">
        <v>232236439.56999999</v>
      </c>
      <c r="X422" s="1">
        <v>421345879.02999997</v>
      </c>
      <c r="Y422" s="1">
        <v>64.2</v>
      </c>
      <c r="Z422" s="1">
        <v>378071648.60000002</v>
      </c>
      <c r="AA422" s="1">
        <v>57.61</v>
      </c>
      <c r="AB422" s="1">
        <v>234933510.97</v>
      </c>
      <c r="AC422" s="1">
        <v>378071648.60000002</v>
      </c>
    </row>
    <row r="423" spans="1:29" x14ac:dyDescent="0.3">
      <c r="A423">
        <v>2022</v>
      </c>
      <c r="B423">
        <v>100</v>
      </c>
      <c r="C423" t="str">
        <f t="shared" si="60"/>
        <v>01</v>
      </c>
      <c r="D423" t="s">
        <v>23</v>
      </c>
      <c r="E423" t="str">
        <f t="shared" si="57"/>
        <v>01 DESPACHO DEL ALCALDE</v>
      </c>
      <c r="F423" s="2">
        <v>2021130010147</v>
      </c>
      <c r="G423" s="2" t="str">
        <f>+VLOOKUP(F423,Hoja2!$F:$I,2,FALSE)</f>
        <v>07. PILAR CARTAGENA RESILIENTE</v>
      </c>
      <c r="H423" s="2" t="str">
        <f>+VLOOKUP(F423,Hoja2!$F:$I,3,FALSE)</f>
        <v>7.4 LÍNEA ESTRATÉGICA GESTIÓN DEL RIESGO</v>
      </c>
      <c r="I423" s="2" t="str">
        <f>+VLOOKUP(F423,Hoja2!$F:$I,4,FALSE)</f>
        <v>7.4.1 CONOCIMIENTO DEL RIESGO</v>
      </c>
      <c r="J423" t="s">
        <v>71</v>
      </c>
      <c r="K423" t="str">
        <f>"119"</f>
        <v>119</v>
      </c>
      <c r="L423" t="s">
        <v>99</v>
      </c>
      <c r="M423" t="s">
        <v>26</v>
      </c>
      <c r="N423" t="s">
        <v>27</v>
      </c>
      <c r="O423" t="s">
        <v>73</v>
      </c>
      <c r="P423" t="str">
        <f t="shared" si="58"/>
        <v>2021130010147 EXTENSION DEL CONOCIMIENTO DEL RIESGO EN NUESTRO TERRITORIO   CARTAGENA DE INDIAS</v>
      </c>
      <c r="Q423" t="str">
        <f t="shared" si="55"/>
        <v>06</v>
      </c>
      <c r="R423" t="str">
        <f t="shared" si="56"/>
        <v>00</v>
      </c>
      <c r="S423" s="1">
        <v>962817727</v>
      </c>
      <c r="T423" s="1">
        <v>0</v>
      </c>
      <c r="U423" s="1">
        <v>962817727</v>
      </c>
      <c r="V423" s="1">
        <v>909655905.77999997</v>
      </c>
      <c r="W423" s="1">
        <v>53161821.219999999</v>
      </c>
      <c r="X423" s="1">
        <v>871663332</v>
      </c>
      <c r="Y423" s="1">
        <v>90.53</v>
      </c>
      <c r="Z423" s="1">
        <v>871663332</v>
      </c>
      <c r="AA423" s="1">
        <v>90.53</v>
      </c>
      <c r="AB423" s="1">
        <v>91154395</v>
      </c>
      <c r="AC423" s="1">
        <v>869763332</v>
      </c>
    </row>
    <row r="424" spans="1:29" x14ac:dyDescent="0.3">
      <c r="A424">
        <v>2022</v>
      </c>
      <c r="B424">
        <v>100</v>
      </c>
      <c r="C424" t="str">
        <f t="shared" si="60"/>
        <v>01</v>
      </c>
      <c r="D424" t="s">
        <v>23</v>
      </c>
      <c r="E424" t="str">
        <f t="shared" si="57"/>
        <v>01 DESPACHO DEL ALCALDE</v>
      </c>
      <c r="F424" s="2">
        <v>2021130010147</v>
      </c>
      <c r="G424" s="2" t="str">
        <f>+VLOOKUP(F424,Hoja2!$F:$I,2,FALSE)</f>
        <v>07. PILAR CARTAGENA RESILIENTE</v>
      </c>
      <c r="H424" s="2" t="str">
        <f>+VLOOKUP(F424,Hoja2!$F:$I,3,FALSE)</f>
        <v>7.4 LÍNEA ESTRATÉGICA GESTIÓN DEL RIESGO</v>
      </c>
      <c r="I424" s="2" t="str">
        <f>+VLOOKUP(F424,Hoja2!$F:$I,4,FALSE)</f>
        <v>7.4.1 CONOCIMIENTO DEL RIESGO</v>
      </c>
      <c r="J424" t="s">
        <v>71</v>
      </c>
      <c r="K424" t="str">
        <f>"001"</f>
        <v>001</v>
      </c>
      <c r="L424" t="s">
        <v>25</v>
      </c>
      <c r="M424" t="s">
        <v>26</v>
      </c>
      <c r="N424" t="s">
        <v>27</v>
      </c>
      <c r="O424" t="s">
        <v>73</v>
      </c>
      <c r="P424" t="str">
        <f t="shared" si="58"/>
        <v>2021130010147 EXTENSION DEL CONOCIMIENTO DEL RIESGO EN NUESTRO TERRITORIO   CARTAGENA DE INDIAS</v>
      </c>
      <c r="Q424" t="str">
        <f t="shared" si="55"/>
        <v>06</v>
      </c>
      <c r="R424" t="str">
        <f t="shared" si="56"/>
        <v>00</v>
      </c>
      <c r="S424" s="1">
        <v>59296001</v>
      </c>
      <c r="T424" s="1">
        <v>-59296001</v>
      </c>
      <c r="U424" s="1">
        <v>0</v>
      </c>
      <c r="V424" s="1">
        <v>0</v>
      </c>
      <c r="W424" s="1">
        <v>0</v>
      </c>
      <c r="X424" s="1">
        <v>0</v>
      </c>
      <c r="Y424" s="1">
        <v>0</v>
      </c>
      <c r="Z424" s="1">
        <v>0</v>
      </c>
      <c r="AA424" s="1">
        <v>0</v>
      </c>
      <c r="AB424" s="1">
        <v>0</v>
      </c>
      <c r="AC424" s="1">
        <v>0</v>
      </c>
    </row>
    <row r="425" spans="1:29" x14ac:dyDescent="0.3">
      <c r="A425">
        <v>2022</v>
      </c>
      <c r="B425">
        <v>100</v>
      </c>
      <c r="C425" t="str">
        <f>"02"</f>
        <v>02</v>
      </c>
      <c r="D425" t="s">
        <v>106</v>
      </c>
      <c r="E425" t="str">
        <f t="shared" si="57"/>
        <v>02 SECRETARIA DEL INTERIOR Y CONVIVENCIA CIUDADANAL</v>
      </c>
      <c r="F425" s="2">
        <v>2021130010148</v>
      </c>
      <c r="G425" s="2" t="str">
        <f>+VLOOKUP(F425,Hoja2!$F:$I,2,FALSE)</f>
        <v>11. EJE TRANSVERSAL: CARTAGENA CON ATENCION Y GARANTIA DE DERECHOS A POBLACION DIFERENCIAL.</v>
      </c>
      <c r="H425" s="2" t="str">
        <f>+VLOOKUP(F425,Hoja2!$F:$I,3,FALSE)</f>
        <v>11.1 LÍNEA ESTRATÉGICA PARA LA EQUIDAD E INCLUSIÓN DE LOS NEGROS, AFROS, PALENQUEROS E INDÍGENA.</v>
      </c>
      <c r="I425" s="2" t="str">
        <f>+VLOOKUP(F425,Hoja2!$F:$I,4,FALSE)</f>
        <v>11.1.1 FORTALECIMIENTO DE POBLACIÓN NEGRA, AFROCOLOMBIANA, RAIZAL Y PALENQUERA EN EL DISTRITO DE CARTAGENA</v>
      </c>
      <c r="J425" t="s">
        <v>157</v>
      </c>
      <c r="K425" t="str">
        <f>"001"</f>
        <v>001</v>
      </c>
      <c r="L425" t="s">
        <v>25</v>
      </c>
      <c r="M425" t="s">
        <v>26</v>
      </c>
      <c r="N425" t="s">
        <v>27</v>
      </c>
      <c r="O425" t="s">
        <v>158</v>
      </c>
      <c r="P425" t="str">
        <f t="shared" si="58"/>
        <v>2021130010148 FORTALECIMIENTO DEL PROCESO ORGANIZATIVO Y ATENCION DIFERENCIAL A LA POBLACION NEGRA, AFRODESCENDIENTE, RAIZAL Y PALENQUERA EN EL DISTRITO DE CARTAGENA DE INDIAS</v>
      </c>
      <c r="Q425" t="str">
        <f t="shared" si="55"/>
        <v>06</v>
      </c>
      <c r="R425" t="str">
        <f t="shared" si="56"/>
        <v>00</v>
      </c>
      <c r="S425" s="1">
        <v>210580286</v>
      </c>
      <c r="T425" s="1">
        <v>0</v>
      </c>
      <c r="U425" s="1">
        <v>210580286</v>
      </c>
      <c r="V425" s="1">
        <v>210500000</v>
      </c>
      <c r="W425" s="1">
        <v>80286</v>
      </c>
      <c r="X425" s="1">
        <v>202100000</v>
      </c>
      <c r="Y425" s="1">
        <v>95.97</v>
      </c>
      <c r="Z425" s="1">
        <v>173300000</v>
      </c>
      <c r="AA425" s="1">
        <v>82.3</v>
      </c>
      <c r="AB425" s="1">
        <v>8480286</v>
      </c>
      <c r="AC425" s="1">
        <v>134500000</v>
      </c>
    </row>
    <row r="426" spans="1:29" x14ac:dyDescent="0.3">
      <c r="A426">
        <v>2022</v>
      </c>
      <c r="B426">
        <v>100</v>
      </c>
      <c r="C426" t="str">
        <f>"10"</f>
        <v>10</v>
      </c>
      <c r="D426" t="s">
        <v>601</v>
      </c>
      <c r="E426" t="str">
        <f t="shared" si="57"/>
        <v>10 DEPARTAMENTO ADMINISTRATIVO DE SALUD</v>
      </c>
      <c r="F426" s="2">
        <v>2021130010150</v>
      </c>
      <c r="G426" s="2" t="str">
        <f>+VLOOKUP(F426,Hoja2!$F:$I,2,FALSE)</f>
        <v>08. PILAR CARTAGENA INCLUYENTE</v>
      </c>
      <c r="H426" s="2" t="str">
        <f>+VLOOKUP(F426,Hoja2!$F:$I,3,FALSE)</f>
        <v>8.3 LÍNEA ESTRATÉGICA SALUD PARA TODOS</v>
      </c>
      <c r="I426" s="2" t="str">
        <f>+VLOOKUP(F426,Hoja2!$F:$I,4,FALSE)</f>
        <v>8.3.1 PROGRAMA: FORTALECIMIENTO DE LA AUTORIDAD SANITARIA</v>
      </c>
      <c r="J426" t="s">
        <v>606</v>
      </c>
      <c r="K426" t="str">
        <f>"001"</f>
        <v>001</v>
      </c>
      <c r="L426" t="s">
        <v>25</v>
      </c>
      <c r="M426" t="s">
        <v>26</v>
      </c>
      <c r="N426" t="s">
        <v>27</v>
      </c>
      <c r="O426" t="s">
        <v>607</v>
      </c>
      <c r="P426" t="str">
        <f t="shared" si="58"/>
        <v>2021130010150 PRESTACION DE SERVICIOS BASICOS DE TECNOLOGIA DE INFORMACION Y COMUNICACION EN SALUD EN EL DEPARTAMENTO ADMINISTRATIVO DISTRITAL DE SALUD DE   CARTAGENA DE INDIAS</v>
      </c>
      <c r="Q426" t="str">
        <f t="shared" si="55"/>
        <v>06</v>
      </c>
      <c r="R426" t="str">
        <f t="shared" si="56"/>
        <v>00</v>
      </c>
      <c r="S426" s="1">
        <v>100000000</v>
      </c>
      <c r="T426" s="1">
        <v>0</v>
      </c>
      <c r="U426" s="1">
        <v>100000000</v>
      </c>
      <c r="V426" s="1">
        <v>96500000</v>
      </c>
      <c r="W426" s="1">
        <v>3500000</v>
      </c>
      <c r="X426" s="1">
        <v>96500000</v>
      </c>
      <c r="Y426" s="1">
        <v>96.5</v>
      </c>
      <c r="Z426" s="1">
        <v>96500000</v>
      </c>
      <c r="AA426" s="1">
        <v>96.5</v>
      </c>
      <c r="AB426" s="1">
        <v>3500000</v>
      </c>
      <c r="AC426" s="1">
        <v>96500000</v>
      </c>
    </row>
    <row r="427" spans="1:29" x14ac:dyDescent="0.3">
      <c r="A427">
        <v>2022</v>
      </c>
      <c r="B427">
        <v>100</v>
      </c>
      <c r="C427" t="str">
        <f>"25"</f>
        <v>25</v>
      </c>
      <c r="D427" t="s">
        <v>1007</v>
      </c>
      <c r="E427" t="str">
        <f t="shared" si="57"/>
        <v>25 COLEGIO MAYOR DE BOLIVAR</v>
      </c>
      <c r="F427" s="2">
        <v>2021130010151</v>
      </c>
      <c r="G427" s="2" t="str">
        <f>+VLOOKUP(F427,Hoja2!$F:$I,2,FALSE)</f>
        <v>08. PILAR CARTAGENA INCLUYENTE</v>
      </c>
      <c r="H427" s="2" t="str">
        <f>+VLOOKUP(F427,Hoja2!$F:$I,3,FALSE)</f>
        <v>8.2 LÍNEA ESTRATEGICA DE EDUCACION: CULTURA DE LA FORMACION "CON LA EDUCACION PARA TODOS Y TODAS SALVAMOS JUNTOS A CARTAGENA"</v>
      </c>
      <c r="I427" s="2" t="str">
        <f>+VLOOKUP(F427,Hoja2!$F:$I,4,FALSE)</f>
        <v>8.2.10 FORTALECIMIENTO DE LA OFERTA DE EDUCACIÓN SUPERIOR OFICIAL DEL DISTRITO DE CARTAGENA D. T. Y C.</v>
      </c>
      <c r="J427" t="s">
        <v>1011</v>
      </c>
      <c r="K427" t="str">
        <f>"001"</f>
        <v>001</v>
      </c>
      <c r="L427" t="s">
        <v>25</v>
      </c>
      <c r="M427" t="s">
        <v>26</v>
      </c>
      <c r="N427" t="s">
        <v>27</v>
      </c>
      <c r="O427" t="s">
        <v>1012</v>
      </c>
      <c r="P427" t="str">
        <f t="shared" si="58"/>
        <v>2021130010151 AMPLIACION DE LA OFERTA ACADEMICA DE LA INSTITUCION UNIVERSITARIA MAYOR DE CARTAGENA, UMAYOR,CON CALIDAD Y PERTINENCIA EN CARTAGENA DE INDIAS -EG+-0 CARTAGENA DE INDIAS</v>
      </c>
      <c r="Q427" t="str">
        <f t="shared" si="55"/>
        <v>06</v>
      </c>
      <c r="R427" t="str">
        <f t="shared" si="56"/>
        <v>00</v>
      </c>
      <c r="S427" s="1">
        <v>1200000000</v>
      </c>
      <c r="T427" s="1">
        <v>0</v>
      </c>
      <c r="U427" s="1">
        <v>1200000000</v>
      </c>
      <c r="V427" s="1">
        <v>1200000000</v>
      </c>
      <c r="W427" s="1">
        <v>0</v>
      </c>
      <c r="X427" s="1">
        <v>1200000000</v>
      </c>
      <c r="Y427" s="1">
        <v>100</v>
      </c>
      <c r="Z427" s="1">
        <v>1200000000</v>
      </c>
      <c r="AA427" s="1">
        <v>100</v>
      </c>
      <c r="AB427" s="1">
        <v>0</v>
      </c>
      <c r="AC427" s="1">
        <v>1200000000</v>
      </c>
    </row>
    <row r="428" spans="1:29" x14ac:dyDescent="0.3">
      <c r="A428">
        <v>2022</v>
      </c>
      <c r="B428">
        <v>100</v>
      </c>
      <c r="C428" t="str">
        <f>"25"</f>
        <v>25</v>
      </c>
      <c r="D428" t="s">
        <v>1007</v>
      </c>
      <c r="E428" t="str">
        <f t="shared" si="57"/>
        <v>25 COLEGIO MAYOR DE BOLIVAR</v>
      </c>
      <c r="F428" s="2">
        <v>2021130010152</v>
      </c>
      <c r="G428" s="2" t="str">
        <f>+VLOOKUP(F428,Hoja2!$F:$I,2,FALSE)</f>
        <v>08. PILAR CARTAGENA INCLUYENTE</v>
      </c>
      <c r="H428" s="2" t="str">
        <f>+VLOOKUP(F428,Hoja2!$F:$I,3,FALSE)</f>
        <v>8.2 LÍNEA ESTRATEGICA DE EDUCACION: CULTURA DE LA FORMACION "CON LA EDUCACION PARA TODOS Y TODAS SALVAMOS JUNTOS A CARTAGENA"</v>
      </c>
      <c r="I428" s="2" t="str">
        <f>+VLOOKUP(F428,Hoja2!$F:$I,4,FALSE)</f>
        <v>8.2.10 FORTALECIMIENTO DE LA OFERTA DE EDUCACIÓN SUPERIOR OFICIAL DEL DISTRITO DE CARTAGENA D. T. Y C.</v>
      </c>
      <c r="J428" t="s">
        <v>1008</v>
      </c>
      <c r="K428" t="str">
        <f>"103"</f>
        <v>103</v>
      </c>
      <c r="L428" t="s">
        <v>1009</v>
      </c>
      <c r="M428" t="s">
        <v>26</v>
      </c>
      <c r="N428" t="s">
        <v>27</v>
      </c>
      <c r="O428" t="s">
        <v>1010</v>
      </c>
      <c r="P428" t="str">
        <f t="shared" si="58"/>
        <v>2021130010152 FORTALECIMIENTO DE LA INSTITUCION UNIVERSITARIA MAYOR DE CARTAGENA CARTAGENA DE INDIAS</v>
      </c>
      <c r="Q428" t="str">
        <f t="shared" si="55"/>
        <v>06</v>
      </c>
      <c r="R428" t="str">
        <f t="shared" si="56"/>
        <v>00</v>
      </c>
      <c r="S428" s="1">
        <v>100000000</v>
      </c>
      <c r="T428" s="1">
        <v>0</v>
      </c>
      <c r="U428" s="1">
        <v>100000000</v>
      </c>
      <c r="V428" s="1">
        <v>0</v>
      </c>
      <c r="W428" s="1">
        <v>100000000</v>
      </c>
      <c r="X428" s="1">
        <v>0</v>
      </c>
      <c r="Y428" s="1">
        <v>0</v>
      </c>
      <c r="Z428" s="1">
        <v>0</v>
      </c>
      <c r="AA428" s="1">
        <v>0</v>
      </c>
      <c r="AB428" s="1">
        <v>100000000</v>
      </c>
      <c r="AC428" s="1">
        <v>0</v>
      </c>
    </row>
    <row r="429" spans="1:29" x14ac:dyDescent="0.3">
      <c r="A429">
        <v>2022</v>
      </c>
      <c r="B429">
        <v>100</v>
      </c>
      <c r="C429" t="str">
        <f>"25"</f>
        <v>25</v>
      </c>
      <c r="D429" t="s">
        <v>1007</v>
      </c>
      <c r="E429" t="str">
        <f t="shared" si="57"/>
        <v>25 COLEGIO MAYOR DE BOLIVAR</v>
      </c>
      <c r="F429" s="2">
        <v>2021130010152</v>
      </c>
      <c r="G429" s="2" t="str">
        <f>+VLOOKUP(F429,Hoja2!$F:$I,2,FALSE)</f>
        <v>08. PILAR CARTAGENA INCLUYENTE</v>
      </c>
      <c r="H429" s="2" t="str">
        <f>+VLOOKUP(F429,Hoja2!$F:$I,3,FALSE)</f>
        <v>8.2 LÍNEA ESTRATEGICA DE EDUCACION: CULTURA DE LA FORMACION "CON LA EDUCACION PARA TODOS Y TODAS SALVAMOS JUNTOS A CARTAGENA"</v>
      </c>
      <c r="I429" s="2" t="str">
        <f>+VLOOKUP(F429,Hoja2!$F:$I,4,FALSE)</f>
        <v>8.2.10 FORTALECIMIENTO DE LA OFERTA DE EDUCACIÓN SUPERIOR OFICIAL DEL DISTRITO DE CARTAGENA D. T. Y C.</v>
      </c>
      <c r="J429" t="s">
        <v>1008</v>
      </c>
      <c r="K429" t="str">
        <f>"001"</f>
        <v>001</v>
      </c>
      <c r="L429" t="s">
        <v>25</v>
      </c>
      <c r="M429" t="s">
        <v>26</v>
      </c>
      <c r="N429" t="s">
        <v>27</v>
      </c>
      <c r="O429" t="s">
        <v>1010</v>
      </c>
      <c r="P429" t="str">
        <f t="shared" si="58"/>
        <v>2021130010152 FORTALECIMIENTO DE LA INSTITUCION UNIVERSITARIA MAYOR DE CARTAGENA CARTAGENA DE INDIAS</v>
      </c>
      <c r="Q429" t="str">
        <f t="shared" si="55"/>
        <v>06</v>
      </c>
      <c r="R429" t="str">
        <f t="shared" si="56"/>
        <v>00</v>
      </c>
      <c r="S429" s="1">
        <v>2800000000</v>
      </c>
      <c r="T429" s="1">
        <v>0</v>
      </c>
      <c r="U429" s="1">
        <v>2800000000</v>
      </c>
      <c r="V429" s="1">
        <v>2800000000</v>
      </c>
      <c r="W429" s="1">
        <v>0</v>
      </c>
      <c r="X429" s="1">
        <v>2800000000</v>
      </c>
      <c r="Y429" s="1">
        <v>100</v>
      </c>
      <c r="Z429" s="1">
        <v>2800000000</v>
      </c>
      <c r="AA429" s="1">
        <v>100</v>
      </c>
      <c r="AB429" s="1">
        <v>0</v>
      </c>
      <c r="AC429" s="1">
        <v>2800000000</v>
      </c>
    </row>
    <row r="430" spans="1:29" x14ac:dyDescent="0.3">
      <c r="A430">
        <v>2022</v>
      </c>
      <c r="B430">
        <v>100</v>
      </c>
      <c r="C430" t="str">
        <f t="shared" ref="C430:C444" si="61">"10"</f>
        <v>10</v>
      </c>
      <c r="D430" t="s">
        <v>601</v>
      </c>
      <c r="E430" t="str">
        <f t="shared" si="57"/>
        <v>10 DEPARTAMENTO ADMINISTRATIVO DE SALUD</v>
      </c>
      <c r="F430" s="2">
        <v>2021130010153</v>
      </c>
      <c r="G430" s="2" t="str">
        <f>+VLOOKUP(F430,Hoja2!$F:$I,2,FALSE)</f>
        <v>08. PILAR CARTAGENA INCLUYENTE</v>
      </c>
      <c r="H430" s="2" t="str">
        <f>+VLOOKUP(F430,Hoja2!$F:$I,3,FALSE)</f>
        <v>8.3 LÍNEA ESTRATÉGICA SALUD PARA TODOS</v>
      </c>
      <c r="I430" s="2" t="str">
        <f>+VLOOKUP(F430,Hoja2!$F:$I,4,FALSE)</f>
        <v>8.3.1 PROGRAMA: FORTALECIMIENTO DE LA AUTORIDAD SANITARIA</v>
      </c>
      <c r="J430" t="s">
        <v>614</v>
      </c>
      <c r="K430" t="str">
        <f>"001"</f>
        <v>001</v>
      </c>
      <c r="L430" t="s">
        <v>25</v>
      </c>
      <c r="M430" t="s">
        <v>26</v>
      </c>
      <c r="N430" t="s">
        <v>27</v>
      </c>
      <c r="O430" t="s">
        <v>615</v>
      </c>
      <c r="P430" t="str">
        <f t="shared" si="58"/>
        <v>2021130010153 FORTALECIMIENTO DE LA CALIDAD DE LA ATENCION EN SALUD  PARA LA POBLACION POBRE NO ASEGURADA RESIDENTE  EN EL DISTRITO    CARTAGENA DE INDIAS</v>
      </c>
      <c r="Q430" t="str">
        <f t="shared" si="55"/>
        <v>06</v>
      </c>
      <c r="R430" t="str">
        <f t="shared" si="56"/>
        <v>00</v>
      </c>
      <c r="S430" s="1">
        <v>4540881984</v>
      </c>
      <c r="T430" s="1">
        <v>0</v>
      </c>
      <c r="U430" s="1">
        <v>4540881984</v>
      </c>
      <c r="V430" s="1">
        <v>4540881984</v>
      </c>
      <c r="W430" s="1">
        <v>0</v>
      </c>
      <c r="X430" s="1">
        <v>4540881984</v>
      </c>
      <c r="Y430" s="1">
        <v>100</v>
      </c>
      <c r="Z430" s="1">
        <v>2140881984</v>
      </c>
      <c r="AA430" s="1">
        <v>47.15</v>
      </c>
      <c r="AB430" s="1">
        <v>0</v>
      </c>
      <c r="AC430" s="1">
        <v>1640881984</v>
      </c>
    </row>
    <row r="431" spans="1:29" x14ac:dyDescent="0.3">
      <c r="A431">
        <v>2022</v>
      </c>
      <c r="B431">
        <v>100</v>
      </c>
      <c r="C431" t="str">
        <f t="shared" si="61"/>
        <v>10</v>
      </c>
      <c r="D431" t="s">
        <v>601</v>
      </c>
      <c r="E431" t="str">
        <f t="shared" si="57"/>
        <v>10 DEPARTAMENTO ADMINISTRATIVO DE SALUD</v>
      </c>
      <c r="F431" s="2">
        <v>2021130010153</v>
      </c>
      <c r="G431" s="2" t="str">
        <f>+VLOOKUP(F431,Hoja2!$F:$I,2,FALSE)</f>
        <v>08. PILAR CARTAGENA INCLUYENTE</v>
      </c>
      <c r="H431" s="2" t="str">
        <f>+VLOOKUP(F431,Hoja2!$F:$I,3,FALSE)</f>
        <v>8.3 LÍNEA ESTRATÉGICA SALUD PARA TODOS</v>
      </c>
      <c r="I431" s="2" t="str">
        <f>+VLOOKUP(F431,Hoja2!$F:$I,4,FALSE)</f>
        <v>8.3.1 PROGRAMA: FORTALECIMIENTO DE LA AUTORIDAD SANITARIA</v>
      </c>
      <c r="J431" t="s">
        <v>614</v>
      </c>
      <c r="K431" t="str">
        <f>"016"</f>
        <v>016</v>
      </c>
      <c r="L431" t="s">
        <v>619</v>
      </c>
      <c r="M431" t="s">
        <v>26</v>
      </c>
      <c r="N431" t="s">
        <v>27</v>
      </c>
      <c r="O431" t="s">
        <v>620</v>
      </c>
      <c r="P431" t="str">
        <f t="shared" si="58"/>
        <v>2021130010153 FORTALECIMIENTO DE LA CALIDAD DE LA ATENCION EN SALUD  PARA LA POBLACION POBRE NO ASEGURADA RESIDENTE EN EL DISTRITO DE CARTAGENA DE INDIAS</v>
      </c>
      <c r="Q431" t="str">
        <f t="shared" si="55"/>
        <v>06</v>
      </c>
      <c r="R431" t="str">
        <f t="shared" si="56"/>
        <v>00</v>
      </c>
      <c r="S431" s="1">
        <v>0</v>
      </c>
      <c r="T431" s="1">
        <v>26567799490</v>
      </c>
      <c r="U431" s="1">
        <v>26567799490</v>
      </c>
      <c r="V431" s="1">
        <v>26567799490</v>
      </c>
      <c r="W431" s="1">
        <v>0</v>
      </c>
      <c r="X431" s="1">
        <v>26567799490</v>
      </c>
      <c r="Y431" s="1">
        <v>100</v>
      </c>
      <c r="Z431" s="1">
        <v>26567799490</v>
      </c>
      <c r="AA431" s="1">
        <v>100</v>
      </c>
      <c r="AB431" s="1">
        <v>0</v>
      </c>
      <c r="AC431" s="1">
        <v>26061524122</v>
      </c>
    </row>
    <row r="432" spans="1:29" x14ac:dyDescent="0.3">
      <c r="A432">
        <v>2022</v>
      </c>
      <c r="B432">
        <v>100</v>
      </c>
      <c r="C432" t="str">
        <f t="shared" si="61"/>
        <v>10</v>
      </c>
      <c r="D432" t="s">
        <v>601</v>
      </c>
      <c r="E432" t="str">
        <f t="shared" si="57"/>
        <v>10 DEPARTAMENTO ADMINISTRATIVO DE SALUD</v>
      </c>
      <c r="F432" s="2">
        <v>2021130010153</v>
      </c>
      <c r="G432" s="2" t="str">
        <f>+VLOOKUP(F432,Hoja2!$F:$I,2,FALSE)</f>
        <v>08. PILAR CARTAGENA INCLUYENTE</v>
      </c>
      <c r="H432" s="2" t="str">
        <f>+VLOOKUP(F432,Hoja2!$F:$I,3,FALSE)</f>
        <v>8.3 LÍNEA ESTRATÉGICA SALUD PARA TODOS</v>
      </c>
      <c r="I432" s="2" t="str">
        <f>+VLOOKUP(F432,Hoja2!$F:$I,4,FALSE)</f>
        <v>8.3.1 PROGRAMA: FORTALECIMIENTO DE LA AUTORIDAD SANITARIA</v>
      </c>
      <c r="J432" t="s">
        <v>614</v>
      </c>
      <c r="K432" t="str">
        <f>"017"</f>
        <v>017</v>
      </c>
      <c r="L432" t="s">
        <v>627</v>
      </c>
      <c r="M432" t="s">
        <v>26</v>
      </c>
      <c r="N432" t="s">
        <v>27</v>
      </c>
      <c r="O432" t="s">
        <v>615</v>
      </c>
      <c r="P432" t="str">
        <f t="shared" si="58"/>
        <v>2021130010153 FORTALECIMIENTO DE LA CALIDAD DE LA ATENCION EN SALUD  PARA LA POBLACION POBRE NO ASEGURADA RESIDENTE  EN EL DISTRITO    CARTAGENA DE INDIAS</v>
      </c>
      <c r="Q432" t="str">
        <f t="shared" si="55"/>
        <v>06</v>
      </c>
      <c r="R432" t="str">
        <f t="shared" si="56"/>
        <v>00</v>
      </c>
      <c r="S432" s="1">
        <v>50000000</v>
      </c>
      <c r="T432" s="1">
        <v>0</v>
      </c>
      <c r="U432" s="1">
        <v>50000000</v>
      </c>
      <c r="V432" s="1">
        <v>0</v>
      </c>
      <c r="W432" s="1">
        <v>50000000</v>
      </c>
      <c r="X432" s="1">
        <v>0</v>
      </c>
      <c r="Y432" s="1">
        <v>0</v>
      </c>
      <c r="Z432" s="1">
        <v>0</v>
      </c>
      <c r="AA432" s="1">
        <v>0</v>
      </c>
      <c r="AB432" s="1">
        <v>50000000</v>
      </c>
      <c r="AC432" s="1">
        <v>0</v>
      </c>
    </row>
    <row r="433" spans="1:29" x14ac:dyDescent="0.3">
      <c r="A433">
        <v>2022</v>
      </c>
      <c r="B433">
        <v>100</v>
      </c>
      <c r="C433" t="str">
        <f t="shared" si="61"/>
        <v>10</v>
      </c>
      <c r="D433" t="s">
        <v>601</v>
      </c>
      <c r="E433" t="str">
        <f t="shared" si="57"/>
        <v>10 DEPARTAMENTO ADMINISTRATIVO DE SALUD</v>
      </c>
      <c r="F433" s="2">
        <v>2021130010153</v>
      </c>
      <c r="G433" s="2" t="str">
        <f>+VLOOKUP(F433,Hoja2!$F:$I,2,FALSE)</f>
        <v>08. PILAR CARTAGENA INCLUYENTE</v>
      </c>
      <c r="H433" s="2" t="str">
        <f>+VLOOKUP(F433,Hoja2!$F:$I,3,FALSE)</f>
        <v>8.3 LÍNEA ESTRATÉGICA SALUD PARA TODOS</v>
      </c>
      <c r="I433" s="2" t="str">
        <f>+VLOOKUP(F433,Hoja2!$F:$I,4,FALSE)</f>
        <v>8.3.1 PROGRAMA: FORTALECIMIENTO DE LA AUTORIDAD SANITARIA</v>
      </c>
      <c r="J433" t="s">
        <v>614</v>
      </c>
      <c r="K433" t="str">
        <f>"179"</f>
        <v>179</v>
      </c>
      <c r="L433" t="s">
        <v>670</v>
      </c>
      <c r="M433" t="s">
        <v>26</v>
      </c>
      <c r="N433" t="s">
        <v>27</v>
      </c>
      <c r="O433" t="s">
        <v>615</v>
      </c>
      <c r="P433" t="str">
        <f t="shared" si="58"/>
        <v>2021130010153 FORTALECIMIENTO DE LA CALIDAD DE LA ATENCION EN SALUD  PARA LA POBLACION POBRE NO ASEGURADA RESIDENTE  EN EL DISTRITO    CARTAGENA DE INDIAS</v>
      </c>
      <c r="Q433" t="str">
        <f t="shared" si="55"/>
        <v>06</v>
      </c>
      <c r="R433" t="str">
        <f t="shared" si="56"/>
        <v>00</v>
      </c>
      <c r="S433" s="1">
        <v>150000000</v>
      </c>
      <c r="T433" s="1">
        <v>-139000000</v>
      </c>
      <c r="U433" s="1">
        <v>11000000</v>
      </c>
      <c r="V433" s="1">
        <v>0</v>
      </c>
      <c r="W433" s="1">
        <v>11000000</v>
      </c>
      <c r="X433" s="1">
        <v>0</v>
      </c>
      <c r="Y433" s="1">
        <v>0</v>
      </c>
      <c r="Z433" s="1">
        <v>0</v>
      </c>
      <c r="AA433" s="1">
        <v>0</v>
      </c>
      <c r="AB433" s="1">
        <v>11000000</v>
      </c>
      <c r="AC433" s="1">
        <v>0</v>
      </c>
    </row>
    <row r="434" spans="1:29" x14ac:dyDescent="0.3">
      <c r="A434">
        <v>2022</v>
      </c>
      <c r="B434">
        <v>100</v>
      </c>
      <c r="C434" t="str">
        <f t="shared" si="61"/>
        <v>10</v>
      </c>
      <c r="D434" t="s">
        <v>601</v>
      </c>
      <c r="E434" t="str">
        <f t="shared" si="57"/>
        <v>10 DEPARTAMENTO ADMINISTRATIVO DE SALUD</v>
      </c>
      <c r="F434" s="2">
        <v>2021130010153</v>
      </c>
      <c r="G434" s="2" t="str">
        <f>+VLOOKUP(F434,Hoja2!$F:$I,2,FALSE)</f>
        <v>08. PILAR CARTAGENA INCLUYENTE</v>
      </c>
      <c r="H434" s="2" t="str">
        <f>+VLOOKUP(F434,Hoja2!$F:$I,3,FALSE)</f>
        <v>8.3 LÍNEA ESTRATÉGICA SALUD PARA TODOS</v>
      </c>
      <c r="I434" s="2" t="str">
        <f>+VLOOKUP(F434,Hoja2!$F:$I,4,FALSE)</f>
        <v>8.3.1 PROGRAMA: FORTALECIMIENTO DE LA AUTORIDAD SANITARIA</v>
      </c>
      <c r="J434" t="s">
        <v>614</v>
      </c>
      <c r="K434" t="str">
        <f>"889"</f>
        <v>889</v>
      </c>
      <c r="L434" t="s">
        <v>672</v>
      </c>
      <c r="M434" t="s">
        <v>26</v>
      </c>
      <c r="N434" t="s">
        <v>27</v>
      </c>
      <c r="O434" t="s">
        <v>674</v>
      </c>
      <c r="P434" t="str">
        <f t="shared" si="58"/>
        <v>2021130010153 FORTALECIMIENTO DE LA CALIDAD DE LA ATENCION EN SALUD PARA LA POBLACION POBRE NO ASEGURADA RESIDENTE EN EL DISTRITO CARTAGENA DE INDIAS</v>
      </c>
      <c r="Q434" t="str">
        <f t="shared" si="55"/>
        <v>06</v>
      </c>
      <c r="R434" t="str">
        <f t="shared" si="56"/>
        <v>00</v>
      </c>
      <c r="S434" s="1">
        <v>0</v>
      </c>
      <c r="T434" s="1">
        <v>19106973</v>
      </c>
      <c r="U434" s="1">
        <v>19106973</v>
      </c>
      <c r="V434" s="1">
        <v>0</v>
      </c>
      <c r="W434" s="1">
        <v>19106973</v>
      </c>
      <c r="X434" s="1">
        <v>0</v>
      </c>
      <c r="Y434" s="1">
        <v>0</v>
      </c>
      <c r="Z434" s="1">
        <v>0</v>
      </c>
      <c r="AA434" s="1">
        <v>0</v>
      </c>
      <c r="AB434" s="1">
        <v>19106973</v>
      </c>
      <c r="AC434" s="1">
        <v>0</v>
      </c>
    </row>
    <row r="435" spans="1:29" x14ac:dyDescent="0.3">
      <c r="A435">
        <v>2022</v>
      </c>
      <c r="B435">
        <v>100</v>
      </c>
      <c r="C435" t="str">
        <f t="shared" si="61"/>
        <v>10</v>
      </c>
      <c r="D435" t="s">
        <v>601</v>
      </c>
      <c r="E435" t="str">
        <f t="shared" si="57"/>
        <v>10 DEPARTAMENTO ADMINISTRATIVO DE SALUD</v>
      </c>
      <c r="F435" s="2">
        <v>2021130010153</v>
      </c>
      <c r="G435" s="2" t="str">
        <f>+VLOOKUP(F435,Hoja2!$F:$I,2,FALSE)</f>
        <v>08. PILAR CARTAGENA INCLUYENTE</v>
      </c>
      <c r="H435" s="2" t="str">
        <f>+VLOOKUP(F435,Hoja2!$F:$I,3,FALSE)</f>
        <v>8.3 LÍNEA ESTRATÉGICA SALUD PARA TODOS</v>
      </c>
      <c r="I435" s="2" t="str">
        <f>+VLOOKUP(F435,Hoja2!$F:$I,4,FALSE)</f>
        <v>8.3.1 PROGRAMA: FORTALECIMIENTO DE LA AUTORIDAD SANITARIA</v>
      </c>
      <c r="J435" t="s">
        <v>614</v>
      </c>
      <c r="K435" t="str">
        <f>"890"</f>
        <v>890</v>
      </c>
      <c r="L435" t="s">
        <v>675</v>
      </c>
      <c r="M435" t="s">
        <v>26</v>
      </c>
      <c r="N435" t="s">
        <v>27</v>
      </c>
      <c r="O435" t="s">
        <v>674</v>
      </c>
      <c r="P435" t="str">
        <f t="shared" si="58"/>
        <v>2021130010153 FORTALECIMIENTO DE LA CALIDAD DE LA ATENCION EN SALUD PARA LA POBLACION POBRE NO ASEGURADA RESIDENTE EN EL DISTRITO CARTAGENA DE INDIAS</v>
      </c>
      <c r="Q435" t="str">
        <f t="shared" si="55"/>
        <v>06</v>
      </c>
      <c r="R435" t="str">
        <f t="shared" si="56"/>
        <v>00</v>
      </c>
      <c r="S435" s="1">
        <v>0</v>
      </c>
      <c r="T435" s="1">
        <v>1516506000</v>
      </c>
      <c r="U435" s="1">
        <v>1516506000</v>
      </c>
      <c r="V435" s="1">
        <v>1516506000</v>
      </c>
      <c r="W435" s="1">
        <v>0</v>
      </c>
      <c r="X435" s="1">
        <v>285706696</v>
      </c>
      <c r="Y435" s="1">
        <v>18.84</v>
      </c>
      <c r="Z435" s="1">
        <v>285706696</v>
      </c>
      <c r="AA435" s="1">
        <v>18.84</v>
      </c>
      <c r="AB435" s="1">
        <v>1230799304</v>
      </c>
      <c r="AC435" s="1">
        <v>0</v>
      </c>
    </row>
    <row r="436" spans="1:29" x14ac:dyDescent="0.3">
      <c r="A436">
        <v>2022</v>
      </c>
      <c r="B436">
        <v>100</v>
      </c>
      <c r="C436" t="str">
        <f t="shared" si="61"/>
        <v>10</v>
      </c>
      <c r="D436" t="s">
        <v>601</v>
      </c>
      <c r="E436" t="str">
        <f t="shared" si="57"/>
        <v>10 DEPARTAMENTO ADMINISTRATIVO DE SALUD</v>
      </c>
      <c r="F436" s="2">
        <v>2021130010153</v>
      </c>
      <c r="G436" s="2" t="str">
        <f>+VLOOKUP(F436,Hoja2!$F:$I,2,FALSE)</f>
        <v>08. PILAR CARTAGENA INCLUYENTE</v>
      </c>
      <c r="H436" s="2" t="str">
        <f>+VLOOKUP(F436,Hoja2!$F:$I,3,FALSE)</f>
        <v>8.3 LÍNEA ESTRATÉGICA SALUD PARA TODOS</v>
      </c>
      <c r="I436" s="2" t="str">
        <f>+VLOOKUP(F436,Hoja2!$F:$I,4,FALSE)</f>
        <v>8.3.1 PROGRAMA: FORTALECIMIENTO DE LA AUTORIDAD SANITARIA</v>
      </c>
      <c r="J436" t="s">
        <v>614</v>
      </c>
      <c r="K436" t="str">
        <f>"891"</f>
        <v>891</v>
      </c>
      <c r="L436" t="s">
        <v>677</v>
      </c>
      <c r="M436" t="s">
        <v>26</v>
      </c>
      <c r="N436" t="s">
        <v>27</v>
      </c>
      <c r="O436" t="s">
        <v>674</v>
      </c>
      <c r="P436" t="str">
        <f t="shared" si="58"/>
        <v>2021130010153 FORTALECIMIENTO DE LA CALIDAD DE LA ATENCION EN SALUD PARA LA POBLACION POBRE NO ASEGURADA RESIDENTE EN EL DISTRITO CARTAGENA DE INDIAS</v>
      </c>
      <c r="Q436" t="str">
        <f t="shared" si="55"/>
        <v>06</v>
      </c>
      <c r="R436" t="str">
        <f t="shared" si="56"/>
        <v>00</v>
      </c>
      <c r="S436" s="1">
        <v>0</v>
      </c>
      <c r="T436" s="1">
        <v>447744069</v>
      </c>
      <c r="U436" s="1">
        <v>447744069</v>
      </c>
      <c r="V436" s="1">
        <v>427295785</v>
      </c>
      <c r="W436" s="1">
        <v>20448284</v>
      </c>
      <c r="X436" s="1">
        <v>384014115</v>
      </c>
      <c r="Y436" s="1">
        <v>85.77</v>
      </c>
      <c r="Z436" s="1">
        <v>384014115</v>
      </c>
      <c r="AA436" s="1">
        <v>85.77</v>
      </c>
      <c r="AB436" s="1">
        <v>63729954</v>
      </c>
      <c r="AC436" s="1">
        <v>384014115</v>
      </c>
    </row>
    <row r="437" spans="1:29" x14ac:dyDescent="0.3">
      <c r="A437">
        <v>2022</v>
      </c>
      <c r="B437">
        <v>100</v>
      </c>
      <c r="C437" t="str">
        <f t="shared" si="61"/>
        <v>10</v>
      </c>
      <c r="D437" t="s">
        <v>601</v>
      </c>
      <c r="E437" t="str">
        <f t="shared" si="57"/>
        <v>10 DEPARTAMENTO ADMINISTRATIVO DE SALUD</v>
      </c>
      <c r="F437" s="2">
        <v>2021130010153</v>
      </c>
      <c r="G437" s="2" t="str">
        <f>+VLOOKUP(F437,Hoja2!$F:$I,2,FALSE)</f>
        <v>08. PILAR CARTAGENA INCLUYENTE</v>
      </c>
      <c r="H437" s="2" t="str">
        <f>+VLOOKUP(F437,Hoja2!$F:$I,3,FALSE)</f>
        <v>8.3 LÍNEA ESTRATÉGICA SALUD PARA TODOS</v>
      </c>
      <c r="I437" s="2" t="str">
        <f>+VLOOKUP(F437,Hoja2!$F:$I,4,FALSE)</f>
        <v>8.3.1 PROGRAMA: FORTALECIMIENTO DE LA AUTORIDAD SANITARIA</v>
      </c>
      <c r="J437" t="s">
        <v>614</v>
      </c>
      <c r="K437" t="str">
        <f>"892"</f>
        <v>892</v>
      </c>
      <c r="L437" t="s">
        <v>678</v>
      </c>
      <c r="M437" t="s">
        <v>26</v>
      </c>
      <c r="N437" t="s">
        <v>27</v>
      </c>
      <c r="O437" t="s">
        <v>674</v>
      </c>
      <c r="P437" t="str">
        <f t="shared" si="58"/>
        <v>2021130010153 FORTALECIMIENTO DE LA CALIDAD DE LA ATENCION EN SALUD PARA LA POBLACION POBRE NO ASEGURADA RESIDENTE EN EL DISTRITO CARTAGENA DE INDIAS</v>
      </c>
      <c r="Q437" t="str">
        <f t="shared" si="55"/>
        <v>06</v>
      </c>
      <c r="R437" t="str">
        <f t="shared" si="56"/>
        <v>00</v>
      </c>
      <c r="S437" s="1">
        <v>0</v>
      </c>
      <c r="T437" s="1">
        <v>28892658</v>
      </c>
      <c r="U437" s="1">
        <v>28892658</v>
      </c>
      <c r="V437" s="1">
        <v>0</v>
      </c>
      <c r="W437" s="1">
        <v>28892658</v>
      </c>
      <c r="X437" s="1">
        <v>0</v>
      </c>
      <c r="Y437" s="1">
        <v>0</v>
      </c>
      <c r="Z437" s="1">
        <v>0</v>
      </c>
      <c r="AA437" s="1">
        <v>0</v>
      </c>
      <c r="AB437" s="1">
        <v>28892658</v>
      </c>
      <c r="AC437" s="1">
        <v>0</v>
      </c>
    </row>
    <row r="438" spans="1:29" x14ac:dyDescent="0.3">
      <c r="A438">
        <v>2022</v>
      </c>
      <c r="B438">
        <v>100</v>
      </c>
      <c r="C438" t="str">
        <f t="shared" si="61"/>
        <v>10</v>
      </c>
      <c r="D438" t="s">
        <v>601</v>
      </c>
      <c r="E438" t="str">
        <f t="shared" si="57"/>
        <v>10 DEPARTAMENTO ADMINISTRATIVO DE SALUD</v>
      </c>
      <c r="F438" s="2">
        <v>2021130010153</v>
      </c>
      <c r="G438" s="2" t="str">
        <f>+VLOOKUP(F438,Hoja2!$F:$I,2,FALSE)</f>
        <v>08. PILAR CARTAGENA INCLUYENTE</v>
      </c>
      <c r="H438" s="2" t="str">
        <f>+VLOOKUP(F438,Hoja2!$F:$I,3,FALSE)</f>
        <v>8.3 LÍNEA ESTRATÉGICA SALUD PARA TODOS</v>
      </c>
      <c r="I438" s="2" t="str">
        <f>+VLOOKUP(F438,Hoja2!$F:$I,4,FALSE)</f>
        <v>8.3.1 PROGRAMA: FORTALECIMIENTO DE LA AUTORIDAD SANITARIA</v>
      </c>
      <c r="J438" t="s">
        <v>614</v>
      </c>
      <c r="K438" t="str">
        <f>"895"</f>
        <v>895</v>
      </c>
      <c r="L438" t="s">
        <v>681</v>
      </c>
      <c r="M438" t="s">
        <v>26</v>
      </c>
      <c r="N438" t="s">
        <v>27</v>
      </c>
      <c r="O438" t="s">
        <v>674</v>
      </c>
      <c r="P438" t="str">
        <f t="shared" si="58"/>
        <v>2021130010153 FORTALECIMIENTO DE LA CALIDAD DE LA ATENCION EN SALUD PARA LA POBLACION POBRE NO ASEGURADA RESIDENTE EN EL DISTRITO CARTAGENA DE INDIAS</v>
      </c>
      <c r="Q438" t="str">
        <f t="shared" si="55"/>
        <v>06</v>
      </c>
      <c r="R438" t="str">
        <f t="shared" si="56"/>
        <v>00</v>
      </c>
      <c r="S438" s="1">
        <v>0</v>
      </c>
      <c r="T438" s="1">
        <v>451513624</v>
      </c>
      <c r="U438" s="1">
        <v>451513624</v>
      </c>
      <c r="V438" s="1">
        <v>451513624</v>
      </c>
      <c r="W438" s="1">
        <v>0</v>
      </c>
      <c r="X438" s="1">
        <v>451513624</v>
      </c>
      <c r="Y438" s="1">
        <v>100</v>
      </c>
      <c r="Z438" s="1">
        <v>451513624</v>
      </c>
      <c r="AA438" s="1">
        <v>100</v>
      </c>
      <c r="AB438" s="1">
        <v>0</v>
      </c>
      <c r="AC438" s="1">
        <v>451513624</v>
      </c>
    </row>
    <row r="439" spans="1:29" x14ac:dyDescent="0.3">
      <c r="A439">
        <v>2022</v>
      </c>
      <c r="B439">
        <v>100</v>
      </c>
      <c r="C439" t="str">
        <f t="shared" si="61"/>
        <v>10</v>
      </c>
      <c r="D439" t="s">
        <v>601</v>
      </c>
      <c r="E439" t="str">
        <f t="shared" si="57"/>
        <v>10 DEPARTAMENTO ADMINISTRATIVO DE SALUD</v>
      </c>
      <c r="F439" s="2">
        <v>2021130010153</v>
      </c>
      <c r="G439" s="2" t="str">
        <f>+VLOOKUP(F439,Hoja2!$F:$I,2,FALSE)</f>
        <v>08. PILAR CARTAGENA INCLUYENTE</v>
      </c>
      <c r="H439" s="2" t="str">
        <f>+VLOOKUP(F439,Hoja2!$F:$I,3,FALSE)</f>
        <v>8.3 LÍNEA ESTRATÉGICA SALUD PARA TODOS</v>
      </c>
      <c r="I439" s="2" t="str">
        <f>+VLOOKUP(F439,Hoja2!$F:$I,4,FALSE)</f>
        <v>8.3.1 PROGRAMA: FORTALECIMIENTO DE LA AUTORIDAD SANITARIA</v>
      </c>
      <c r="J439" t="s">
        <v>614</v>
      </c>
      <c r="K439" t="str">
        <f>"898"</f>
        <v>898</v>
      </c>
      <c r="L439" t="s">
        <v>683</v>
      </c>
      <c r="M439" t="s">
        <v>26</v>
      </c>
      <c r="N439" t="s">
        <v>27</v>
      </c>
      <c r="O439" t="s">
        <v>615</v>
      </c>
      <c r="P439" t="str">
        <f t="shared" si="58"/>
        <v>2021130010153 FORTALECIMIENTO DE LA CALIDAD DE LA ATENCION EN SALUD  PARA LA POBLACION POBRE NO ASEGURADA RESIDENTE  EN EL DISTRITO    CARTAGENA DE INDIAS</v>
      </c>
      <c r="Q439" t="str">
        <f t="shared" si="55"/>
        <v>06</v>
      </c>
      <c r="R439" t="str">
        <f t="shared" si="56"/>
        <v>00</v>
      </c>
      <c r="S439" s="1">
        <v>0</v>
      </c>
      <c r="T439" s="1">
        <v>331798337</v>
      </c>
      <c r="U439" s="1">
        <v>331798337</v>
      </c>
      <c r="V439" s="1">
        <v>331798337</v>
      </c>
      <c r="W439" s="1">
        <v>0</v>
      </c>
      <c r="X439" s="1">
        <v>331798337</v>
      </c>
      <c r="Y439" s="1">
        <v>100</v>
      </c>
      <c r="Z439" s="1">
        <v>331798337</v>
      </c>
      <c r="AA439" s="1">
        <v>100</v>
      </c>
      <c r="AB439" s="1">
        <v>0</v>
      </c>
      <c r="AC439" s="1">
        <v>331798337</v>
      </c>
    </row>
    <row r="440" spans="1:29" x14ac:dyDescent="0.3">
      <c r="A440">
        <v>2022</v>
      </c>
      <c r="B440">
        <v>100</v>
      </c>
      <c r="C440" t="str">
        <f t="shared" si="61"/>
        <v>10</v>
      </c>
      <c r="D440" t="s">
        <v>601</v>
      </c>
      <c r="E440" t="str">
        <f t="shared" si="57"/>
        <v>10 DEPARTAMENTO ADMINISTRATIVO DE SALUD</v>
      </c>
      <c r="F440" s="2">
        <v>2021130010153</v>
      </c>
      <c r="G440" s="2" t="str">
        <f>+VLOOKUP(F440,Hoja2!$F:$I,2,FALSE)</f>
        <v>08. PILAR CARTAGENA INCLUYENTE</v>
      </c>
      <c r="H440" s="2" t="str">
        <f>+VLOOKUP(F440,Hoja2!$F:$I,3,FALSE)</f>
        <v>8.3 LÍNEA ESTRATÉGICA SALUD PARA TODOS</v>
      </c>
      <c r="I440" s="2" t="str">
        <f>+VLOOKUP(F440,Hoja2!$F:$I,4,FALSE)</f>
        <v>8.3.1 PROGRAMA: FORTALECIMIENTO DE LA AUTORIDAD SANITARIA</v>
      </c>
      <c r="J440" t="s">
        <v>614</v>
      </c>
      <c r="K440" t="str">
        <f>"911"</f>
        <v>911</v>
      </c>
      <c r="L440" t="s">
        <v>684</v>
      </c>
      <c r="M440" t="s">
        <v>26</v>
      </c>
      <c r="N440" t="s">
        <v>27</v>
      </c>
      <c r="O440" t="s">
        <v>615</v>
      </c>
      <c r="P440" t="str">
        <f t="shared" si="58"/>
        <v>2021130010153 FORTALECIMIENTO DE LA CALIDAD DE LA ATENCION EN SALUD  PARA LA POBLACION POBRE NO ASEGURADA RESIDENTE  EN EL DISTRITO    CARTAGENA DE INDIAS</v>
      </c>
      <c r="Q440" t="str">
        <f t="shared" si="55"/>
        <v>06</v>
      </c>
      <c r="R440" t="str">
        <f t="shared" si="56"/>
        <v>00</v>
      </c>
      <c r="S440" s="1">
        <v>0</v>
      </c>
      <c r="T440" s="1">
        <v>706574513</v>
      </c>
      <c r="U440" s="1">
        <v>706574513</v>
      </c>
      <c r="V440" s="1">
        <v>706574513</v>
      </c>
      <c r="W440" s="1">
        <v>0</v>
      </c>
      <c r="X440" s="1">
        <v>706574513</v>
      </c>
      <c r="Y440" s="1">
        <v>100</v>
      </c>
      <c r="Z440" s="1">
        <v>706574513</v>
      </c>
      <c r="AA440" s="1">
        <v>100</v>
      </c>
      <c r="AB440" s="1">
        <v>0</v>
      </c>
      <c r="AC440" s="1">
        <v>706574513</v>
      </c>
    </row>
    <row r="441" spans="1:29" x14ac:dyDescent="0.3">
      <c r="A441">
        <v>2022</v>
      </c>
      <c r="B441">
        <v>100</v>
      </c>
      <c r="C441" t="str">
        <f t="shared" si="61"/>
        <v>10</v>
      </c>
      <c r="D441" t="s">
        <v>601</v>
      </c>
      <c r="E441" t="str">
        <f t="shared" si="57"/>
        <v>10 DEPARTAMENTO ADMINISTRATIVO DE SALUD</v>
      </c>
      <c r="F441" s="2">
        <v>2021130010153</v>
      </c>
      <c r="G441" s="2" t="str">
        <f>+VLOOKUP(F441,Hoja2!$F:$I,2,FALSE)</f>
        <v>08. PILAR CARTAGENA INCLUYENTE</v>
      </c>
      <c r="H441" s="2" t="str">
        <f>+VLOOKUP(F441,Hoja2!$F:$I,3,FALSE)</f>
        <v>8.3 LÍNEA ESTRATÉGICA SALUD PARA TODOS</v>
      </c>
      <c r="I441" s="2" t="str">
        <f>+VLOOKUP(F441,Hoja2!$F:$I,4,FALSE)</f>
        <v>8.3.1 PROGRAMA: FORTALECIMIENTO DE LA AUTORIDAD SANITARIA</v>
      </c>
      <c r="J441" t="s">
        <v>614</v>
      </c>
      <c r="K441" t="str">
        <f>"912"</f>
        <v>912</v>
      </c>
      <c r="L441" t="s">
        <v>685</v>
      </c>
      <c r="M441" t="s">
        <v>26</v>
      </c>
      <c r="N441" t="s">
        <v>27</v>
      </c>
      <c r="O441" t="s">
        <v>615</v>
      </c>
      <c r="P441" t="str">
        <f t="shared" si="58"/>
        <v>2021130010153 FORTALECIMIENTO DE LA CALIDAD DE LA ATENCION EN SALUD  PARA LA POBLACION POBRE NO ASEGURADA RESIDENTE  EN EL DISTRITO    CARTAGENA DE INDIAS</v>
      </c>
      <c r="Q441" t="str">
        <f t="shared" si="55"/>
        <v>06</v>
      </c>
      <c r="R441" t="str">
        <f t="shared" si="56"/>
        <v>00</v>
      </c>
      <c r="S441" s="1">
        <v>0</v>
      </c>
      <c r="T441" s="1">
        <v>175648148</v>
      </c>
      <c r="U441" s="1">
        <v>175648148</v>
      </c>
      <c r="V441" s="1">
        <v>75590306</v>
      </c>
      <c r="W441" s="1">
        <v>100057842</v>
      </c>
      <c r="X441" s="1">
        <v>75590306</v>
      </c>
      <c r="Y441" s="1">
        <v>43.04</v>
      </c>
      <c r="Z441" s="1">
        <v>75590306</v>
      </c>
      <c r="AA441" s="1">
        <v>43.04</v>
      </c>
      <c r="AB441" s="1">
        <v>100057842</v>
      </c>
      <c r="AC441" s="1">
        <v>75590306</v>
      </c>
    </row>
    <row r="442" spans="1:29" x14ac:dyDescent="0.3">
      <c r="A442">
        <v>2022</v>
      </c>
      <c r="B442">
        <v>100</v>
      </c>
      <c r="C442" t="str">
        <f t="shared" si="61"/>
        <v>10</v>
      </c>
      <c r="D442" t="s">
        <v>601</v>
      </c>
      <c r="E442" t="str">
        <f t="shared" si="57"/>
        <v>10 DEPARTAMENTO ADMINISTRATIVO DE SALUD</v>
      </c>
      <c r="F442" s="2">
        <v>2021130010153</v>
      </c>
      <c r="G442" s="2" t="str">
        <f>+VLOOKUP(F442,Hoja2!$F:$I,2,FALSE)</f>
        <v>08. PILAR CARTAGENA INCLUYENTE</v>
      </c>
      <c r="H442" s="2" t="str">
        <f>+VLOOKUP(F442,Hoja2!$F:$I,3,FALSE)</f>
        <v>8.3 LÍNEA ESTRATÉGICA SALUD PARA TODOS</v>
      </c>
      <c r="I442" s="2" t="str">
        <f>+VLOOKUP(F442,Hoja2!$F:$I,4,FALSE)</f>
        <v>8.3.1 PROGRAMA: FORTALECIMIENTO DE LA AUTORIDAD SANITARIA</v>
      </c>
      <c r="J442" t="s">
        <v>614</v>
      </c>
      <c r="K442" t="str">
        <f>"913"</f>
        <v>913</v>
      </c>
      <c r="L442" t="s">
        <v>686</v>
      </c>
      <c r="M442" t="s">
        <v>26</v>
      </c>
      <c r="N442" t="s">
        <v>27</v>
      </c>
      <c r="O442" t="s">
        <v>615</v>
      </c>
      <c r="P442" t="str">
        <f t="shared" si="58"/>
        <v>2021130010153 FORTALECIMIENTO DE LA CALIDAD DE LA ATENCION EN SALUD  PARA LA POBLACION POBRE NO ASEGURADA RESIDENTE  EN EL DISTRITO    CARTAGENA DE INDIAS</v>
      </c>
      <c r="Q442" t="str">
        <f t="shared" si="55"/>
        <v>06</v>
      </c>
      <c r="R442" t="str">
        <f t="shared" si="56"/>
        <v>00</v>
      </c>
      <c r="S442" s="1">
        <v>0</v>
      </c>
      <c r="T442" s="1">
        <v>3229010979</v>
      </c>
      <c r="U442" s="1">
        <v>3229010979</v>
      </c>
      <c r="V442" s="1">
        <v>911422525</v>
      </c>
      <c r="W442" s="1">
        <v>2317588454</v>
      </c>
      <c r="X442" s="1">
        <v>911422525</v>
      </c>
      <c r="Y442" s="1">
        <v>28.23</v>
      </c>
      <c r="Z442" s="1">
        <v>911422525</v>
      </c>
      <c r="AA442" s="1">
        <v>28.23</v>
      </c>
      <c r="AB442" s="1">
        <v>2317588454</v>
      </c>
      <c r="AC442" s="1">
        <v>911422525</v>
      </c>
    </row>
    <row r="443" spans="1:29" x14ac:dyDescent="0.3">
      <c r="A443">
        <v>2022</v>
      </c>
      <c r="B443">
        <v>100</v>
      </c>
      <c r="C443" t="str">
        <f t="shared" si="61"/>
        <v>10</v>
      </c>
      <c r="D443" t="s">
        <v>601</v>
      </c>
      <c r="E443" t="str">
        <f t="shared" si="57"/>
        <v>10 DEPARTAMENTO ADMINISTRATIVO DE SALUD</v>
      </c>
      <c r="F443" s="2">
        <v>2021130010153</v>
      </c>
      <c r="G443" s="2" t="str">
        <f>+VLOOKUP(F443,Hoja2!$F:$I,2,FALSE)</f>
        <v>08. PILAR CARTAGENA INCLUYENTE</v>
      </c>
      <c r="H443" s="2" t="str">
        <f>+VLOOKUP(F443,Hoja2!$F:$I,3,FALSE)</f>
        <v>8.3 LÍNEA ESTRATÉGICA SALUD PARA TODOS</v>
      </c>
      <c r="I443" s="2" t="str">
        <f>+VLOOKUP(F443,Hoja2!$F:$I,4,FALSE)</f>
        <v>8.3.1 PROGRAMA: FORTALECIMIENTO DE LA AUTORIDAD SANITARIA</v>
      </c>
      <c r="J443" t="s">
        <v>614</v>
      </c>
      <c r="K443" t="str">
        <f>"915"</f>
        <v>915</v>
      </c>
      <c r="L443" t="s">
        <v>688</v>
      </c>
      <c r="M443" t="s">
        <v>26</v>
      </c>
      <c r="N443" t="s">
        <v>27</v>
      </c>
      <c r="O443" t="s">
        <v>615</v>
      </c>
      <c r="P443" t="str">
        <f t="shared" si="58"/>
        <v>2021130010153 FORTALECIMIENTO DE LA CALIDAD DE LA ATENCION EN SALUD  PARA LA POBLACION POBRE NO ASEGURADA RESIDENTE  EN EL DISTRITO    CARTAGENA DE INDIAS</v>
      </c>
      <c r="Q443" t="str">
        <f t="shared" si="55"/>
        <v>06</v>
      </c>
      <c r="R443" t="str">
        <f t="shared" si="56"/>
        <v>00</v>
      </c>
      <c r="S443" s="1">
        <v>0</v>
      </c>
      <c r="T443" s="1">
        <v>61850966</v>
      </c>
      <c r="U443" s="1">
        <v>61850966</v>
      </c>
      <c r="V443" s="1">
        <v>0</v>
      </c>
      <c r="W443" s="1">
        <v>61850966</v>
      </c>
      <c r="X443" s="1">
        <v>0</v>
      </c>
      <c r="Y443" s="1">
        <v>0</v>
      </c>
      <c r="Z443" s="1">
        <v>0</v>
      </c>
      <c r="AA443" s="1">
        <v>0</v>
      </c>
      <c r="AB443" s="1">
        <v>61850966</v>
      </c>
      <c r="AC443" s="1">
        <v>0</v>
      </c>
    </row>
    <row r="444" spans="1:29" x14ac:dyDescent="0.3">
      <c r="A444">
        <v>2022</v>
      </c>
      <c r="B444">
        <v>100</v>
      </c>
      <c r="C444" t="str">
        <f t="shared" si="61"/>
        <v>10</v>
      </c>
      <c r="D444" t="s">
        <v>601</v>
      </c>
      <c r="E444" t="str">
        <f t="shared" si="57"/>
        <v>10 DEPARTAMENTO ADMINISTRATIVO DE SALUD</v>
      </c>
      <c r="F444" s="2">
        <v>2021130010153</v>
      </c>
      <c r="G444" s="2" t="str">
        <f>+VLOOKUP(F444,Hoja2!$F:$I,2,FALSE)</f>
        <v>08. PILAR CARTAGENA INCLUYENTE</v>
      </c>
      <c r="H444" s="2" t="str">
        <f>+VLOOKUP(F444,Hoja2!$F:$I,3,FALSE)</f>
        <v>8.3 LÍNEA ESTRATÉGICA SALUD PARA TODOS</v>
      </c>
      <c r="I444" s="2" t="str">
        <f>+VLOOKUP(F444,Hoja2!$F:$I,4,FALSE)</f>
        <v>8.3.1 PROGRAMA: FORTALECIMIENTO DE LA AUTORIDAD SANITARIA</v>
      </c>
      <c r="J444" t="s">
        <v>614</v>
      </c>
      <c r="K444" t="str">
        <f>"181"</f>
        <v>181</v>
      </c>
      <c r="L444" t="s">
        <v>691</v>
      </c>
      <c r="M444" t="s">
        <v>26</v>
      </c>
      <c r="N444" t="s">
        <v>27</v>
      </c>
      <c r="O444" t="s">
        <v>620</v>
      </c>
      <c r="P444" t="str">
        <f t="shared" si="58"/>
        <v>2021130010153 FORTALECIMIENTO DE LA CALIDAD DE LA ATENCION EN SALUD  PARA LA POBLACION POBRE NO ASEGURADA RESIDENTE EN EL DISTRITO DE CARTAGENA DE INDIAS</v>
      </c>
      <c r="Q444" t="str">
        <f t="shared" si="55"/>
        <v>06</v>
      </c>
      <c r="R444" t="str">
        <f t="shared" si="56"/>
        <v>00</v>
      </c>
      <c r="S444" s="1">
        <v>0</v>
      </c>
      <c r="T444" s="1">
        <v>24000000000</v>
      </c>
      <c r="U444" s="1">
        <v>24000000000</v>
      </c>
      <c r="V444" s="1">
        <v>20884954000</v>
      </c>
      <c r="W444" s="1">
        <v>3115046000</v>
      </c>
      <c r="X444" s="1">
        <v>20842058135.919998</v>
      </c>
      <c r="Y444" s="1">
        <v>86.84</v>
      </c>
      <c r="Z444" s="1">
        <v>0</v>
      </c>
      <c r="AA444" s="1">
        <v>0</v>
      </c>
      <c r="AB444" s="1">
        <v>3157941864.0799999</v>
      </c>
      <c r="AC444" s="1">
        <v>0</v>
      </c>
    </row>
    <row r="445" spans="1:29" x14ac:dyDescent="0.3">
      <c r="A445">
        <v>2022</v>
      </c>
      <c r="B445">
        <v>100</v>
      </c>
      <c r="C445" t="str">
        <f>"13"</f>
        <v>13</v>
      </c>
      <c r="D445" t="s">
        <v>767</v>
      </c>
      <c r="E445" t="str">
        <f t="shared" si="57"/>
        <v>13 DEPARTAMENTO ADMINISTRATIVO DE VALORIZACION</v>
      </c>
      <c r="F445" s="2">
        <v>2021130010154</v>
      </c>
      <c r="G445" s="2" t="str">
        <f>+VLOOKUP(F445,Hoja2!$F:$I,2,FALSE)</f>
        <v>07. PILAR CARTAGENA RESILIENTE</v>
      </c>
      <c r="H445" s="2" t="str">
        <f>+VLOOKUP(F445,Hoja2!$F:$I,3,FALSE)</f>
        <v>7.3 LÍNEA ESTRATÉGICA DESARROLLO URBANO</v>
      </c>
      <c r="I445" s="2" t="str">
        <f>+VLOOKUP(F445,Hoja2!$F:$I,4,FALSE)</f>
        <v>7.3.4 CARTAGENA SE CONECTA</v>
      </c>
      <c r="J445" t="s">
        <v>777</v>
      </c>
      <c r="K445" t="str">
        <f>"001"</f>
        <v>001</v>
      </c>
      <c r="L445" t="s">
        <v>25</v>
      </c>
      <c r="M445" t="s">
        <v>26</v>
      </c>
      <c r="N445" t="s">
        <v>27</v>
      </c>
      <c r="O445" t="s">
        <v>778</v>
      </c>
      <c r="P445" t="str">
        <f t="shared" si="58"/>
        <v xml:space="preserve">2021130010154 DISE?O Y CONSTRUCCION DE VIAS POR CONTRIBUCION DE VALORIZACION DENTRO DEL PROGRAMA  CARTAGENA SE CONECTA  CARTAGENA DE INDIAS </v>
      </c>
      <c r="Q445" t="str">
        <f t="shared" si="55"/>
        <v>06</v>
      </c>
      <c r="R445" t="str">
        <f t="shared" si="56"/>
        <v>00</v>
      </c>
      <c r="S445" s="1">
        <v>3</v>
      </c>
      <c r="T445" s="1">
        <v>0</v>
      </c>
      <c r="U445" s="1">
        <v>3</v>
      </c>
      <c r="V445" s="1">
        <v>0</v>
      </c>
      <c r="W445" s="1">
        <v>3</v>
      </c>
      <c r="X445" s="1">
        <v>0</v>
      </c>
      <c r="Y445" s="1">
        <v>0</v>
      </c>
      <c r="Z445" s="1">
        <v>0</v>
      </c>
      <c r="AA445" s="1">
        <v>0</v>
      </c>
      <c r="AB445" s="1">
        <v>3</v>
      </c>
      <c r="AC445" s="1">
        <v>0</v>
      </c>
    </row>
    <row r="446" spans="1:29" x14ac:dyDescent="0.3">
      <c r="A446">
        <v>2022</v>
      </c>
      <c r="B446">
        <v>100</v>
      </c>
      <c r="C446" t="str">
        <f t="shared" ref="C446:C457" si="62">"06"</f>
        <v>06</v>
      </c>
      <c r="D446" t="s">
        <v>375</v>
      </c>
      <c r="E446" t="str">
        <f t="shared" si="57"/>
        <v>06 SECRETARIA DE INFRAESTRUCTURA</v>
      </c>
      <c r="F446" s="2">
        <v>2021130010155</v>
      </c>
      <c r="G446" s="2" t="str">
        <f>+VLOOKUP(F446,Hoja2!$F:$I,2,FALSE)</f>
        <v>07. PILAR CARTAGENA RESILIENTE</v>
      </c>
      <c r="H446" s="2" t="str">
        <f>+VLOOKUP(F446,Hoja2!$F:$I,3,FALSE)</f>
        <v>7.3 LÍNEA ESTRATÉGICA DESARROLLO URBANO</v>
      </c>
      <c r="I446" s="2" t="str">
        <f>+VLOOKUP(F446,Hoja2!$F:$I,4,FALSE)</f>
        <v xml:space="preserve">7.3.1 CARTAGENA SE MUEVE </v>
      </c>
      <c r="J446" t="s">
        <v>379</v>
      </c>
      <c r="K446" t="str">
        <f>"001"</f>
        <v>001</v>
      </c>
      <c r="L446" t="s">
        <v>25</v>
      </c>
      <c r="M446" t="s">
        <v>26</v>
      </c>
      <c r="N446" t="s">
        <v>27</v>
      </c>
      <c r="O446" t="s">
        <v>380</v>
      </c>
      <c r="P446" t="str">
        <f t="shared" si="58"/>
        <v>2021130010155 ESTUDIOS Y DISE?OS, CONSTRUCCION, MEJORAMIENTO Y REHABILITACION DE VIAS PARA EL TRANSPORTE Y LA MOVILIDAD EN EL DISTRITO DE CARTAGENA DE INDIAS</v>
      </c>
      <c r="Q446" t="str">
        <f t="shared" si="55"/>
        <v>06</v>
      </c>
      <c r="R446" t="str">
        <f t="shared" si="56"/>
        <v>00</v>
      </c>
      <c r="S446" s="1">
        <v>9110102145</v>
      </c>
      <c r="T446" s="1">
        <v>-85590750</v>
      </c>
      <c r="U446" s="1">
        <v>9024511395</v>
      </c>
      <c r="V446" s="1">
        <v>9024511394.4400005</v>
      </c>
      <c r="W446" s="1">
        <v>0.56000000000000005</v>
      </c>
      <c r="X446" s="1">
        <v>8707438269.3999996</v>
      </c>
      <c r="Y446" s="1">
        <v>96.49</v>
      </c>
      <c r="Z446" s="1">
        <v>8609081652.3999996</v>
      </c>
      <c r="AA446" s="1">
        <v>95.4</v>
      </c>
      <c r="AB446" s="1">
        <v>317073125.60000002</v>
      </c>
      <c r="AC446" s="1">
        <v>8585189652.3999996</v>
      </c>
    </row>
    <row r="447" spans="1:29" x14ac:dyDescent="0.3">
      <c r="A447">
        <v>2022</v>
      </c>
      <c r="B447">
        <v>100</v>
      </c>
      <c r="C447" t="str">
        <f t="shared" si="62"/>
        <v>06</v>
      </c>
      <c r="D447" t="s">
        <v>375</v>
      </c>
      <c r="E447" t="str">
        <f t="shared" si="57"/>
        <v>06 SECRETARIA DE INFRAESTRUCTURA</v>
      </c>
      <c r="F447" s="2">
        <v>2021130010155</v>
      </c>
      <c r="G447" s="2" t="str">
        <f>+VLOOKUP(F447,Hoja2!$F:$I,2,FALSE)</f>
        <v>07. PILAR CARTAGENA RESILIENTE</v>
      </c>
      <c r="H447" s="2" t="str">
        <f>+VLOOKUP(F447,Hoja2!$F:$I,3,FALSE)</f>
        <v>7.3 LÍNEA ESTRATÉGICA DESARROLLO URBANO</v>
      </c>
      <c r="I447" s="2" t="str">
        <f>+VLOOKUP(F447,Hoja2!$F:$I,4,FALSE)</f>
        <v xml:space="preserve">7.3.1 CARTAGENA SE MUEVE </v>
      </c>
      <c r="J447" t="s">
        <v>379</v>
      </c>
      <c r="K447" t="str">
        <f>"182"</f>
        <v>182</v>
      </c>
      <c r="L447" t="s">
        <v>384</v>
      </c>
      <c r="M447" t="s">
        <v>26</v>
      </c>
      <c r="N447" t="s">
        <v>27</v>
      </c>
      <c r="O447" t="s">
        <v>380</v>
      </c>
      <c r="P447" t="str">
        <f t="shared" si="58"/>
        <v>2021130010155 ESTUDIOS Y DISE?OS, CONSTRUCCION, MEJORAMIENTO Y REHABILITACION DE VIAS PARA EL TRANSPORTE Y LA MOVILIDAD EN EL DISTRITO DE CARTAGENA DE INDIAS</v>
      </c>
      <c r="Q447" t="str">
        <f t="shared" si="55"/>
        <v>06</v>
      </c>
      <c r="R447" t="str">
        <f t="shared" si="56"/>
        <v>00</v>
      </c>
      <c r="S447" s="1">
        <v>0</v>
      </c>
      <c r="T447" s="1">
        <v>218050.08</v>
      </c>
      <c r="U447" s="1">
        <v>218050.08</v>
      </c>
      <c r="V447" s="1">
        <v>0</v>
      </c>
      <c r="W447" s="1">
        <v>218050.08</v>
      </c>
      <c r="X447" s="1">
        <v>0</v>
      </c>
      <c r="Y447" s="1">
        <v>0</v>
      </c>
      <c r="Z447" s="1">
        <v>0</v>
      </c>
      <c r="AA447" s="1">
        <v>0</v>
      </c>
      <c r="AB447" s="1">
        <v>218050.08</v>
      </c>
      <c r="AC447" s="1">
        <v>0</v>
      </c>
    </row>
    <row r="448" spans="1:29" x14ac:dyDescent="0.3">
      <c r="A448">
        <v>2022</v>
      </c>
      <c r="B448">
        <v>100</v>
      </c>
      <c r="C448" t="str">
        <f t="shared" si="62"/>
        <v>06</v>
      </c>
      <c r="D448" t="s">
        <v>375</v>
      </c>
      <c r="E448" t="str">
        <f t="shared" si="57"/>
        <v>06 SECRETARIA DE INFRAESTRUCTURA</v>
      </c>
      <c r="F448" s="2">
        <v>2021130010155</v>
      </c>
      <c r="G448" s="2" t="str">
        <f>+VLOOKUP(F448,Hoja2!$F:$I,2,FALSE)</f>
        <v>07. PILAR CARTAGENA RESILIENTE</v>
      </c>
      <c r="H448" s="2" t="str">
        <f>+VLOOKUP(F448,Hoja2!$F:$I,3,FALSE)</f>
        <v>7.3 LÍNEA ESTRATÉGICA DESARROLLO URBANO</v>
      </c>
      <c r="I448" s="2" t="str">
        <f>+VLOOKUP(F448,Hoja2!$F:$I,4,FALSE)</f>
        <v xml:space="preserve">7.3.1 CARTAGENA SE MUEVE </v>
      </c>
      <c r="J448" t="s">
        <v>379</v>
      </c>
      <c r="K448" t="str">
        <f>"183"</f>
        <v>183</v>
      </c>
      <c r="L448" t="s">
        <v>385</v>
      </c>
      <c r="M448" t="s">
        <v>26</v>
      </c>
      <c r="N448" t="s">
        <v>27</v>
      </c>
      <c r="O448" t="s">
        <v>380</v>
      </c>
      <c r="P448" t="str">
        <f t="shared" si="58"/>
        <v>2021130010155 ESTUDIOS Y DISE?OS, CONSTRUCCION, MEJORAMIENTO Y REHABILITACION DE VIAS PARA EL TRANSPORTE Y LA MOVILIDAD EN EL DISTRITO DE CARTAGENA DE INDIAS</v>
      </c>
      <c r="Q448" t="str">
        <f t="shared" si="55"/>
        <v>06</v>
      </c>
      <c r="R448" t="str">
        <f t="shared" si="56"/>
        <v>00</v>
      </c>
      <c r="S448" s="1">
        <v>0</v>
      </c>
      <c r="T448" s="1">
        <v>13653212596</v>
      </c>
      <c r="U448" s="1">
        <v>13653212596</v>
      </c>
      <c r="V448" s="1">
        <v>0</v>
      </c>
      <c r="W448" s="1">
        <v>13653212596</v>
      </c>
      <c r="X448" s="1">
        <v>0</v>
      </c>
      <c r="Y448" s="1">
        <v>0</v>
      </c>
      <c r="Z448" s="1">
        <v>0</v>
      </c>
      <c r="AA448" s="1">
        <v>0</v>
      </c>
      <c r="AB448" s="1">
        <v>13653212596</v>
      </c>
      <c r="AC448" s="1">
        <v>0</v>
      </c>
    </row>
    <row r="449" spans="1:29" x14ac:dyDescent="0.3">
      <c r="A449">
        <v>2022</v>
      </c>
      <c r="B449">
        <v>100</v>
      </c>
      <c r="C449" t="str">
        <f t="shared" si="62"/>
        <v>06</v>
      </c>
      <c r="D449" t="s">
        <v>375</v>
      </c>
      <c r="E449" t="str">
        <f t="shared" si="57"/>
        <v>06 SECRETARIA DE INFRAESTRUCTURA</v>
      </c>
      <c r="F449" s="2">
        <v>2021130010155</v>
      </c>
      <c r="G449" s="2" t="str">
        <f>+VLOOKUP(F449,Hoja2!$F:$I,2,FALSE)</f>
        <v>07. PILAR CARTAGENA RESILIENTE</v>
      </c>
      <c r="H449" s="2" t="str">
        <f>+VLOOKUP(F449,Hoja2!$F:$I,3,FALSE)</f>
        <v>7.3 LÍNEA ESTRATÉGICA DESARROLLO URBANO</v>
      </c>
      <c r="I449" s="2" t="str">
        <f>+VLOOKUP(F449,Hoja2!$F:$I,4,FALSE)</f>
        <v xml:space="preserve">7.3.1 CARTAGENA SE MUEVE </v>
      </c>
      <c r="J449" t="s">
        <v>379</v>
      </c>
      <c r="K449" t="str">
        <f>"812"</f>
        <v>812</v>
      </c>
      <c r="L449" t="s">
        <v>386</v>
      </c>
      <c r="M449" t="s">
        <v>26</v>
      </c>
      <c r="N449" t="s">
        <v>27</v>
      </c>
      <c r="O449" t="s">
        <v>387</v>
      </c>
      <c r="P449" t="str">
        <f t="shared" si="58"/>
        <v>2021130010155 ESTUDIOS Y DISE?OS CONSTRUCCION, MEJORAMIENTO Y REHABILITACION DE VIAS PARA EL TRANSPORTE Y LA MOVILIDAD EN EL DISTRITO DE CARTAGENA DE INDIAS</v>
      </c>
      <c r="Q449" t="str">
        <f t="shared" si="55"/>
        <v>06</v>
      </c>
      <c r="R449" t="str">
        <f t="shared" si="56"/>
        <v>00</v>
      </c>
      <c r="S449" s="1">
        <v>0</v>
      </c>
      <c r="T449" s="1">
        <v>774299317.32000005</v>
      </c>
      <c r="U449" s="1">
        <v>774299317.32000005</v>
      </c>
      <c r="V449" s="1">
        <v>774299316.63</v>
      </c>
      <c r="W449" s="1">
        <v>0.69</v>
      </c>
      <c r="X449" s="1">
        <v>686586946</v>
      </c>
      <c r="Y449" s="1">
        <v>88.67</v>
      </c>
      <c r="Z449" s="1">
        <v>78683160.450000003</v>
      </c>
      <c r="AA449" s="1">
        <v>10.16</v>
      </c>
      <c r="AB449" s="1">
        <v>87712371.319999993</v>
      </c>
      <c r="AC449" s="1">
        <v>0</v>
      </c>
    </row>
    <row r="450" spans="1:29" x14ac:dyDescent="0.3">
      <c r="A450">
        <v>2022</v>
      </c>
      <c r="B450">
        <v>100</v>
      </c>
      <c r="C450" t="str">
        <f t="shared" si="62"/>
        <v>06</v>
      </c>
      <c r="D450" t="s">
        <v>375</v>
      </c>
      <c r="E450" t="str">
        <f t="shared" si="57"/>
        <v>06 SECRETARIA DE INFRAESTRUCTURA</v>
      </c>
      <c r="F450" s="2">
        <v>2021130010155</v>
      </c>
      <c r="G450" s="2" t="str">
        <f>+VLOOKUP(F450,Hoja2!$F:$I,2,FALSE)</f>
        <v>07. PILAR CARTAGENA RESILIENTE</v>
      </c>
      <c r="H450" s="2" t="str">
        <f>+VLOOKUP(F450,Hoja2!$F:$I,3,FALSE)</f>
        <v>7.3 LÍNEA ESTRATÉGICA DESARROLLO URBANO</v>
      </c>
      <c r="I450" s="2" t="str">
        <f>+VLOOKUP(F450,Hoja2!$F:$I,4,FALSE)</f>
        <v xml:space="preserve">7.3.1 CARTAGENA SE MUEVE </v>
      </c>
      <c r="J450" t="s">
        <v>379</v>
      </c>
      <c r="K450" t="str">
        <f>"814"</f>
        <v>814</v>
      </c>
      <c r="L450" t="s">
        <v>60</v>
      </c>
      <c r="M450" t="s">
        <v>26</v>
      </c>
      <c r="N450" t="s">
        <v>27</v>
      </c>
      <c r="O450" t="s">
        <v>380</v>
      </c>
      <c r="P450" t="str">
        <f t="shared" si="58"/>
        <v>2021130010155 ESTUDIOS Y DISE?OS, CONSTRUCCION, MEJORAMIENTO Y REHABILITACION DE VIAS PARA EL TRANSPORTE Y LA MOVILIDAD EN EL DISTRITO DE CARTAGENA DE INDIAS</v>
      </c>
      <c r="Q450" t="str">
        <f t="shared" ref="Q450:Q513" si="63">"06"</f>
        <v>06</v>
      </c>
      <c r="R450" t="str">
        <f t="shared" ref="R450:R513" si="64">"00"</f>
        <v>00</v>
      </c>
      <c r="S450" s="1">
        <v>0</v>
      </c>
      <c r="T450" s="1">
        <v>5218171422.4399996</v>
      </c>
      <c r="U450" s="1">
        <v>5218171422.4399996</v>
      </c>
      <c r="V450" s="1">
        <v>5218171422</v>
      </c>
      <c r="W450" s="1">
        <v>0.44</v>
      </c>
      <c r="X450" s="1">
        <v>5218171422</v>
      </c>
      <c r="Y450" s="1">
        <v>100</v>
      </c>
      <c r="Z450" s="1">
        <v>466022904</v>
      </c>
      <c r="AA450" s="1">
        <v>8.93</v>
      </c>
      <c r="AB450" s="1">
        <v>0.44</v>
      </c>
      <c r="AC450" s="1">
        <v>128470864.63</v>
      </c>
    </row>
    <row r="451" spans="1:29" x14ac:dyDescent="0.3">
      <c r="A451">
        <v>2022</v>
      </c>
      <c r="B451">
        <v>100</v>
      </c>
      <c r="C451" t="str">
        <f t="shared" si="62"/>
        <v>06</v>
      </c>
      <c r="D451" t="s">
        <v>375</v>
      </c>
      <c r="E451" t="str">
        <f t="shared" ref="E451:E514" si="65">+CONCATENATE(C451," ",D451)</f>
        <v>06 SECRETARIA DE INFRAESTRUCTURA</v>
      </c>
      <c r="F451" s="2">
        <v>2021130010155</v>
      </c>
      <c r="G451" s="2" t="str">
        <f>+VLOOKUP(F451,Hoja2!$F:$I,2,FALSE)</f>
        <v>07. PILAR CARTAGENA RESILIENTE</v>
      </c>
      <c r="H451" s="2" t="str">
        <f>+VLOOKUP(F451,Hoja2!$F:$I,3,FALSE)</f>
        <v>7.3 LÍNEA ESTRATÉGICA DESARROLLO URBANO</v>
      </c>
      <c r="I451" s="2" t="str">
        <f>+VLOOKUP(F451,Hoja2!$F:$I,4,FALSE)</f>
        <v xml:space="preserve">7.3.1 CARTAGENA SE MUEVE </v>
      </c>
      <c r="J451" t="s">
        <v>379</v>
      </c>
      <c r="K451" t="str">
        <f>"819"</f>
        <v>819</v>
      </c>
      <c r="L451" t="s">
        <v>389</v>
      </c>
      <c r="M451" t="s">
        <v>26</v>
      </c>
      <c r="N451" t="s">
        <v>27</v>
      </c>
      <c r="O451" t="s">
        <v>380</v>
      </c>
      <c r="P451" t="str">
        <f t="shared" ref="P451:P514" si="66">+CONCATENATE(F451," ",O451)</f>
        <v>2021130010155 ESTUDIOS Y DISE?OS, CONSTRUCCION, MEJORAMIENTO Y REHABILITACION DE VIAS PARA EL TRANSPORTE Y LA MOVILIDAD EN EL DISTRITO DE CARTAGENA DE INDIAS</v>
      </c>
      <c r="Q451" t="str">
        <f t="shared" si="63"/>
        <v>06</v>
      </c>
      <c r="R451" t="str">
        <f t="shared" si="64"/>
        <v>00</v>
      </c>
      <c r="S451" s="1">
        <v>0</v>
      </c>
      <c r="T451" s="1">
        <v>342288365.25</v>
      </c>
      <c r="U451" s="1">
        <v>342288365.25</v>
      </c>
      <c r="V451" s="1">
        <v>342288365</v>
      </c>
      <c r="W451" s="1">
        <v>0.25</v>
      </c>
      <c r="X451" s="1">
        <v>342288365</v>
      </c>
      <c r="Y451" s="1">
        <v>100</v>
      </c>
      <c r="Z451" s="1">
        <v>342288365</v>
      </c>
      <c r="AA451" s="1">
        <v>100</v>
      </c>
      <c r="AB451" s="1">
        <v>0.25</v>
      </c>
      <c r="AC451" s="1">
        <v>342288365</v>
      </c>
    </row>
    <row r="452" spans="1:29" x14ac:dyDescent="0.3">
      <c r="A452">
        <v>2022</v>
      </c>
      <c r="B452">
        <v>100</v>
      </c>
      <c r="C452" t="str">
        <f t="shared" si="62"/>
        <v>06</v>
      </c>
      <c r="D452" t="s">
        <v>375</v>
      </c>
      <c r="E452" t="str">
        <f t="shared" si="65"/>
        <v>06 SECRETARIA DE INFRAESTRUCTURA</v>
      </c>
      <c r="F452" s="2">
        <v>2021130010155</v>
      </c>
      <c r="G452" s="2" t="str">
        <f>+VLOOKUP(F452,Hoja2!$F:$I,2,FALSE)</f>
        <v>07. PILAR CARTAGENA RESILIENTE</v>
      </c>
      <c r="H452" s="2" t="str">
        <f>+VLOOKUP(F452,Hoja2!$F:$I,3,FALSE)</f>
        <v>7.3 LÍNEA ESTRATÉGICA DESARROLLO URBANO</v>
      </c>
      <c r="I452" s="2" t="str">
        <f>+VLOOKUP(F452,Hoja2!$F:$I,4,FALSE)</f>
        <v xml:space="preserve">7.3.1 CARTAGENA SE MUEVE </v>
      </c>
      <c r="J452" t="s">
        <v>379</v>
      </c>
      <c r="K452" t="str">
        <f>"820"</f>
        <v>820</v>
      </c>
      <c r="L452" t="s">
        <v>390</v>
      </c>
      <c r="M452" t="s">
        <v>26</v>
      </c>
      <c r="N452" t="s">
        <v>27</v>
      </c>
      <c r="O452" t="s">
        <v>380</v>
      </c>
      <c r="P452" t="str">
        <f t="shared" si="66"/>
        <v>2021130010155 ESTUDIOS Y DISE?OS, CONSTRUCCION, MEJORAMIENTO Y REHABILITACION DE VIAS PARA EL TRANSPORTE Y LA MOVILIDAD EN EL DISTRITO DE CARTAGENA DE INDIAS</v>
      </c>
      <c r="Q452" t="str">
        <f t="shared" si="63"/>
        <v>06</v>
      </c>
      <c r="R452" t="str">
        <f t="shared" si="64"/>
        <v>00</v>
      </c>
      <c r="S452" s="1">
        <v>0</v>
      </c>
      <c r="T452" s="1">
        <v>63135418</v>
      </c>
      <c r="U452" s="1">
        <v>63135418</v>
      </c>
      <c r="V452" s="1">
        <v>63135418</v>
      </c>
      <c r="W452" s="1">
        <v>0</v>
      </c>
      <c r="X452" s="1">
        <v>63135418</v>
      </c>
      <c r="Y452" s="1">
        <v>100</v>
      </c>
      <c r="Z452" s="1">
        <v>0</v>
      </c>
      <c r="AA452" s="1">
        <v>0</v>
      </c>
      <c r="AB452" s="1">
        <v>0</v>
      </c>
      <c r="AC452" s="1">
        <v>0</v>
      </c>
    </row>
    <row r="453" spans="1:29" x14ac:dyDescent="0.3">
      <c r="A453">
        <v>2022</v>
      </c>
      <c r="B453">
        <v>100</v>
      </c>
      <c r="C453" t="str">
        <f t="shared" si="62"/>
        <v>06</v>
      </c>
      <c r="D453" t="s">
        <v>375</v>
      </c>
      <c r="E453" t="str">
        <f t="shared" si="65"/>
        <v>06 SECRETARIA DE INFRAESTRUCTURA</v>
      </c>
      <c r="F453" s="2">
        <v>2021130010155</v>
      </c>
      <c r="G453" s="2" t="str">
        <f>+VLOOKUP(F453,Hoja2!$F:$I,2,FALSE)</f>
        <v>07. PILAR CARTAGENA RESILIENTE</v>
      </c>
      <c r="H453" s="2" t="str">
        <f>+VLOOKUP(F453,Hoja2!$F:$I,3,FALSE)</f>
        <v>7.3 LÍNEA ESTRATÉGICA DESARROLLO URBANO</v>
      </c>
      <c r="I453" s="2" t="str">
        <f>+VLOOKUP(F453,Hoja2!$F:$I,4,FALSE)</f>
        <v xml:space="preserve">7.3.1 CARTAGENA SE MUEVE </v>
      </c>
      <c r="J453" t="s">
        <v>379</v>
      </c>
      <c r="K453" t="str">
        <f>"852"</f>
        <v>852</v>
      </c>
      <c r="L453" t="s">
        <v>76</v>
      </c>
      <c r="M453" t="s">
        <v>26</v>
      </c>
      <c r="N453" t="s">
        <v>27</v>
      </c>
      <c r="O453" t="s">
        <v>380</v>
      </c>
      <c r="P453" t="str">
        <f t="shared" si="66"/>
        <v>2021130010155 ESTUDIOS Y DISE?OS, CONSTRUCCION, MEJORAMIENTO Y REHABILITACION DE VIAS PARA EL TRANSPORTE Y LA MOVILIDAD EN EL DISTRITO DE CARTAGENA DE INDIAS</v>
      </c>
      <c r="Q453" t="str">
        <f t="shared" si="63"/>
        <v>06</v>
      </c>
      <c r="R453" t="str">
        <f t="shared" si="64"/>
        <v>00</v>
      </c>
      <c r="S453" s="1">
        <v>0</v>
      </c>
      <c r="T453" s="1">
        <v>21411059.670000002</v>
      </c>
      <c r="U453" s="1">
        <v>21411059.670000002</v>
      </c>
      <c r="V453" s="1">
        <v>21411059</v>
      </c>
      <c r="W453" s="1">
        <v>0.67</v>
      </c>
      <c r="X453" s="1">
        <v>21411059</v>
      </c>
      <c r="Y453" s="1">
        <v>100</v>
      </c>
      <c r="Z453" s="1">
        <v>0</v>
      </c>
      <c r="AA453" s="1">
        <v>0</v>
      </c>
      <c r="AB453" s="1">
        <v>0.67</v>
      </c>
      <c r="AC453" s="1">
        <v>0</v>
      </c>
    </row>
    <row r="454" spans="1:29" x14ac:dyDescent="0.3">
      <c r="A454">
        <v>2022</v>
      </c>
      <c r="B454">
        <v>100</v>
      </c>
      <c r="C454" t="str">
        <f t="shared" si="62"/>
        <v>06</v>
      </c>
      <c r="D454" t="s">
        <v>375</v>
      </c>
      <c r="E454" t="str">
        <f t="shared" si="65"/>
        <v>06 SECRETARIA DE INFRAESTRUCTURA</v>
      </c>
      <c r="F454" s="2">
        <v>2021130010155</v>
      </c>
      <c r="G454" s="2" t="str">
        <f>+VLOOKUP(F454,Hoja2!$F:$I,2,FALSE)</f>
        <v>07. PILAR CARTAGENA RESILIENTE</v>
      </c>
      <c r="H454" s="2" t="str">
        <f>+VLOOKUP(F454,Hoja2!$F:$I,3,FALSE)</f>
        <v>7.3 LÍNEA ESTRATÉGICA DESARROLLO URBANO</v>
      </c>
      <c r="I454" s="2" t="str">
        <f>+VLOOKUP(F454,Hoja2!$F:$I,4,FALSE)</f>
        <v xml:space="preserve">7.3.1 CARTAGENA SE MUEVE </v>
      </c>
      <c r="J454" t="s">
        <v>379</v>
      </c>
      <c r="K454" t="str">
        <f>"177"</f>
        <v>177</v>
      </c>
      <c r="L454" t="s">
        <v>393</v>
      </c>
      <c r="M454" t="s">
        <v>26</v>
      </c>
      <c r="N454" t="s">
        <v>27</v>
      </c>
      <c r="O454" t="s">
        <v>380</v>
      </c>
      <c r="P454" t="str">
        <f t="shared" si="66"/>
        <v>2021130010155 ESTUDIOS Y DISE?OS, CONSTRUCCION, MEJORAMIENTO Y REHABILITACION DE VIAS PARA EL TRANSPORTE Y LA MOVILIDAD EN EL DISTRITO DE CARTAGENA DE INDIAS</v>
      </c>
      <c r="Q454" t="str">
        <f t="shared" si="63"/>
        <v>06</v>
      </c>
      <c r="R454" t="str">
        <f t="shared" si="64"/>
        <v>00</v>
      </c>
      <c r="S454" s="1">
        <v>1</v>
      </c>
      <c r="T454" s="1">
        <v>0</v>
      </c>
      <c r="U454" s="1">
        <v>1</v>
      </c>
      <c r="V454" s="1">
        <v>0</v>
      </c>
      <c r="W454" s="1">
        <v>1</v>
      </c>
      <c r="X454" s="1">
        <v>0</v>
      </c>
      <c r="Y454" s="1">
        <v>0</v>
      </c>
      <c r="Z454" s="1">
        <v>0</v>
      </c>
      <c r="AA454" s="1">
        <v>0</v>
      </c>
      <c r="AB454" s="1">
        <v>1</v>
      </c>
      <c r="AC454" s="1">
        <v>0</v>
      </c>
    </row>
    <row r="455" spans="1:29" x14ac:dyDescent="0.3">
      <c r="A455">
        <v>2022</v>
      </c>
      <c r="B455">
        <v>100</v>
      </c>
      <c r="C455" t="str">
        <f t="shared" si="62"/>
        <v>06</v>
      </c>
      <c r="D455" t="s">
        <v>375</v>
      </c>
      <c r="E455" t="str">
        <f t="shared" si="65"/>
        <v>06 SECRETARIA DE INFRAESTRUCTURA</v>
      </c>
      <c r="F455" s="2">
        <v>2021130010155</v>
      </c>
      <c r="G455" s="2" t="str">
        <f>+VLOOKUP(F455,Hoja2!$F:$I,2,FALSE)</f>
        <v>07. PILAR CARTAGENA RESILIENTE</v>
      </c>
      <c r="H455" s="2" t="str">
        <f>+VLOOKUP(F455,Hoja2!$F:$I,3,FALSE)</f>
        <v>7.3 LÍNEA ESTRATÉGICA DESARROLLO URBANO</v>
      </c>
      <c r="I455" s="2" t="str">
        <f>+VLOOKUP(F455,Hoja2!$F:$I,4,FALSE)</f>
        <v xml:space="preserve">7.3.1 CARTAGENA SE MUEVE </v>
      </c>
      <c r="J455" t="s">
        <v>379</v>
      </c>
      <c r="K455" t="str">
        <f>"922"</f>
        <v>922</v>
      </c>
      <c r="L455" t="s">
        <v>78</v>
      </c>
      <c r="M455" t="s">
        <v>26</v>
      </c>
      <c r="N455" t="s">
        <v>27</v>
      </c>
      <c r="O455" t="s">
        <v>380</v>
      </c>
      <c r="P455" t="str">
        <f t="shared" si="66"/>
        <v>2021130010155 ESTUDIOS Y DISE?OS, CONSTRUCCION, MEJORAMIENTO Y REHABILITACION DE VIAS PARA EL TRANSPORTE Y LA MOVILIDAD EN EL DISTRITO DE CARTAGENA DE INDIAS</v>
      </c>
      <c r="Q455" t="str">
        <f t="shared" si="63"/>
        <v>06</v>
      </c>
      <c r="R455" t="str">
        <f t="shared" si="64"/>
        <v>00</v>
      </c>
      <c r="S455" s="1">
        <v>0</v>
      </c>
      <c r="T455" s="1">
        <v>100000000</v>
      </c>
      <c r="U455" s="1">
        <v>100000000</v>
      </c>
      <c r="V455" s="1">
        <v>100000000</v>
      </c>
      <c r="W455" s="1">
        <v>0</v>
      </c>
      <c r="X455" s="1">
        <v>100000000</v>
      </c>
      <c r="Y455" s="1">
        <v>100</v>
      </c>
      <c r="Z455" s="1">
        <v>0</v>
      </c>
      <c r="AA455" s="1">
        <v>0</v>
      </c>
      <c r="AB455" s="1">
        <v>0</v>
      </c>
      <c r="AC455" s="1">
        <v>0</v>
      </c>
    </row>
    <row r="456" spans="1:29" x14ac:dyDescent="0.3">
      <c r="A456">
        <v>2022</v>
      </c>
      <c r="B456">
        <v>100</v>
      </c>
      <c r="C456" t="str">
        <f t="shared" si="62"/>
        <v>06</v>
      </c>
      <c r="D456" t="s">
        <v>375</v>
      </c>
      <c r="E456" t="str">
        <f t="shared" si="65"/>
        <v>06 SECRETARIA DE INFRAESTRUCTURA</v>
      </c>
      <c r="F456" s="2">
        <v>2021130010155</v>
      </c>
      <c r="G456" s="2" t="str">
        <f>+VLOOKUP(F456,Hoja2!$F:$I,2,FALSE)</f>
        <v>07. PILAR CARTAGENA RESILIENTE</v>
      </c>
      <c r="H456" s="2" t="str">
        <f>+VLOOKUP(F456,Hoja2!$F:$I,3,FALSE)</f>
        <v>7.3 LÍNEA ESTRATÉGICA DESARROLLO URBANO</v>
      </c>
      <c r="I456" s="2" t="str">
        <f>+VLOOKUP(F456,Hoja2!$F:$I,4,FALSE)</f>
        <v xml:space="preserve">7.3.1 CARTAGENA SE MUEVE </v>
      </c>
      <c r="J456" t="s">
        <v>379</v>
      </c>
      <c r="K456" t="str">
        <f>"062"</f>
        <v>062</v>
      </c>
      <c r="L456" t="s">
        <v>326</v>
      </c>
      <c r="M456" t="s">
        <v>26</v>
      </c>
      <c r="N456" t="s">
        <v>27</v>
      </c>
      <c r="O456" t="s">
        <v>380</v>
      </c>
      <c r="P456" t="str">
        <f t="shared" si="66"/>
        <v>2021130010155 ESTUDIOS Y DISE?OS, CONSTRUCCION, MEJORAMIENTO Y REHABILITACION DE VIAS PARA EL TRANSPORTE Y LA MOVILIDAD EN EL DISTRITO DE CARTAGENA DE INDIAS</v>
      </c>
      <c r="Q456" t="str">
        <f t="shared" si="63"/>
        <v>06</v>
      </c>
      <c r="R456" t="str">
        <f t="shared" si="64"/>
        <v>00</v>
      </c>
      <c r="S456" s="1">
        <v>671180179</v>
      </c>
      <c r="T456" s="1">
        <v>0</v>
      </c>
      <c r="U456" s="1">
        <v>671180179</v>
      </c>
      <c r="V456" s="1">
        <v>671180179</v>
      </c>
      <c r="W456" s="1">
        <v>0</v>
      </c>
      <c r="X456" s="1">
        <v>671180179</v>
      </c>
      <c r="Y456" s="1">
        <v>100</v>
      </c>
      <c r="Z456" s="1">
        <v>637621169.04999995</v>
      </c>
      <c r="AA456" s="1">
        <v>95</v>
      </c>
      <c r="AB456" s="1">
        <v>0</v>
      </c>
      <c r="AC456" s="1">
        <v>637621169.04999995</v>
      </c>
    </row>
    <row r="457" spans="1:29" x14ac:dyDescent="0.3">
      <c r="A457">
        <v>2022</v>
      </c>
      <c r="B457">
        <v>100</v>
      </c>
      <c r="C457" t="str">
        <f t="shared" si="62"/>
        <v>06</v>
      </c>
      <c r="D457" t="s">
        <v>375</v>
      </c>
      <c r="E457" t="str">
        <f t="shared" si="65"/>
        <v>06 SECRETARIA DE INFRAESTRUCTURA</v>
      </c>
      <c r="F457" s="2">
        <v>2021130010155</v>
      </c>
      <c r="G457" s="2" t="str">
        <f>+VLOOKUP(F457,Hoja2!$F:$I,2,FALSE)</f>
        <v>07. PILAR CARTAGENA RESILIENTE</v>
      </c>
      <c r="H457" s="2" t="str">
        <f>+VLOOKUP(F457,Hoja2!$F:$I,3,FALSE)</f>
        <v>7.3 LÍNEA ESTRATÉGICA DESARROLLO URBANO</v>
      </c>
      <c r="I457" s="2" t="str">
        <f>+VLOOKUP(F457,Hoja2!$F:$I,4,FALSE)</f>
        <v xml:space="preserve">7.3.1 CARTAGENA SE MUEVE </v>
      </c>
      <c r="J457" t="s">
        <v>379</v>
      </c>
      <c r="K457" t="str">
        <f>"124"</f>
        <v>124</v>
      </c>
      <c r="L457" t="s">
        <v>394</v>
      </c>
      <c r="M457" t="s">
        <v>26</v>
      </c>
      <c r="N457" t="s">
        <v>27</v>
      </c>
      <c r="O457" t="s">
        <v>380</v>
      </c>
      <c r="P457" t="str">
        <f t="shared" si="66"/>
        <v>2021130010155 ESTUDIOS Y DISE?OS, CONSTRUCCION, MEJORAMIENTO Y REHABILITACION DE VIAS PARA EL TRANSPORTE Y LA MOVILIDAD EN EL DISTRITO DE CARTAGENA DE INDIAS</v>
      </c>
      <c r="Q457" t="str">
        <f t="shared" si="63"/>
        <v>06</v>
      </c>
      <c r="R457" t="str">
        <f t="shared" si="64"/>
        <v>00</v>
      </c>
      <c r="S457" s="1">
        <v>2035019425</v>
      </c>
      <c r="T457" s="1">
        <v>-296615906</v>
      </c>
      <c r="U457" s="1">
        <v>1738403519</v>
      </c>
      <c r="V457" s="1">
        <v>1738403518.7</v>
      </c>
      <c r="W457" s="1">
        <v>0.3</v>
      </c>
      <c r="X457" s="1">
        <v>1738403518.7</v>
      </c>
      <c r="Y457" s="1">
        <v>100</v>
      </c>
      <c r="Z457" s="1">
        <v>901242123.19000006</v>
      </c>
      <c r="AA457" s="1">
        <v>51.84</v>
      </c>
      <c r="AB457" s="1">
        <v>0.3</v>
      </c>
      <c r="AC457" s="1">
        <v>878736518.67999995</v>
      </c>
    </row>
    <row r="458" spans="1:29" x14ac:dyDescent="0.3">
      <c r="A458">
        <v>2022</v>
      </c>
      <c r="B458">
        <v>100</v>
      </c>
      <c r="C458" t="str">
        <f t="shared" ref="C458:C469" si="67">"10"</f>
        <v>10</v>
      </c>
      <c r="D458" t="s">
        <v>601</v>
      </c>
      <c r="E458" t="str">
        <f t="shared" si="65"/>
        <v>10 DEPARTAMENTO ADMINISTRATIVO DE SALUD</v>
      </c>
      <c r="F458" s="2">
        <v>2021130010156</v>
      </c>
      <c r="G458" s="2" t="str">
        <f>+VLOOKUP(F458,Hoja2!$F:$I,2,FALSE)</f>
        <v>08. PILAR CARTAGENA INCLUYENTE</v>
      </c>
      <c r="H458" s="2" t="str">
        <f>+VLOOKUP(F458,Hoja2!$F:$I,3,FALSE)</f>
        <v>8.3 LÍNEA ESTRATÉGICA SALUD PARA TODOS</v>
      </c>
      <c r="I458" s="2" t="str">
        <f>+VLOOKUP(F458,Hoja2!$F:$I,4,FALSE)</f>
        <v>8.3.1 PROGRAMA: FORTALECIMIENTO DE LA AUTORIDAD SANITARIA</v>
      </c>
      <c r="J458" t="s">
        <v>616</v>
      </c>
      <c r="K458" t="str">
        <f>"001"</f>
        <v>001</v>
      </c>
      <c r="L458" t="s">
        <v>25</v>
      </c>
      <c r="M458" t="s">
        <v>26</v>
      </c>
      <c r="N458" t="s">
        <v>27</v>
      </c>
      <c r="O458" t="s">
        <v>617</v>
      </c>
      <c r="P458" t="str">
        <f t="shared" si="66"/>
        <v>2021130010156 AMPLIACION Y CONTINUIDAD DE LA AFILIACION AL REGIMEN SUBSIDIADO EN SALUD EN EL DISTRITO DE  CARTAGENA DE INDIAS</v>
      </c>
      <c r="Q458" t="str">
        <f t="shared" si="63"/>
        <v>06</v>
      </c>
      <c r="R458" t="str">
        <f t="shared" si="64"/>
        <v>00</v>
      </c>
      <c r="S458" s="1">
        <v>1200000000</v>
      </c>
      <c r="T458" s="1">
        <v>0</v>
      </c>
      <c r="U458" s="1">
        <v>1200000000</v>
      </c>
      <c r="V458" s="1">
        <v>1200000000</v>
      </c>
      <c r="W458" s="1">
        <v>0</v>
      </c>
      <c r="X458" s="1">
        <v>1200000000</v>
      </c>
      <c r="Y458" s="1">
        <v>100</v>
      </c>
      <c r="Z458" s="1">
        <v>1200000000</v>
      </c>
      <c r="AA458" s="1">
        <v>100</v>
      </c>
      <c r="AB458" s="1">
        <v>0</v>
      </c>
      <c r="AC458" s="1">
        <v>1200000000</v>
      </c>
    </row>
    <row r="459" spans="1:29" x14ac:dyDescent="0.3">
      <c r="A459">
        <v>2022</v>
      </c>
      <c r="B459">
        <v>100</v>
      </c>
      <c r="C459" t="str">
        <f t="shared" si="67"/>
        <v>10</v>
      </c>
      <c r="D459" t="s">
        <v>601</v>
      </c>
      <c r="E459" t="str">
        <f t="shared" si="65"/>
        <v>10 DEPARTAMENTO ADMINISTRATIVO DE SALUD</v>
      </c>
      <c r="F459" s="2">
        <v>2021130010156</v>
      </c>
      <c r="G459" s="2" t="str">
        <f>+VLOOKUP(F459,Hoja2!$F:$I,2,FALSE)</f>
        <v>08. PILAR CARTAGENA INCLUYENTE</v>
      </c>
      <c r="H459" s="2" t="str">
        <f>+VLOOKUP(F459,Hoja2!$F:$I,3,FALSE)</f>
        <v>8.3 LÍNEA ESTRATÉGICA SALUD PARA TODOS</v>
      </c>
      <c r="I459" s="2" t="str">
        <f>+VLOOKUP(F459,Hoja2!$F:$I,4,FALSE)</f>
        <v>8.3.1 PROGRAMA: FORTALECIMIENTO DE LA AUTORIDAD SANITARIA</v>
      </c>
      <c r="J459" t="s">
        <v>616</v>
      </c>
      <c r="K459" t="str">
        <f>"015"</f>
        <v>015</v>
      </c>
      <c r="L459" t="s">
        <v>618</v>
      </c>
      <c r="M459" t="s">
        <v>26</v>
      </c>
      <c r="N459" t="s">
        <v>27</v>
      </c>
      <c r="O459" t="s">
        <v>617</v>
      </c>
      <c r="P459" t="str">
        <f t="shared" si="66"/>
        <v>2021130010156 AMPLIACION Y CONTINUIDAD DE LA AFILIACION AL REGIMEN SUBSIDIADO EN SALUD EN EL DISTRITO DE  CARTAGENA DE INDIAS</v>
      </c>
      <c r="Q459" t="str">
        <f t="shared" si="63"/>
        <v>06</v>
      </c>
      <c r="R459" t="str">
        <f t="shared" si="64"/>
        <v>00</v>
      </c>
      <c r="S459" s="1">
        <v>7967667606</v>
      </c>
      <c r="T459" s="1">
        <v>4727069766</v>
      </c>
      <c r="U459" s="1">
        <v>12694737372</v>
      </c>
      <c r="V459" s="1">
        <v>11020626269</v>
      </c>
      <c r="W459" s="1">
        <v>1674111103</v>
      </c>
      <c r="X459" s="1">
        <v>11020626269</v>
      </c>
      <c r="Y459" s="1">
        <v>86.81</v>
      </c>
      <c r="Z459" s="1">
        <v>11020626269</v>
      </c>
      <c r="AA459" s="1">
        <v>86.81</v>
      </c>
      <c r="AB459" s="1">
        <v>1674111103</v>
      </c>
      <c r="AC459" s="1">
        <v>11020626269</v>
      </c>
    </row>
    <row r="460" spans="1:29" x14ac:dyDescent="0.3">
      <c r="A460">
        <v>2022</v>
      </c>
      <c r="B460">
        <v>100</v>
      </c>
      <c r="C460" t="str">
        <f t="shared" si="67"/>
        <v>10</v>
      </c>
      <c r="D460" t="s">
        <v>601</v>
      </c>
      <c r="E460" t="str">
        <f t="shared" si="65"/>
        <v>10 DEPARTAMENTO ADMINISTRATIVO DE SALUD</v>
      </c>
      <c r="F460" s="2">
        <v>2021130010156</v>
      </c>
      <c r="G460" s="2" t="str">
        <f>+VLOOKUP(F460,Hoja2!$F:$I,2,FALSE)</f>
        <v>08. PILAR CARTAGENA INCLUYENTE</v>
      </c>
      <c r="H460" s="2" t="str">
        <f>+VLOOKUP(F460,Hoja2!$F:$I,3,FALSE)</f>
        <v>8.3 LÍNEA ESTRATÉGICA SALUD PARA TODOS</v>
      </c>
      <c r="I460" s="2" t="str">
        <f>+VLOOKUP(F460,Hoja2!$F:$I,4,FALSE)</f>
        <v>8.3.1 PROGRAMA: FORTALECIMIENTO DE LA AUTORIDAD SANITARIA</v>
      </c>
      <c r="J460" t="s">
        <v>616</v>
      </c>
      <c r="K460" t="str">
        <f>"049"</f>
        <v>049</v>
      </c>
      <c r="L460" t="s">
        <v>630</v>
      </c>
      <c r="M460" t="s">
        <v>26</v>
      </c>
      <c r="N460" t="s">
        <v>27</v>
      </c>
      <c r="O460" t="s">
        <v>617</v>
      </c>
      <c r="P460" t="str">
        <f t="shared" si="66"/>
        <v>2021130010156 AMPLIACION Y CONTINUIDAD DE LA AFILIACION AL REGIMEN SUBSIDIADO EN SALUD EN EL DISTRITO DE  CARTAGENA DE INDIAS</v>
      </c>
      <c r="Q460" t="str">
        <f t="shared" si="63"/>
        <v>06</v>
      </c>
      <c r="R460" t="str">
        <f t="shared" si="64"/>
        <v>00</v>
      </c>
      <c r="S460" s="1">
        <v>392447844882</v>
      </c>
      <c r="T460" s="1">
        <v>98666364023.380005</v>
      </c>
      <c r="U460" s="1">
        <v>491114208905.38</v>
      </c>
      <c r="V460" s="1">
        <v>488097844712.42999</v>
      </c>
      <c r="W460" s="1">
        <v>3016364192.9499998</v>
      </c>
      <c r="X460" s="1">
        <v>488097844712.42999</v>
      </c>
      <c r="Y460" s="1">
        <v>99.39</v>
      </c>
      <c r="Z460" s="1">
        <v>488097844712.42999</v>
      </c>
      <c r="AA460" s="1">
        <v>99.39</v>
      </c>
      <c r="AB460" s="1">
        <v>3016364192.9499998</v>
      </c>
      <c r="AC460" s="1">
        <v>488097844712.42999</v>
      </c>
    </row>
    <row r="461" spans="1:29" x14ac:dyDescent="0.3">
      <c r="A461">
        <v>2022</v>
      </c>
      <c r="B461">
        <v>100</v>
      </c>
      <c r="C461" t="str">
        <f t="shared" si="67"/>
        <v>10</v>
      </c>
      <c r="D461" t="s">
        <v>601</v>
      </c>
      <c r="E461" t="str">
        <f t="shared" si="65"/>
        <v>10 DEPARTAMENTO ADMINISTRATIVO DE SALUD</v>
      </c>
      <c r="F461" s="2">
        <v>2021130010156</v>
      </c>
      <c r="G461" s="2" t="str">
        <f>+VLOOKUP(F461,Hoja2!$F:$I,2,FALSE)</f>
        <v>08. PILAR CARTAGENA INCLUYENTE</v>
      </c>
      <c r="H461" s="2" t="str">
        <f>+VLOOKUP(F461,Hoja2!$F:$I,3,FALSE)</f>
        <v>8.3 LÍNEA ESTRATÉGICA SALUD PARA TODOS</v>
      </c>
      <c r="I461" s="2" t="str">
        <f>+VLOOKUP(F461,Hoja2!$F:$I,4,FALSE)</f>
        <v>8.3.1 PROGRAMA: FORTALECIMIENTO DE LA AUTORIDAD SANITARIA</v>
      </c>
      <c r="J461" t="s">
        <v>616</v>
      </c>
      <c r="K461" t="str">
        <f>"068"</f>
        <v>068</v>
      </c>
      <c r="L461" t="s">
        <v>631</v>
      </c>
      <c r="M461" t="s">
        <v>26</v>
      </c>
      <c r="N461" t="s">
        <v>27</v>
      </c>
      <c r="O461" t="s">
        <v>617</v>
      </c>
      <c r="P461" t="str">
        <f t="shared" si="66"/>
        <v>2021130010156 AMPLIACION Y CONTINUIDAD DE LA AFILIACION AL REGIMEN SUBSIDIADO EN SALUD EN EL DISTRITO DE  CARTAGENA DE INDIAS</v>
      </c>
      <c r="Q461" t="str">
        <f t="shared" si="63"/>
        <v>06</v>
      </c>
      <c r="R461" t="str">
        <f t="shared" si="64"/>
        <v>00</v>
      </c>
      <c r="S461" s="1">
        <v>244062895047</v>
      </c>
      <c r="T461" s="1">
        <v>4592040265</v>
      </c>
      <c r="U461" s="1">
        <v>248654935312</v>
      </c>
      <c r="V461" s="1">
        <v>248654935312</v>
      </c>
      <c r="W461" s="1">
        <v>0</v>
      </c>
      <c r="X461" s="1">
        <v>248654935312</v>
      </c>
      <c r="Y461" s="1">
        <v>100</v>
      </c>
      <c r="Z461" s="1">
        <v>248654935307</v>
      </c>
      <c r="AA461" s="1">
        <v>100</v>
      </c>
      <c r="AB461" s="1">
        <v>0</v>
      </c>
      <c r="AC461" s="1">
        <v>248654935307</v>
      </c>
    </row>
    <row r="462" spans="1:29" x14ac:dyDescent="0.3">
      <c r="A462">
        <v>2022</v>
      </c>
      <c r="B462">
        <v>100</v>
      </c>
      <c r="C462" t="str">
        <f t="shared" si="67"/>
        <v>10</v>
      </c>
      <c r="D462" t="s">
        <v>601</v>
      </c>
      <c r="E462" t="str">
        <f t="shared" si="65"/>
        <v>10 DEPARTAMENTO ADMINISTRATIVO DE SALUD</v>
      </c>
      <c r="F462" s="2">
        <v>2021130010156</v>
      </c>
      <c r="G462" s="2" t="str">
        <f>+VLOOKUP(F462,Hoja2!$F:$I,2,FALSE)</f>
        <v>08. PILAR CARTAGENA INCLUYENTE</v>
      </c>
      <c r="H462" s="2" t="str">
        <f>+VLOOKUP(F462,Hoja2!$F:$I,3,FALSE)</f>
        <v>8.3 LÍNEA ESTRATÉGICA SALUD PARA TODOS</v>
      </c>
      <c r="I462" s="2" t="str">
        <f>+VLOOKUP(F462,Hoja2!$F:$I,4,FALSE)</f>
        <v>8.3.1 PROGRAMA: FORTALECIMIENTO DE LA AUTORIDAD SANITARIA</v>
      </c>
      <c r="J462" t="s">
        <v>616</v>
      </c>
      <c r="K462" t="str">
        <f>"889"</f>
        <v>889</v>
      </c>
      <c r="L462" t="s">
        <v>672</v>
      </c>
      <c r="M462" t="s">
        <v>26</v>
      </c>
      <c r="N462" t="s">
        <v>27</v>
      </c>
      <c r="O462" t="s">
        <v>617</v>
      </c>
      <c r="P462" t="str">
        <f t="shared" si="66"/>
        <v>2021130010156 AMPLIACION Y CONTINUIDAD DE LA AFILIACION AL REGIMEN SUBSIDIADO EN SALUD EN EL DISTRITO DE  CARTAGENA DE INDIAS</v>
      </c>
      <c r="Q462" t="str">
        <f t="shared" si="63"/>
        <v>06</v>
      </c>
      <c r="R462" t="str">
        <f t="shared" si="64"/>
        <v>00</v>
      </c>
      <c r="S462" s="1">
        <v>0</v>
      </c>
      <c r="T462" s="1">
        <v>239837483</v>
      </c>
      <c r="U462" s="1">
        <v>239837483</v>
      </c>
      <c r="V462" s="1">
        <v>0</v>
      </c>
      <c r="W462" s="1">
        <v>239837483</v>
      </c>
      <c r="X462" s="1">
        <v>0</v>
      </c>
      <c r="Y462" s="1">
        <v>0</v>
      </c>
      <c r="Z462" s="1">
        <v>0</v>
      </c>
      <c r="AA462" s="1">
        <v>0</v>
      </c>
      <c r="AB462" s="1">
        <v>239837483</v>
      </c>
      <c r="AC462" s="1">
        <v>0</v>
      </c>
    </row>
    <row r="463" spans="1:29" x14ac:dyDescent="0.3">
      <c r="A463">
        <v>2022</v>
      </c>
      <c r="B463">
        <v>100</v>
      </c>
      <c r="C463" t="str">
        <f t="shared" si="67"/>
        <v>10</v>
      </c>
      <c r="D463" t="s">
        <v>601</v>
      </c>
      <c r="E463" t="str">
        <f t="shared" si="65"/>
        <v>10 DEPARTAMENTO ADMINISTRATIVO DE SALUD</v>
      </c>
      <c r="F463" s="2">
        <v>2021130010156</v>
      </c>
      <c r="G463" s="2" t="str">
        <f>+VLOOKUP(F463,Hoja2!$F:$I,2,FALSE)</f>
        <v>08. PILAR CARTAGENA INCLUYENTE</v>
      </c>
      <c r="H463" s="2" t="str">
        <f>+VLOOKUP(F463,Hoja2!$F:$I,3,FALSE)</f>
        <v>8.3 LÍNEA ESTRATÉGICA SALUD PARA TODOS</v>
      </c>
      <c r="I463" s="2" t="str">
        <f>+VLOOKUP(F463,Hoja2!$F:$I,4,FALSE)</f>
        <v>8.3.1 PROGRAMA: FORTALECIMIENTO DE LA AUTORIDAD SANITARIA</v>
      </c>
      <c r="J463" t="s">
        <v>616</v>
      </c>
      <c r="K463" t="str">
        <f>"891"</f>
        <v>891</v>
      </c>
      <c r="L463" t="s">
        <v>677</v>
      </c>
      <c r="M463" t="s">
        <v>26</v>
      </c>
      <c r="N463" t="s">
        <v>27</v>
      </c>
      <c r="O463" t="s">
        <v>617</v>
      </c>
      <c r="P463" t="str">
        <f t="shared" si="66"/>
        <v>2021130010156 AMPLIACION Y CONTINUIDAD DE LA AFILIACION AL REGIMEN SUBSIDIADO EN SALUD EN EL DISTRITO DE  CARTAGENA DE INDIAS</v>
      </c>
      <c r="Q463" t="str">
        <f t="shared" si="63"/>
        <v>06</v>
      </c>
      <c r="R463" t="str">
        <f t="shared" si="64"/>
        <v>00</v>
      </c>
      <c r="S463" s="1">
        <v>0</v>
      </c>
      <c r="T463" s="1">
        <v>30432562</v>
      </c>
      <c r="U463" s="1">
        <v>30432562</v>
      </c>
      <c r="V463" s="1">
        <v>0</v>
      </c>
      <c r="W463" s="1">
        <v>30432562</v>
      </c>
      <c r="X463" s="1">
        <v>0</v>
      </c>
      <c r="Y463" s="1">
        <v>0</v>
      </c>
      <c r="Z463" s="1">
        <v>0</v>
      </c>
      <c r="AA463" s="1">
        <v>0</v>
      </c>
      <c r="AB463" s="1">
        <v>30432562</v>
      </c>
      <c r="AC463" s="1">
        <v>0</v>
      </c>
    </row>
    <row r="464" spans="1:29" x14ac:dyDescent="0.3">
      <c r="A464">
        <v>2022</v>
      </c>
      <c r="B464">
        <v>100</v>
      </c>
      <c r="C464" t="str">
        <f t="shared" si="67"/>
        <v>10</v>
      </c>
      <c r="D464" t="s">
        <v>601</v>
      </c>
      <c r="E464" t="str">
        <f t="shared" si="65"/>
        <v>10 DEPARTAMENTO ADMINISTRATIVO DE SALUD</v>
      </c>
      <c r="F464" s="2">
        <v>2021130010156</v>
      </c>
      <c r="G464" s="2" t="str">
        <f>+VLOOKUP(F464,Hoja2!$F:$I,2,FALSE)</f>
        <v>08. PILAR CARTAGENA INCLUYENTE</v>
      </c>
      <c r="H464" s="2" t="str">
        <f>+VLOOKUP(F464,Hoja2!$F:$I,3,FALSE)</f>
        <v>8.3 LÍNEA ESTRATÉGICA SALUD PARA TODOS</v>
      </c>
      <c r="I464" s="2" t="str">
        <f>+VLOOKUP(F464,Hoja2!$F:$I,4,FALSE)</f>
        <v>8.3.1 PROGRAMA: FORTALECIMIENTO DE LA AUTORIDAD SANITARIA</v>
      </c>
      <c r="J464" t="s">
        <v>616</v>
      </c>
      <c r="K464" t="str">
        <f>"893"</f>
        <v>893</v>
      </c>
      <c r="L464" t="s">
        <v>679</v>
      </c>
      <c r="M464" t="s">
        <v>26</v>
      </c>
      <c r="N464" t="s">
        <v>27</v>
      </c>
      <c r="O464" t="s">
        <v>617</v>
      </c>
      <c r="P464" t="str">
        <f t="shared" si="66"/>
        <v>2021130010156 AMPLIACION Y CONTINUIDAD DE LA AFILIACION AL REGIMEN SUBSIDIADO EN SALUD EN EL DISTRITO DE  CARTAGENA DE INDIAS</v>
      </c>
      <c r="Q464" t="str">
        <f t="shared" si="63"/>
        <v>06</v>
      </c>
      <c r="R464" t="str">
        <f t="shared" si="64"/>
        <v>00</v>
      </c>
      <c r="S464" s="1">
        <v>0</v>
      </c>
      <c r="T464" s="1">
        <v>231308885</v>
      </c>
      <c r="U464" s="1">
        <v>231308885</v>
      </c>
      <c r="V464" s="1">
        <v>50000000</v>
      </c>
      <c r="W464" s="1">
        <v>181308885</v>
      </c>
      <c r="X464" s="1">
        <v>50000000</v>
      </c>
      <c r="Y464" s="1">
        <v>21.62</v>
      </c>
      <c r="Z464" s="1">
        <v>50000000</v>
      </c>
      <c r="AA464" s="1">
        <v>21.62</v>
      </c>
      <c r="AB464" s="1">
        <v>181308885</v>
      </c>
      <c r="AC464" s="1">
        <v>50000000</v>
      </c>
    </row>
    <row r="465" spans="1:29" x14ac:dyDescent="0.3">
      <c r="A465">
        <v>2022</v>
      </c>
      <c r="B465">
        <v>100</v>
      </c>
      <c r="C465" t="str">
        <f t="shared" si="67"/>
        <v>10</v>
      </c>
      <c r="D465" t="s">
        <v>601</v>
      </c>
      <c r="E465" t="str">
        <f t="shared" si="65"/>
        <v>10 DEPARTAMENTO ADMINISTRATIVO DE SALUD</v>
      </c>
      <c r="F465" s="2">
        <v>2021130010156</v>
      </c>
      <c r="G465" s="2" t="str">
        <f>+VLOOKUP(F465,Hoja2!$F:$I,2,FALSE)</f>
        <v>08. PILAR CARTAGENA INCLUYENTE</v>
      </c>
      <c r="H465" s="2" t="str">
        <f>+VLOOKUP(F465,Hoja2!$F:$I,3,FALSE)</f>
        <v>8.3 LÍNEA ESTRATÉGICA SALUD PARA TODOS</v>
      </c>
      <c r="I465" s="2" t="str">
        <f>+VLOOKUP(F465,Hoja2!$F:$I,4,FALSE)</f>
        <v>8.3.1 PROGRAMA: FORTALECIMIENTO DE LA AUTORIDAD SANITARIA</v>
      </c>
      <c r="J465" t="s">
        <v>616</v>
      </c>
      <c r="K465" t="str">
        <f>"914"</f>
        <v>914</v>
      </c>
      <c r="L465" t="s">
        <v>687</v>
      </c>
      <c r="M465" t="s">
        <v>26</v>
      </c>
      <c r="N465" t="s">
        <v>27</v>
      </c>
      <c r="O465" t="s">
        <v>617</v>
      </c>
      <c r="P465" t="str">
        <f t="shared" si="66"/>
        <v>2021130010156 AMPLIACION Y CONTINUIDAD DE LA AFILIACION AL REGIMEN SUBSIDIADO EN SALUD EN EL DISTRITO DE  CARTAGENA DE INDIAS</v>
      </c>
      <c r="Q465" t="str">
        <f t="shared" si="63"/>
        <v>06</v>
      </c>
      <c r="R465" t="str">
        <f t="shared" si="64"/>
        <v>00</v>
      </c>
      <c r="S465" s="1">
        <v>0</v>
      </c>
      <c r="T465" s="1">
        <v>31803562</v>
      </c>
      <c r="U465" s="1">
        <v>31803562</v>
      </c>
      <c r="V465" s="1">
        <v>0</v>
      </c>
      <c r="W465" s="1">
        <v>31803562</v>
      </c>
      <c r="X465" s="1">
        <v>0</v>
      </c>
      <c r="Y465" s="1">
        <v>0</v>
      </c>
      <c r="Z465" s="1">
        <v>0</v>
      </c>
      <c r="AA465" s="1">
        <v>0</v>
      </c>
      <c r="AB465" s="1">
        <v>31803562</v>
      </c>
      <c r="AC465" s="1">
        <v>0</v>
      </c>
    </row>
    <row r="466" spans="1:29" x14ac:dyDescent="0.3">
      <c r="A466">
        <v>2022</v>
      </c>
      <c r="B466">
        <v>100</v>
      </c>
      <c r="C466" t="str">
        <f t="shared" si="67"/>
        <v>10</v>
      </c>
      <c r="D466" t="s">
        <v>601</v>
      </c>
      <c r="E466" t="str">
        <f t="shared" si="65"/>
        <v>10 DEPARTAMENTO ADMINISTRATIVO DE SALUD</v>
      </c>
      <c r="F466" s="2">
        <v>2021130010156</v>
      </c>
      <c r="G466" s="2" t="str">
        <f>+VLOOKUP(F466,Hoja2!$F:$I,2,FALSE)</f>
        <v>08. PILAR CARTAGENA INCLUYENTE</v>
      </c>
      <c r="H466" s="2" t="str">
        <f>+VLOOKUP(F466,Hoja2!$F:$I,3,FALSE)</f>
        <v>8.3 LÍNEA ESTRATÉGICA SALUD PARA TODOS</v>
      </c>
      <c r="I466" s="2" t="str">
        <f>+VLOOKUP(F466,Hoja2!$F:$I,4,FALSE)</f>
        <v>8.3.1 PROGRAMA: FORTALECIMIENTO DE LA AUTORIDAD SANITARIA</v>
      </c>
      <c r="J466" t="s">
        <v>616</v>
      </c>
      <c r="K466" t="str">
        <f>"189"</f>
        <v>189</v>
      </c>
      <c r="L466" t="s">
        <v>692</v>
      </c>
      <c r="M466" t="s">
        <v>26</v>
      </c>
      <c r="N466" t="s">
        <v>27</v>
      </c>
      <c r="O466" t="s">
        <v>693</v>
      </c>
      <c r="P466" t="str">
        <f t="shared" si="66"/>
        <v>2021130010156 AMPLIACION Y CONTINUIDAD DE LA AFILIACION AL REGIMEN SUBSIDIADO EN SALUD EN EL DISTRITO DE CARTAGENA DE INDIAS</v>
      </c>
      <c r="Q466" t="str">
        <f t="shared" si="63"/>
        <v>06</v>
      </c>
      <c r="R466" t="str">
        <f t="shared" si="64"/>
        <v>00</v>
      </c>
      <c r="S466" s="1">
        <v>0</v>
      </c>
      <c r="T466" s="1">
        <v>2437583.31</v>
      </c>
      <c r="U466" s="1">
        <v>2437583.31</v>
      </c>
      <c r="V466" s="1">
        <v>2437583.31</v>
      </c>
      <c r="W466" s="1">
        <v>0</v>
      </c>
      <c r="X466" s="1">
        <v>2437583.31</v>
      </c>
      <c r="Y466" s="1">
        <v>100</v>
      </c>
      <c r="Z466" s="1">
        <v>2437583.31</v>
      </c>
      <c r="AA466" s="1">
        <v>100</v>
      </c>
      <c r="AB466" s="1">
        <v>0</v>
      </c>
      <c r="AC466" s="1">
        <v>2437583.31</v>
      </c>
    </row>
    <row r="467" spans="1:29" x14ac:dyDescent="0.3">
      <c r="A467">
        <v>2022</v>
      </c>
      <c r="B467">
        <v>100</v>
      </c>
      <c r="C467" t="str">
        <f t="shared" si="67"/>
        <v>10</v>
      </c>
      <c r="D467" t="s">
        <v>601</v>
      </c>
      <c r="E467" t="str">
        <f t="shared" si="65"/>
        <v>10 DEPARTAMENTO ADMINISTRATIVO DE SALUD</v>
      </c>
      <c r="F467" s="2">
        <v>2021130010157</v>
      </c>
      <c r="G467" s="2" t="str">
        <f>+VLOOKUP(F467,Hoja2!$F:$I,2,FALSE)</f>
        <v>08. PILAR CARTAGENA INCLUYENTE</v>
      </c>
      <c r="H467" s="2" t="str">
        <f>+VLOOKUP(F467,Hoja2!$F:$I,3,FALSE)</f>
        <v>8.3 LÍNEA ESTRATÉGICA SALUD PARA TODOS</v>
      </c>
      <c r="I467" s="2" t="str">
        <f>+VLOOKUP(F467,Hoja2!$F:$I,4,FALSE)</f>
        <v>8.3.2 TRANSVERSAL GESTIÓN DIFERENCIAL DE POBLACIONES VULNERABLES</v>
      </c>
      <c r="J467" t="s">
        <v>608</v>
      </c>
      <c r="K467" t="str">
        <f>"001"</f>
        <v>001</v>
      </c>
      <c r="L467" t="s">
        <v>25</v>
      </c>
      <c r="M467" t="s">
        <v>26</v>
      </c>
      <c r="N467" t="s">
        <v>27</v>
      </c>
      <c r="O467" t="s">
        <v>609</v>
      </c>
      <c r="P467" t="str">
        <f t="shared" si="66"/>
        <v>2021130010157 FORTALECIMIENTO DE LA PROMOCION SOCIAL EN SALUD DE LOS GRUPOS POBLACIONALES VULNERABLES Y DE LA PARTICIPACION SOCIAL EN SALUD EN EL DISTRITO DE  CARTAGENA DE INDIAS</v>
      </c>
      <c r="Q467" t="str">
        <f t="shared" si="63"/>
        <v>06</v>
      </c>
      <c r="R467" t="str">
        <f t="shared" si="64"/>
        <v>00</v>
      </c>
      <c r="S467" s="1">
        <v>250000000</v>
      </c>
      <c r="T467" s="1">
        <v>0</v>
      </c>
      <c r="U467" s="1">
        <v>250000000</v>
      </c>
      <c r="V467" s="1">
        <v>246800000</v>
      </c>
      <c r="W467" s="1">
        <v>3200000</v>
      </c>
      <c r="X467" s="1">
        <v>246800000</v>
      </c>
      <c r="Y467" s="1">
        <v>98.72</v>
      </c>
      <c r="Z467" s="1">
        <v>246328680</v>
      </c>
      <c r="AA467" s="1">
        <v>98.53</v>
      </c>
      <c r="AB467" s="1">
        <v>3200000</v>
      </c>
      <c r="AC467" s="1">
        <v>205800000</v>
      </c>
    </row>
    <row r="468" spans="1:29" x14ac:dyDescent="0.3">
      <c r="A468">
        <v>2022</v>
      </c>
      <c r="B468">
        <v>100</v>
      </c>
      <c r="C468" t="str">
        <f t="shared" si="67"/>
        <v>10</v>
      </c>
      <c r="D468" t="s">
        <v>601</v>
      </c>
      <c r="E468" t="str">
        <f t="shared" si="65"/>
        <v>10 DEPARTAMENTO ADMINISTRATIVO DE SALUD</v>
      </c>
      <c r="F468" s="2">
        <v>2021130010157</v>
      </c>
      <c r="G468" s="2" t="str">
        <f>+VLOOKUP(F468,Hoja2!$F:$I,2,FALSE)</f>
        <v>08. PILAR CARTAGENA INCLUYENTE</v>
      </c>
      <c r="H468" s="2" t="str">
        <f>+VLOOKUP(F468,Hoja2!$F:$I,3,FALSE)</f>
        <v>8.3 LÍNEA ESTRATÉGICA SALUD PARA TODOS</v>
      </c>
      <c r="I468" s="2" t="str">
        <f>+VLOOKUP(F468,Hoja2!$F:$I,4,FALSE)</f>
        <v>8.3.2 TRANSVERSAL GESTIÓN DIFERENCIAL DE POBLACIONES VULNERABLES</v>
      </c>
      <c r="J468" t="s">
        <v>608</v>
      </c>
      <c r="K468" t="str">
        <f>"016"</f>
        <v>016</v>
      </c>
      <c r="L468" t="s">
        <v>619</v>
      </c>
      <c r="M468" t="s">
        <v>26</v>
      </c>
      <c r="N468" t="s">
        <v>27</v>
      </c>
      <c r="O468" t="s">
        <v>609</v>
      </c>
      <c r="P468" t="str">
        <f t="shared" si="66"/>
        <v>2021130010157 FORTALECIMIENTO DE LA PROMOCION SOCIAL EN SALUD DE LOS GRUPOS POBLACIONALES VULNERABLES Y DE LA PARTICIPACION SOCIAL EN SALUD EN EL DISTRITO DE  CARTAGENA DE INDIAS</v>
      </c>
      <c r="Q468" t="str">
        <f t="shared" si="63"/>
        <v>06</v>
      </c>
      <c r="R468" t="str">
        <f t="shared" si="64"/>
        <v>00</v>
      </c>
      <c r="S468" s="1">
        <v>135129233</v>
      </c>
      <c r="T468" s="1">
        <v>176529883</v>
      </c>
      <c r="U468" s="1">
        <v>311659116</v>
      </c>
      <c r="V468" s="1">
        <v>98977764</v>
      </c>
      <c r="W468" s="1">
        <v>212681352</v>
      </c>
      <c r="X468" s="1">
        <v>98977764</v>
      </c>
      <c r="Y468" s="1">
        <v>31.76</v>
      </c>
      <c r="Z468" s="1">
        <v>0</v>
      </c>
      <c r="AA468" s="1">
        <v>0</v>
      </c>
      <c r="AB468" s="1">
        <v>212681352</v>
      </c>
      <c r="AC468" s="1">
        <v>0</v>
      </c>
    </row>
    <row r="469" spans="1:29" x14ac:dyDescent="0.3">
      <c r="A469">
        <v>2022</v>
      </c>
      <c r="B469">
        <v>100</v>
      </c>
      <c r="C469" t="str">
        <f t="shared" si="67"/>
        <v>10</v>
      </c>
      <c r="D469" t="s">
        <v>601</v>
      </c>
      <c r="E469" t="str">
        <f t="shared" si="65"/>
        <v>10 DEPARTAMENTO ADMINISTRATIVO DE SALUD</v>
      </c>
      <c r="F469" s="2">
        <v>2021130010157</v>
      </c>
      <c r="G469" s="2" t="str">
        <f>+VLOOKUP(F469,Hoja2!$F:$I,2,FALSE)</f>
        <v>08. PILAR CARTAGENA INCLUYENTE</v>
      </c>
      <c r="H469" s="2" t="str">
        <f>+VLOOKUP(F469,Hoja2!$F:$I,3,FALSE)</f>
        <v>8.3 LÍNEA ESTRATÉGICA SALUD PARA TODOS</v>
      </c>
      <c r="I469" s="2" t="str">
        <f>+VLOOKUP(F469,Hoja2!$F:$I,4,FALSE)</f>
        <v>8.3.2 TRANSVERSAL GESTIÓN DIFERENCIAL DE POBLACIONES VULNERABLES</v>
      </c>
      <c r="J469" t="s">
        <v>608</v>
      </c>
      <c r="K469" t="str">
        <f>"894"</f>
        <v>894</v>
      </c>
      <c r="L469" t="s">
        <v>680</v>
      </c>
      <c r="M469" t="s">
        <v>26</v>
      </c>
      <c r="N469" t="s">
        <v>27</v>
      </c>
      <c r="O469" t="s">
        <v>609</v>
      </c>
      <c r="P469" t="str">
        <f t="shared" si="66"/>
        <v>2021130010157 FORTALECIMIENTO DE LA PROMOCION SOCIAL EN SALUD DE LOS GRUPOS POBLACIONALES VULNERABLES Y DE LA PARTICIPACION SOCIAL EN SALUD EN EL DISTRITO DE  CARTAGENA DE INDIAS</v>
      </c>
      <c r="Q469" t="str">
        <f t="shared" si="63"/>
        <v>06</v>
      </c>
      <c r="R469" t="str">
        <f t="shared" si="64"/>
        <v>00</v>
      </c>
      <c r="S469" s="1">
        <v>0</v>
      </c>
      <c r="T469" s="1">
        <v>128694508</v>
      </c>
      <c r="U469" s="1">
        <v>128694508</v>
      </c>
      <c r="V469" s="1">
        <v>128694508</v>
      </c>
      <c r="W469" s="1">
        <v>0</v>
      </c>
      <c r="X469" s="1">
        <v>128694508</v>
      </c>
      <c r="Y469" s="1">
        <v>100</v>
      </c>
      <c r="Z469" s="1">
        <v>128694508</v>
      </c>
      <c r="AA469" s="1">
        <v>100</v>
      </c>
      <c r="AB469" s="1">
        <v>0</v>
      </c>
      <c r="AC469" s="1">
        <v>0</v>
      </c>
    </row>
    <row r="470" spans="1:29" x14ac:dyDescent="0.3">
      <c r="A470">
        <v>2022</v>
      </c>
      <c r="B470">
        <v>100</v>
      </c>
      <c r="C470" t="str">
        <f t="shared" ref="C470:C483" si="68">"01"</f>
        <v>01</v>
      </c>
      <c r="D470" t="s">
        <v>23</v>
      </c>
      <c r="E470" t="str">
        <f t="shared" si="65"/>
        <v>01 DESPACHO DEL ALCALDE</v>
      </c>
      <c r="F470" s="2">
        <v>2021130010158</v>
      </c>
      <c r="G470" s="2" t="str">
        <f>+VLOOKUP(F470,Hoja2!$F:$I,2,FALSE)</f>
        <v>08. PILAR CARTAGENA INCLUYENTE</v>
      </c>
      <c r="H470" s="2" t="str">
        <f>+VLOOKUP(F470,Hoja2!$F:$I,3,FALSE)</f>
        <v>8.1 LÍNEA ESTRATÉGICA: SUPERACIÓN DE LA POBREZA Y DESIGUALDAD.</v>
      </c>
      <c r="I470" s="2" t="str">
        <f>+VLOOKUP(F470,Hoja2!$F:$I,4,FALSE)</f>
        <v>8.1.1 PROGRAMA: IDENTIFICACIÓN PARA LA SUPERACION DE LA POBREZA EXTREMA Y DESIGUALDAD</v>
      </c>
      <c r="J470" t="s">
        <v>104</v>
      </c>
      <c r="K470" t="str">
        <f>"001"</f>
        <v>001</v>
      </c>
      <c r="L470" t="s">
        <v>25</v>
      </c>
      <c r="M470" t="s">
        <v>26</v>
      </c>
      <c r="N470" t="s">
        <v>27</v>
      </c>
      <c r="O470" t="s">
        <v>105</v>
      </c>
      <c r="P470" t="str">
        <f t="shared" si="66"/>
        <v>2021130010158 APOYO IDENTIFICACION PARA LA SUPERACION DE LA POBREZA Y DESIGUALDAD</v>
      </c>
      <c r="Q470" t="str">
        <f t="shared" si="63"/>
        <v>06</v>
      </c>
      <c r="R470" t="str">
        <f t="shared" si="64"/>
        <v>00</v>
      </c>
      <c r="S470" s="1">
        <v>452152464</v>
      </c>
      <c r="T470" s="1">
        <v>0</v>
      </c>
      <c r="U470" s="1">
        <v>452152464</v>
      </c>
      <c r="V470" s="1">
        <v>449041733</v>
      </c>
      <c r="W470" s="1">
        <v>3110731</v>
      </c>
      <c r="X470" s="1">
        <v>448623766</v>
      </c>
      <c r="Y470" s="1">
        <v>99.22</v>
      </c>
      <c r="Z470" s="1">
        <v>338981150</v>
      </c>
      <c r="AA470" s="1">
        <v>74.97</v>
      </c>
      <c r="AB470" s="1">
        <v>3528698</v>
      </c>
      <c r="AC470" s="1">
        <v>321481150</v>
      </c>
    </row>
    <row r="471" spans="1:29" x14ac:dyDescent="0.3">
      <c r="A471">
        <v>2022</v>
      </c>
      <c r="B471">
        <v>100</v>
      </c>
      <c r="C471" t="str">
        <f t="shared" si="68"/>
        <v>01</v>
      </c>
      <c r="D471" t="s">
        <v>23</v>
      </c>
      <c r="E471" t="str">
        <f t="shared" si="65"/>
        <v>01 DESPACHO DEL ALCALDE</v>
      </c>
      <c r="F471" s="2">
        <v>2021130010159</v>
      </c>
      <c r="G471" s="2" t="str">
        <f>+VLOOKUP(F471,Hoja2!$F:$I,2,FALSE)</f>
        <v>08. PILAR CARTAGENA INCLUYENTE</v>
      </c>
      <c r="H471" s="2" t="str">
        <f>+VLOOKUP(F471,Hoja2!$F:$I,3,FALSE)</f>
        <v>8.1 LÍNEA ESTRATÉGICA: SUPERACIÓN DE LA POBREZA Y DESIGUALDAD.</v>
      </c>
      <c r="I471" s="2" t="str">
        <f>+VLOOKUP(F471,Hoja2!$F:$I,4,FALSE)</f>
        <v xml:space="preserve">8.1.10 PROGRAMA: FORTALECIMIENTO INSTITUCIONAL PARA LA SUPERACION DE LA POBREZA EXTREMA Y DESIGUALDAD </v>
      </c>
      <c r="J471" t="s">
        <v>90</v>
      </c>
      <c r="K471" t="str">
        <f>"053"</f>
        <v>053</v>
      </c>
      <c r="L471" t="s">
        <v>91</v>
      </c>
      <c r="M471" t="s">
        <v>26</v>
      </c>
      <c r="N471" t="s">
        <v>27</v>
      </c>
      <c r="O471" t="s">
        <v>92</v>
      </c>
      <c r="P471" t="str">
        <f t="shared" si="66"/>
        <v xml:space="preserve">2021130010159 APOYO FORTALECIMIENTO PARA LA SUPERACION DE LA POBREZA EXTREMA Y DEISIGUALDAD </v>
      </c>
      <c r="Q471" t="str">
        <f t="shared" si="63"/>
        <v>06</v>
      </c>
      <c r="R471" t="str">
        <f t="shared" si="64"/>
        <v>00</v>
      </c>
      <c r="S471" s="1">
        <v>338000000</v>
      </c>
      <c r="T471" s="1">
        <v>0</v>
      </c>
      <c r="U471" s="1">
        <v>338000000</v>
      </c>
      <c r="V471" s="1">
        <v>337999964</v>
      </c>
      <c r="W471" s="1">
        <v>36</v>
      </c>
      <c r="X471" s="1">
        <v>310389730.67000002</v>
      </c>
      <c r="Y471" s="1">
        <v>91.83</v>
      </c>
      <c r="Z471" s="1">
        <v>48966666.670000002</v>
      </c>
      <c r="AA471" s="1">
        <v>14.49</v>
      </c>
      <c r="AB471" s="1">
        <v>27610269.329999998</v>
      </c>
      <c r="AC471" s="1">
        <v>43700000</v>
      </c>
    </row>
    <row r="472" spans="1:29" x14ac:dyDescent="0.3">
      <c r="A472">
        <v>2022</v>
      </c>
      <c r="B472">
        <v>100</v>
      </c>
      <c r="C472" t="str">
        <f t="shared" si="68"/>
        <v>01</v>
      </c>
      <c r="D472" t="s">
        <v>23</v>
      </c>
      <c r="E472" t="str">
        <f t="shared" si="65"/>
        <v>01 DESPACHO DEL ALCALDE</v>
      </c>
      <c r="F472" s="2">
        <v>2021130010159</v>
      </c>
      <c r="G472" s="2" t="str">
        <f>+VLOOKUP(F472,Hoja2!$F:$I,2,FALSE)</f>
        <v>08. PILAR CARTAGENA INCLUYENTE</v>
      </c>
      <c r="H472" s="2" t="str">
        <f>+VLOOKUP(F472,Hoja2!$F:$I,3,FALSE)</f>
        <v>8.1 LÍNEA ESTRATÉGICA: SUPERACIÓN DE LA POBREZA Y DESIGUALDAD.</v>
      </c>
      <c r="I472" s="2" t="str">
        <f>+VLOOKUP(F472,Hoja2!$F:$I,4,FALSE)</f>
        <v xml:space="preserve">8.1.10 PROGRAMA: FORTALECIMIENTO INSTITUCIONAL PARA LA SUPERACION DE LA POBREZA EXTREMA Y DESIGUALDAD </v>
      </c>
      <c r="J472" t="s">
        <v>90</v>
      </c>
      <c r="K472" t="str">
        <f>"001"</f>
        <v>001</v>
      </c>
      <c r="L472" t="s">
        <v>25</v>
      </c>
      <c r="M472" t="s">
        <v>26</v>
      </c>
      <c r="N472" t="s">
        <v>27</v>
      </c>
      <c r="O472" t="s">
        <v>92</v>
      </c>
      <c r="P472" t="str">
        <f t="shared" si="66"/>
        <v xml:space="preserve">2021130010159 APOYO FORTALECIMIENTO PARA LA SUPERACION DE LA POBREZA EXTREMA Y DEISIGUALDAD </v>
      </c>
      <c r="Q472" t="str">
        <f t="shared" si="63"/>
        <v>06</v>
      </c>
      <c r="R472" t="str">
        <f t="shared" si="64"/>
        <v>00</v>
      </c>
      <c r="S472" s="1">
        <v>1000000000</v>
      </c>
      <c r="T472" s="1">
        <v>0</v>
      </c>
      <c r="U472" s="1">
        <v>1000000000</v>
      </c>
      <c r="V472" s="1">
        <v>900000000</v>
      </c>
      <c r="W472" s="1">
        <v>100000000</v>
      </c>
      <c r="X472" s="1">
        <v>858664336</v>
      </c>
      <c r="Y472" s="1">
        <v>85.87</v>
      </c>
      <c r="Z472" s="1">
        <v>814664336</v>
      </c>
      <c r="AA472" s="1">
        <v>81.47</v>
      </c>
      <c r="AB472" s="1">
        <v>141335664</v>
      </c>
      <c r="AC472" s="1">
        <v>786764336</v>
      </c>
    </row>
    <row r="473" spans="1:29" x14ac:dyDescent="0.3">
      <c r="A473">
        <v>2022</v>
      </c>
      <c r="B473">
        <v>100</v>
      </c>
      <c r="C473" t="str">
        <f t="shared" si="68"/>
        <v>01</v>
      </c>
      <c r="D473" t="s">
        <v>23</v>
      </c>
      <c r="E473" t="str">
        <f t="shared" si="65"/>
        <v>01 DESPACHO DEL ALCALDE</v>
      </c>
      <c r="F473" s="2">
        <v>2021130010160</v>
      </c>
      <c r="G473" s="2" t="str">
        <f>+VLOOKUP(F473,Hoja2!$F:$I,2,FALSE)</f>
        <v>08. PILAR CARTAGENA INCLUYENTE</v>
      </c>
      <c r="H473" s="2" t="str">
        <f>+VLOOKUP(F473,Hoja2!$F:$I,3,FALSE)</f>
        <v>8.1 LÍNEA ESTRATÉGICA: SUPERACIÓN DE LA POBREZA Y DESIGUALDAD.</v>
      </c>
      <c r="I473" s="2" t="str">
        <f>+VLOOKUP(F473,Hoja2!$F:$I,4,FALSE)</f>
        <v>8.1.8 PROGRAMA: SEGURIDAD ALIMENTARIA Y NUTRICIÓN PARA LA SUPERACIÓN DE LA POBREZA EXTREMA</v>
      </c>
      <c r="J473" t="s">
        <v>24</v>
      </c>
      <c r="K473" t="str">
        <f>"001"</f>
        <v>001</v>
      </c>
      <c r="L473" t="s">
        <v>25</v>
      </c>
      <c r="M473" t="s">
        <v>26</v>
      </c>
      <c r="N473" t="s">
        <v>27</v>
      </c>
      <c r="O473" t="s">
        <v>28</v>
      </c>
      <c r="P473" t="str">
        <f t="shared" si="66"/>
        <v>2021130010160 APOYO SEGURIDAD ALIMENTARIA Y NUTRICION PARA LA SUPERACION DE LA POBREZA EXTREMA Y DESIGUALDAD</v>
      </c>
      <c r="Q473" t="str">
        <f t="shared" si="63"/>
        <v>06</v>
      </c>
      <c r="R473" t="str">
        <f t="shared" si="64"/>
        <v>00</v>
      </c>
      <c r="S473" s="1">
        <v>1000000000</v>
      </c>
      <c r="T473" s="1">
        <v>1706643408.97</v>
      </c>
      <c r="U473" s="1">
        <v>2706643408.9699998</v>
      </c>
      <c r="V473" s="1">
        <v>1193118784.96</v>
      </c>
      <c r="W473" s="1">
        <v>1513524624.01</v>
      </c>
      <c r="X473" s="1">
        <v>970700000</v>
      </c>
      <c r="Y473" s="1">
        <v>35.86</v>
      </c>
      <c r="Z473" s="1">
        <v>950200000</v>
      </c>
      <c r="AA473" s="1">
        <v>35.11</v>
      </c>
      <c r="AB473" s="1">
        <v>1735943408.97</v>
      </c>
      <c r="AC473" s="1">
        <v>950200000</v>
      </c>
    </row>
    <row r="474" spans="1:29" x14ac:dyDescent="0.3">
      <c r="A474">
        <v>2022</v>
      </c>
      <c r="B474">
        <v>100</v>
      </c>
      <c r="C474" t="str">
        <f t="shared" si="68"/>
        <v>01</v>
      </c>
      <c r="D474" t="s">
        <v>23</v>
      </c>
      <c r="E474" t="str">
        <f t="shared" si="65"/>
        <v>01 DESPACHO DEL ALCALDE</v>
      </c>
      <c r="F474" s="2">
        <v>2021130010160</v>
      </c>
      <c r="G474" s="2" t="str">
        <f>+VLOOKUP(F474,Hoja2!$F:$I,2,FALSE)</f>
        <v>08. PILAR CARTAGENA INCLUYENTE</v>
      </c>
      <c r="H474" s="2" t="str">
        <f>+VLOOKUP(F474,Hoja2!$F:$I,3,FALSE)</f>
        <v>8.1 LÍNEA ESTRATÉGICA: SUPERACIÓN DE LA POBREZA Y DESIGUALDAD.</v>
      </c>
      <c r="I474" s="2" t="str">
        <f>+VLOOKUP(F474,Hoja2!$F:$I,4,FALSE)</f>
        <v>8.1.8 PROGRAMA: SEGURIDAD ALIMENTARIA Y NUTRICIÓN PARA LA SUPERACIÓN DE LA POBREZA EXTREMA</v>
      </c>
      <c r="J474" t="s">
        <v>24</v>
      </c>
      <c r="K474" t="str">
        <f>"053"</f>
        <v>053</v>
      </c>
      <c r="L474" t="s">
        <v>91</v>
      </c>
      <c r="M474" t="s">
        <v>26</v>
      </c>
      <c r="N474" t="s">
        <v>27</v>
      </c>
      <c r="O474" t="s">
        <v>28</v>
      </c>
      <c r="P474" t="str">
        <f t="shared" si="66"/>
        <v>2021130010160 APOYO SEGURIDAD ALIMENTARIA Y NUTRICION PARA LA SUPERACION DE LA POBREZA EXTREMA Y DESIGUALDAD</v>
      </c>
      <c r="Q474" t="str">
        <f t="shared" si="63"/>
        <v>06</v>
      </c>
      <c r="R474" t="str">
        <f t="shared" si="64"/>
        <v>00</v>
      </c>
      <c r="S474" s="1">
        <v>600000000</v>
      </c>
      <c r="T474" s="1">
        <v>0</v>
      </c>
      <c r="U474" s="1">
        <v>600000000</v>
      </c>
      <c r="V474" s="1">
        <v>574437185.86000001</v>
      </c>
      <c r="W474" s="1">
        <v>25562814.140000001</v>
      </c>
      <c r="X474" s="1">
        <v>568728787.17999995</v>
      </c>
      <c r="Y474" s="1">
        <v>94.79</v>
      </c>
      <c r="Z474" s="1">
        <v>568728785.86000001</v>
      </c>
      <c r="AA474" s="1">
        <v>94.79</v>
      </c>
      <c r="AB474" s="1">
        <v>31271212.82</v>
      </c>
      <c r="AC474" s="1">
        <v>197086648</v>
      </c>
    </row>
    <row r="475" spans="1:29" x14ac:dyDescent="0.3">
      <c r="A475">
        <v>2022</v>
      </c>
      <c r="B475">
        <v>100</v>
      </c>
      <c r="C475" t="str">
        <f t="shared" si="68"/>
        <v>01</v>
      </c>
      <c r="D475" t="s">
        <v>23</v>
      </c>
      <c r="E475" t="str">
        <f t="shared" si="65"/>
        <v>01 DESPACHO DEL ALCALDE</v>
      </c>
      <c r="F475" s="2">
        <v>2021130010161</v>
      </c>
      <c r="G475" s="2" t="str">
        <f>+VLOOKUP(F475,Hoja2!$F:$I,2,FALSE)</f>
        <v>08. PILAR CARTAGENA INCLUYENTE</v>
      </c>
      <c r="H475" s="2" t="str">
        <f>+VLOOKUP(F475,Hoja2!$F:$I,3,FALSE)</f>
        <v>8.1 LÍNEA ESTRATÉGICA: SUPERACIÓN DE LA POBREZA Y DESIGUALDAD.</v>
      </c>
      <c r="I475" s="2" t="str">
        <f>+VLOOKUP(F475,Hoja2!$F:$I,4,FALSE)</f>
        <v>8.1.5 INGRESO Y TRABAJO PARA LA SUPERACIÓN DE LA POBREZA EXTREMA Y DESIGUALDAD</v>
      </c>
      <c r="J475" t="s">
        <v>29</v>
      </c>
      <c r="K475" t="str">
        <f>"001"</f>
        <v>001</v>
      </c>
      <c r="L475" t="s">
        <v>25</v>
      </c>
      <c r="M475" t="s">
        <v>26</v>
      </c>
      <c r="N475" t="s">
        <v>27</v>
      </c>
      <c r="O475" t="s">
        <v>30</v>
      </c>
      <c r="P475" t="str">
        <f t="shared" si="66"/>
        <v>2021130010161 APOYO INGRESO Y TRABAJO PARA LA SUPERACION DE LA POBREZA EXTREMA Y DESIGUALDAD</v>
      </c>
      <c r="Q475" t="str">
        <f t="shared" si="63"/>
        <v>06</v>
      </c>
      <c r="R475" t="str">
        <f t="shared" si="64"/>
        <v>00</v>
      </c>
      <c r="S475" s="1">
        <v>1230000000</v>
      </c>
      <c r="T475" s="1">
        <v>0</v>
      </c>
      <c r="U475" s="1">
        <v>1230000000</v>
      </c>
      <c r="V475" s="1">
        <v>1229906295</v>
      </c>
      <c r="W475" s="1">
        <v>93705</v>
      </c>
      <c r="X475" s="1">
        <v>1209000000</v>
      </c>
      <c r="Y475" s="1">
        <v>98.29</v>
      </c>
      <c r="Z475" s="1">
        <v>858550000</v>
      </c>
      <c r="AA475" s="1">
        <v>69.8</v>
      </c>
      <c r="AB475" s="1">
        <v>21000000</v>
      </c>
      <c r="AC475" s="1">
        <v>856550000</v>
      </c>
    </row>
    <row r="476" spans="1:29" x14ac:dyDescent="0.3">
      <c r="A476">
        <v>2022</v>
      </c>
      <c r="B476">
        <v>100</v>
      </c>
      <c r="C476" t="str">
        <f t="shared" si="68"/>
        <v>01</v>
      </c>
      <c r="D476" t="s">
        <v>23</v>
      </c>
      <c r="E476" t="str">
        <f t="shared" si="65"/>
        <v>01 DESPACHO DEL ALCALDE</v>
      </c>
      <c r="F476" s="2">
        <v>2021130010161</v>
      </c>
      <c r="G476" s="2" t="str">
        <f>+VLOOKUP(F476,Hoja2!$F:$I,2,FALSE)</f>
        <v>08. PILAR CARTAGENA INCLUYENTE</v>
      </c>
      <c r="H476" s="2" t="str">
        <f>+VLOOKUP(F476,Hoja2!$F:$I,3,FALSE)</f>
        <v>8.1 LÍNEA ESTRATÉGICA: SUPERACIÓN DE LA POBREZA Y DESIGUALDAD.</v>
      </c>
      <c r="I476" s="2" t="str">
        <f>+VLOOKUP(F476,Hoja2!$F:$I,4,FALSE)</f>
        <v>8.1.5 INGRESO Y TRABAJO PARA LA SUPERACIÓN DE LA POBREZA EXTREMA Y DESIGUALDAD</v>
      </c>
      <c r="J476" t="s">
        <v>29</v>
      </c>
      <c r="K476" t="str">
        <f>"869"</f>
        <v>869</v>
      </c>
      <c r="L476" t="s">
        <v>55</v>
      </c>
      <c r="M476" t="s">
        <v>26</v>
      </c>
      <c r="N476" t="s">
        <v>27</v>
      </c>
      <c r="O476" t="s">
        <v>30</v>
      </c>
      <c r="P476" t="str">
        <f t="shared" si="66"/>
        <v>2021130010161 APOYO INGRESO Y TRABAJO PARA LA SUPERACION DE LA POBREZA EXTREMA Y DESIGUALDAD</v>
      </c>
      <c r="Q476" t="str">
        <f t="shared" si="63"/>
        <v>06</v>
      </c>
      <c r="R476" t="str">
        <f t="shared" si="64"/>
        <v>00</v>
      </c>
      <c r="S476" s="1">
        <v>0</v>
      </c>
      <c r="T476" s="1">
        <v>1568523117.5</v>
      </c>
      <c r="U476" s="1">
        <v>1568523117.5</v>
      </c>
      <c r="V476" s="1">
        <v>8523000</v>
      </c>
      <c r="W476" s="1">
        <v>1560000117.5</v>
      </c>
      <c r="X476" s="1">
        <v>0</v>
      </c>
      <c r="Y476" s="1">
        <v>0</v>
      </c>
      <c r="Z476" s="1">
        <v>0</v>
      </c>
      <c r="AA476" s="1">
        <v>0</v>
      </c>
      <c r="AB476" s="1">
        <v>1568523117.5</v>
      </c>
      <c r="AC476" s="1">
        <v>0</v>
      </c>
    </row>
    <row r="477" spans="1:29" x14ac:dyDescent="0.3">
      <c r="A477">
        <v>2022</v>
      </c>
      <c r="B477">
        <v>100</v>
      </c>
      <c r="C477" t="str">
        <f t="shared" si="68"/>
        <v>01</v>
      </c>
      <c r="D477" t="s">
        <v>23</v>
      </c>
      <c r="E477" t="str">
        <f t="shared" si="65"/>
        <v>01 DESPACHO DEL ALCALDE</v>
      </c>
      <c r="F477" s="2">
        <v>2021130010161</v>
      </c>
      <c r="G477" s="2" t="str">
        <f>+VLOOKUP(F477,Hoja2!$F:$I,2,FALSE)</f>
        <v>08. PILAR CARTAGENA INCLUYENTE</v>
      </c>
      <c r="H477" s="2" t="str">
        <f>+VLOOKUP(F477,Hoja2!$F:$I,3,FALSE)</f>
        <v>8.1 LÍNEA ESTRATÉGICA: SUPERACIÓN DE LA POBREZA Y DESIGUALDAD.</v>
      </c>
      <c r="I477" s="2" t="str">
        <f>+VLOOKUP(F477,Hoja2!$F:$I,4,FALSE)</f>
        <v>8.1.5 INGRESO Y TRABAJO PARA LA SUPERACIÓN DE LA POBREZA EXTREMA Y DESIGUALDAD</v>
      </c>
      <c r="J477" t="s">
        <v>29</v>
      </c>
      <c r="K477" t="str">
        <f>"053"</f>
        <v>053</v>
      </c>
      <c r="L477" t="s">
        <v>91</v>
      </c>
      <c r="M477" t="s">
        <v>26</v>
      </c>
      <c r="N477" t="s">
        <v>27</v>
      </c>
      <c r="O477" t="s">
        <v>30</v>
      </c>
      <c r="P477" t="str">
        <f t="shared" si="66"/>
        <v>2021130010161 APOYO INGRESO Y TRABAJO PARA LA SUPERACION DE LA POBREZA EXTREMA Y DESIGUALDAD</v>
      </c>
      <c r="Q477" t="str">
        <f t="shared" si="63"/>
        <v>06</v>
      </c>
      <c r="R477" t="str">
        <f t="shared" si="64"/>
        <v>00</v>
      </c>
      <c r="S477" s="1">
        <v>1859408713</v>
      </c>
      <c r="T477" s="1">
        <v>0</v>
      </c>
      <c r="U477" s="1">
        <v>1859408713</v>
      </c>
      <c r="V477" s="1">
        <v>1847666000</v>
      </c>
      <c r="W477" s="1">
        <v>11742713</v>
      </c>
      <c r="X477" s="1">
        <v>49500000</v>
      </c>
      <c r="Y477" s="1">
        <v>2.66</v>
      </c>
      <c r="Z477" s="1">
        <v>49500000</v>
      </c>
      <c r="AA477" s="1">
        <v>2.66</v>
      </c>
      <c r="AB477" s="1">
        <v>1809908713</v>
      </c>
      <c r="AC477" s="1">
        <v>49500000</v>
      </c>
    </row>
    <row r="478" spans="1:29" x14ac:dyDescent="0.3">
      <c r="A478">
        <v>2022</v>
      </c>
      <c r="B478">
        <v>100</v>
      </c>
      <c r="C478" t="str">
        <f t="shared" si="68"/>
        <v>01</v>
      </c>
      <c r="D478" t="s">
        <v>23</v>
      </c>
      <c r="E478" t="str">
        <f t="shared" si="65"/>
        <v>01 DESPACHO DEL ALCALDE</v>
      </c>
      <c r="F478" s="2">
        <v>2021130010162</v>
      </c>
      <c r="G478" s="2" t="str">
        <f>+VLOOKUP(F478,Hoja2!$F:$I,2,FALSE)</f>
        <v>08. PILAR CARTAGENA INCLUYENTE</v>
      </c>
      <c r="H478" s="2" t="str">
        <f>+VLOOKUP(F478,Hoja2!$F:$I,3,FALSE)</f>
        <v>8.1 LÍNEA ESTRATÉGICA: SUPERACIÓN DE LA POBREZA Y DESIGUALDAD.</v>
      </c>
      <c r="I478" s="2" t="str">
        <f>+VLOOKUP(F478,Hoja2!$F:$I,4,FALSE)</f>
        <v>8.1.4 PROGRAMA: HABITABILIDAD PARA LA SUPERACIÓN DE LA POBREZA EXTREMA Y LA DESIGUALDAD</v>
      </c>
      <c r="J478" t="s">
        <v>31</v>
      </c>
      <c r="K478" t="str">
        <f>"001"</f>
        <v>001</v>
      </c>
      <c r="L478" t="s">
        <v>25</v>
      </c>
      <c r="M478" t="s">
        <v>26</v>
      </c>
      <c r="N478" t="s">
        <v>27</v>
      </c>
      <c r="O478" t="s">
        <v>32</v>
      </c>
      <c r="P478" t="str">
        <f t="shared" si="66"/>
        <v>2021130010162 APOYO HABITABILIDAD PARA LA SUPERACION DE LA POBREZA Y DESIGUALDAD</v>
      </c>
      <c r="Q478" t="str">
        <f t="shared" si="63"/>
        <v>06</v>
      </c>
      <c r="R478" t="str">
        <f t="shared" si="64"/>
        <v>00</v>
      </c>
      <c r="S478" s="1">
        <v>466720000</v>
      </c>
      <c r="T478" s="1">
        <v>10000000000</v>
      </c>
      <c r="U478" s="1">
        <v>10466720000</v>
      </c>
      <c r="V478" s="1">
        <v>10466720000</v>
      </c>
      <c r="W478" s="1">
        <v>0</v>
      </c>
      <c r="X478" s="1">
        <v>10433437958</v>
      </c>
      <c r="Y478" s="1">
        <v>99.68</v>
      </c>
      <c r="Z478" s="1">
        <v>299377411.19</v>
      </c>
      <c r="AA478" s="1">
        <v>2.86</v>
      </c>
      <c r="AB478" s="1">
        <v>33282042</v>
      </c>
      <c r="AC478" s="1">
        <v>297384078.19</v>
      </c>
    </row>
    <row r="479" spans="1:29" x14ac:dyDescent="0.3">
      <c r="A479">
        <v>2022</v>
      </c>
      <c r="B479">
        <v>100</v>
      </c>
      <c r="C479" t="str">
        <f t="shared" si="68"/>
        <v>01</v>
      </c>
      <c r="D479" t="s">
        <v>23</v>
      </c>
      <c r="E479" t="str">
        <f t="shared" si="65"/>
        <v>01 DESPACHO DEL ALCALDE</v>
      </c>
      <c r="F479" s="2">
        <v>2021130010162</v>
      </c>
      <c r="G479" s="2" t="str">
        <f>+VLOOKUP(F479,Hoja2!$F:$I,2,FALSE)</f>
        <v>08. PILAR CARTAGENA INCLUYENTE</v>
      </c>
      <c r="H479" s="2" t="str">
        <f>+VLOOKUP(F479,Hoja2!$F:$I,3,FALSE)</f>
        <v>8.1 LÍNEA ESTRATÉGICA: SUPERACIÓN DE LA POBREZA Y DESIGUALDAD.</v>
      </c>
      <c r="I479" s="2" t="str">
        <f>+VLOOKUP(F479,Hoja2!$F:$I,4,FALSE)</f>
        <v>8.1.4 PROGRAMA: HABITABILIDAD PARA LA SUPERACIÓN DE LA POBREZA EXTREMA Y LA DESIGUALDAD</v>
      </c>
      <c r="J479" t="s">
        <v>31</v>
      </c>
      <c r="K479" t="str">
        <f>"869"</f>
        <v>869</v>
      </c>
      <c r="L479" t="s">
        <v>55</v>
      </c>
      <c r="M479" t="s">
        <v>26</v>
      </c>
      <c r="N479" t="s">
        <v>27</v>
      </c>
      <c r="O479" t="s">
        <v>32</v>
      </c>
      <c r="P479" t="str">
        <f t="shared" si="66"/>
        <v>2021130010162 APOYO HABITABILIDAD PARA LA SUPERACION DE LA POBREZA Y DESIGUALDAD</v>
      </c>
      <c r="Q479" t="str">
        <f t="shared" si="63"/>
        <v>06</v>
      </c>
      <c r="R479" t="str">
        <f t="shared" si="64"/>
        <v>00</v>
      </c>
      <c r="S479" s="1">
        <v>0</v>
      </c>
      <c r="T479" s="1">
        <v>136928227.44999999</v>
      </c>
      <c r="U479" s="1">
        <v>136928227.44999999</v>
      </c>
      <c r="V479" s="1">
        <v>0</v>
      </c>
      <c r="W479" s="1">
        <v>136928227.44999999</v>
      </c>
      <c r="X479" s="1">
        <v>0</v>
      </c>
      <c r="Y479" s="1">
        <v>0</v>
      </c>
      <c r="Z479" s="1">
        <v>0</v>
      </c>
      <c r="AA479" s="1">
        <v>0</v>
      </c>
      <c r="AB479" s="1">
        <v>136928227.44999999</v>
      </c>
      <c r="AC479" s="1">
        <v>0</v>
      </c>
    </row>
    <row r="480" spans="1:29" x14ac:dyDescent="0.3">
      <c r="A480">
        <v>2022</v>
      </c>
      <c r="B480">
        <v>100</v>
      </c>
      <c r="C480" t="str">
        <f t="shared" si="68"/>
        <v>01</v>
      </c>
      <c r="D480" t="s">
        <v>23</v>
      </c>
      <c r="E480" t="str">
        <f t="shared" si="65"/>
        <v>01 DESPACHO DEL ALCALDE</v>
      </c>
      <c r="F480" s="2">
        <v>2021130010162</v>
      </c>
      <c r="G480" s="2" t="str">
        <f>+VLOOKUP(F480,Hoja2!$F:$I,2,FALSE)</f>
        <v>08. PILAR CARTAGENA INCLUYENTE</v>
      </c>
      <c r="H480" s="2" t="str">
        <f>+VLOOKUP(F480,Hoja2!$F:$I,3,FALSE)</f>
        <v>8.1 LÍNEA ESTRATÉGICA: SUPERACIÓN DE LA POBREZA Y DESIGUALDAD.</v>
      </c>
      <c r="I480" s="2" t="str">
        <f>+VLOOKUP(F480,Hoja2!$F:$I,4,FALSE)</f>
        <v>8.1.4 PROGRAMA: HABITABILIDAD PARA LA SUPERACIÓN DE LA POBREZA EXTREMA Y LA DESIGUALDAD</v>
      </c>
      <c r="J480" t="s">
        <v>31</v>
      </c>
      <c r="K480" t="str">
        <f>"053"</f>
        <v>053</v>
      </c>
      <c r="L480" t="s">
        <v>91</v>
      </c>
      <c r="M480" t="s">
        <v>26</v>
      </c>
      <c r="N480" t="s">
        <v>27</v>
      </c>
      <c r="O480" t="s">
        <v>32</v>
      </c>
      <c r="P480" t="str">
        <f t="shared" si="66"/>
        <v>2021130010162 APOYO HABITABILIDAD PARA LA SUPERACION DE LA POBREZA Y DESIGUALDAD</v>
      </c>
      <c r="Q480" t="str">
        <f t="shared" si="63"/>
        <v>06</v>
      </c>
      <c r="R480" t="str">
        <f t="shared" si="64"/>
        <v>00</v>
      </c>
      <c r="S480" s="1">
        <v>530000000</v>
      </c>
      <c r="T480" s="1">
        <v>0</v>
      </c>
      <c r="U480" s="1">
        <v>530000000</v>
      </c>
      <c r="V480" s="1">
        <v>530000000</v>
      </c>
      <c r="W480" s="1">
        <v>0</v>
      </c>
      <c r="X480" s="1">
        <v>530000000</v>
      </c>
      <c r="Y480" s="1">
        <v>100</v>
      </c>
      <c r="Z480" s="1">
        <v>530000000</v>
      </c>
      <c r="AA480" s="1">
        <v>100</v>
      </c>
      <c r="AB480" s="1">
        <v>0</v>
      </c>
      <c r="AC480" s="1">
        <v>530000000</v>
      </c>
    </row>
    <row r="481" spans="1:29" x14ac:dyDescent="0.3">
      <c r="A481">
        <v>2022</v>
      </c>
      <c r="B481">
        <v>100</v>
      </c>
      <c r="C481" t="str">
        <f t="shared" si="68"/>
        <v>01</v>
      </c>
      <c r="D481" t="s">
        <v>23</v>
      </c>
      <c r="E481" t="str">
        <f t="shared" si="65"/>
        <v>01 DESPACHO DEL ALCALDE</v>
      </c>
      <c r="F481" s="2">
        <v>2021130010163</v>
      </c>
      <c r="G481" s="2" t="str">
        <f>+VLOOKUP(F481,Hoja2!$F:$I,2,FALSE)</f>
        <v>08. PILAR CARTAGENA INCLUYENTE</v>
      </c>
      <c r="H481" s="2" t="str">
        <f>+VLOOKUP(F481,Hoja2!$F:$I,3,FALSE)</f>
        <v>8.1 LÍNEA ESTRATÉGICA: SUPERACIÓN DE LA POBREZA Y DESIGUALDAD.</v>
      </c>
      <c r="I481" s="2" t="str">
        <f>+VLOOKUP(F481,Hoja2!$F:$I,4,FALSE)</f>
        <v>8.1.6 PROGRAMA: BANCARIZACIÓN PARA LA SUPERACIÓN DE LA POBREZA EXTREMA Y DESIGUALDAD</v>
      </c>
      <c r="J481" t="s">
        <v>33</v>
      </c>
      <c r="K481" t="str">
        <f>"001"</f>
        <v>001</v>
      </c>
      <c r="L481" t="s">
        <v>25</v>
      </c>
      <c r="M481" t="s">
        <v>26</v>
      </c>
      <c r="N481" t="s">
        <v>27</v>
      </c>
      <c r="O481" t="s">
        <v>34</v>
      </c>
      <c r="P481" t="str">
        <f t="shared" si="66"/>
        <v>2021130010163 APOYO BANCARIZACION PARA LA SUPERACION DE LA POBREZA EXTREMA Y DESIGUALDAD-0 ESTRUCTURAR EL ACCESO DE LA POBLACION EN POBREZA EXTREMA DEL DISTRITO DE CARTAGENA AL SISTEMA FINANCIERO</v>
      </c>
      <c r="Q481" t="str">
        <f t="shared" si="63"/>
        <v>06</v>
      </c>
      <c r="R481" t="str">
        <f t="shared" si="64"/>
        <v>00</v>
      </c>
      <c r="S481" s="1">
        <v>371957705</v>
      </c>
      <c r="T481" s="1">
        <v>0</v>
      </c>
      <c r="U481" s="1">
        <v>371957705</v>
      </c>
      <c r="V481" s="1">
        <v>371957705</v>
      </c>
      <c r="W481" s="1">
        <v>0</v>
      </c>
      <c r="X481" s="1">
        <v>296214389</v>
      </c>
      <c r="Y481" s="1">
        <v>79.64</v>
      </c>
      <c r="Z481" s="1">
        <v>287414389</v>
      </c>
      <c r="AA481" s="1">
        <v>77.27</v>
      </c>
      <c r="AB481" s="1">
        <v>75743316</v>
      </c>
      <c r="AC481" s="1">
        <v>285214389</v>
      </c>
    </row>
    <row r="482" spans="1:29" x14ac:dyDescent="0.3">
      <c r="A482">
        <v>2022</v>
      </c>
      <c r="B482">
        <v>100</v>
      </c>
      <c r="C482" t="str">
        <f t="shared" si="68"/>
        <v>01</v>
      </c>
      <c r="D482" t="s">
        <v>23</v>
      </c>
      <c r="E482" t="str">
        <f t="shared" si="65"/>
        <v>01 DESPACHO DEL ALCALDE</v>
      </c>
      <c r="F482" s="2">
        <v>2021130010164</v>
      </c>
      <c r="G482" s="2" t="str">
        <f>+VLOOKUP(F482,Hoja2!$F:$I,2,FALSE)</f>
        <v>08. PILAR CARTAGENA INCLUYENTE</v>
      </c>
      <c r="H482" s="2" t="str">
        <f>+VLOOKUP(F482,Hoja2!$F:$I,3,FALSE)</f>
        <v>8.1 LÍNEA ESTRATÉGICA: SUPERACIÓN DE LA POBREZA Y DESIGUALDAD.</v>
      </c>
      <c r="I482" s="2" t="str">
        <f>+VLOOKUP(F482,Hoja2!$F:$I,4,FALSE)</f>
        <v>8.1.9 PROGRAMA: ACCESO A LA JUSTICIA PARA LA SUPERACIÓN DE LA POBREZA EXTREMA Y DESIGUALDAD</v>
      </c>
      <c r="J482" t="s">
        <v>35</v>
      </c>
      <c r="K482" t="str">
        <f>"001"</f>
        <v>001</v>
      </c>
      <c r="L482" t="s">
        <v>25</v>
      </c>
      <c r="M482" t="s">
        <v>26</v>
      </c>
      <c r="N482" t="s">
        <v>27</v>
      </c>
      <c r="O482" t="s">
        <v>36</v>
      </c>
      <c r="P482" t="str">
        <f t="shared" si="66"/>
        <v>2021130010164  APOYO ACCESO A LA JUSTICIA PARA LA SUPERACION DE LA POBREZA Y DESIGUALDAD</v>
      </c>
      <c r="Q482" t="str">
        <f t="shared" si="63"/>
        <v>06</v>
      </c>
      <c r="R482" t="str">
        <f t="shared" si="64"/>
        <v>00</v>
      </c>
      <c r="S482" s="1">
        <v>400000000</v>
      </c>
      <c r="T482" s="1">
        <v>0</v>
      </c>
      <c r="U482" s="1">
        <v>400000000</v>
      </c>
      <c r="V482" s="1">
        <v>380000000</v>
      </c>
      <c r="W482" s="1">
        <v>20000000</v>
      </c>
      <c r="X482" s="1">
        <v>345800000</v>
      </c>
      <c r="Y482" s="1">
        <v>86.45</v>
      </c>
      <c r="Z482" s="1">
        <v>254220000</v>
      </c>
      <c r="AA482" s="1">
        <v>63.56</v>
      </c>
      <c r="AB482" s="1">
        <v>54200000</v>
      </c>
      <c r="AC482" s="1">
        <v>250820000</v>
      </c>
    </row>
    <row r="483" spans="1:29" x14ac:dyDescent="0.3">
      <c r="A483">
        <v>2022</v>
      </c>
      <c r="B483">
        <v>100</v>
      </c>
      <c r="C483" t="str">
        <f t="shared" si="68"/>
        <v>01</v>
      </c>
      <c r="D483" t="s">
        <v>23</v>
      </c>
      <c r="E483" t="str">
        <f t="shared" si="65"/>
        <v>01 DESPACHO DEL ALCALDE</v>
      </c>
      <c r="F483" s="2">
        <v>2021130010165</v>
      </c>
      <c r="G483" s="2" t="str">
        <f>+VLOOKUP(F483,Hoja2!$F:$I,2,FALSE)</f>
        <v>08. PILAR CARTAGENA INCLUYENTE</v>
      </c>
      <c r="H483" s="2" t="str">
        <f>+VLOOKUP(F483,Hoja2!$F:$I,3,FALSE)</f>
        <v>8.1 LÍNEA ESTRATÉGICA: SUPERACIÓN DE LA POBREZA Y DESIGUALDAD.</v>
      </c>
      <c r="I483" s="2" t="str">
        <f>+VLOOKUP(F483,Hoja2!$F:$I,4,FALSE)</f>
        <v>8.1.2 PROGRAMA: SALUD PARA LA SUPERACIÓN DE LA POBREZA EXTREMA Y DESIGUALDAD</v>
      </c>
      <c r="J483" t="s">
        <v>37</v>
      </c>
      <c r="K483" t="str">
        <f>"001"</f>
        <v>001</v>
      </c>
      <c r="L483" t="s">
        <v>25</v>
      </c>
      <c r="M483" t="s">
        <v>26</v>
      </c>
      <c r="N483" t="s">
        <v>27</v>
      </c>
      <c r="O483" t="s">
        <v>38</v>
      </c>
      <c r="P483" t="str">
        <f t="shared" si="66"/>
        <v xml:space="preserve">2021130010165 APOYO SALUD PARA LA SUPERACION DE LA POBREZA Y DESIGUALDAD </v>
      </c>
      <c r="Q483" t="str">
        <f t="shared" si="63"/>
        <v>06</v>
      </c>
      <c r="R483" t="str">
        <f t="shared" si="64"/>
        <v>00</v>
      </c>
      <c r="S483" s="1">
        <v>300000000</v>
      </c>
      <c r="T483" s="1">
        <v>0</v>
      </c>
      <c r="U483" s="1">
        <v>300000000</v>
      </c>
      <c r="V483" s="1">
        <v>257300000</v>
      </c>
      <c r="W483" s="1">
        <v>42700000</v>
      </c>
      <c r="X483" s="1">
        <v>256533333</v>
      </c>
      <c r="Y483" s="1">
        <v>85.51</v>
      </c>
      <c r="Z483" s="1">
        <v>256533333</v>
      </c>
      <c r="AA483" s="1">
        <v>85.51</v>
      </c>
      <c r="AB483" s="1">
        <v>43466667</v>
      </c>
      <c r="AC483" s="1">
        <v>214480000</v>
      </c>
    </row>
    <row r="484" spans="1:29" x14ac:dyDescent="0.3">
      <c r="A484">
        <v>2022</v>
      </c>
      <c r="B484">
        <v>100</v>
      </c>
      <c r="C484" t="str">
        <f>"23"</f>
        <v>23</v>
      </c>
      <c r="D484" t="s">
        <v>959</v>
      </c>
      <c r="E484" t="str">
        <f t="shared" si="65"/>
        <v>23 LOCALIDAD INDUSTRIAL Y DE LA BAHIA</v>
      </c>
      <c r="F484" s="2">
        <v>2021130010166</v>
      </c>
      <c r="G484" s="2" t="str">
        <f>+VLOOKUP(F484,Hoja2!$F:$I,2,FALSE)</f>
        <v>10. PILAR: CARTAGENA TRANSPARENTE</v>
      </c>
      <c r="H484" s="2" t="str">
        <f>+VLOOKUP(F484,Hoja2!$F:$I,3,FALSE)</f>
        <v>10.7 LÍNEA ESTRATÉGICA: PARTICIPACIÓN Y DESCENTRALIZACIÓN</v>
      </c>
      <c r="I484" s="2" t="str">
        <f>+VLOOKUP(F484,Hoja2!$F:$I,4,FALSE)</f>
        <v xml:space="preserve">10.7.2 PROGRAMA: MODERNIZACIÓN DEL SISTEMA DISTRITAL DE PLANEACIÓN Y DESCENTRALIZACIÓN  </v>
      </c>
      <c r="J484" t="s">
        <v>1003</v>
      </c>
      <c r="K484" t="str">
        <f>"001"</f>
        <v>001</v>
      </c>
      <c r="L484" t="s">
        <v>25</v>
      </c>
      <c r="M484" t="s">
        <v>26</v>
      </c>
      <c r="N484" t="s">
        <v>27</v>
      </c>
      <c r="O484" t="s">
        <v>1004</v>
      </c>
      <c r="P484" t="str">
        <f t="shared" si="66"/>
        <v>2021130010166 REHABILITACION Y RECONSTRUCCION DE LA MALLA VIAL DE LA LOCALIDAD INDUSTRIAL Y DE LA BAHIA CARTAGENA DE INDIAS</v>
      </c>
      <c r="Q484" t="str">
        <f t="shared" si="63"/>
        <v>06</v>
      </c>
      <c r="R484" t="str">
        <f t="shared" si="64"/>
        <v>00</v>
      </c>
      <c r="S484" s="1">
        <v>0</v>
      </c>
      <c r="T484" s="1">
        <v>2500000000</v>
      </c>
      <c r="U484" s="1">
        <v>2500000000</v>
      </c>
      <c r="V484" s="1">
        <v>0</v>
      </c>
      <c r="W484" s="1">
        <v>2500000000</v>
      </c>
      <c r="X484" s="1">
        <v>0</v>
      </c>
      <c r="Y484" s="1">
        <v>0</v>
      </c>
      <c r="Z484" s="1">
        <v>0</v>
      </c>
      <c r="AA484" s="1">
        <v>0</v>
      </c>
      <c r="AB484" s="1">
        <v>2500000000</v>
      </c>
      <c r="AC484" s="1">
        <v>0</v>
      </c>
    </row>
    <row r="485" spans="1:29" x14ac:dyDescent="0.3">
      <c r="A485">
        <v>2022</v>
      </c>
      <c r="B485">
        <v>100</v>
      </c>
      <c r="C485" t="str">
        <f>"16"</f>
        <v>16</v>
      </c>
      <c r="D485" t="s">
        <v>833</v>
      </c>
      <c r="E485" t="str">
        <f t="shared" si="65"/>
        <v>16 FONDO DE VIVIENDA DE INTERES SOCIAL Y REFORMA URBANA</v>
      </c>
      <c r="F485" s="2">
        <v>2021130010167</v>
      </c>
      <c r="G485" s="2" t="str">
        <f>+VLOOKUP(F485,Hoja2!$F:$I,2,FALSE)</f>
        <v>07. PILAR CARTAGENA RESILIENTE</v>
      </c>
      <c r="H485" s="2" t="str">
        <f>+VLOOKUP(F485,Hoja2!$F:$I,3,FALSE)</f>
        <v>7.5 LÍNEA ESTRATÉGICA VIVIENDA PARA TODOS</v>
      </c>
      <c r="I485" s="2" t="str">
        <f>+VLOOKUP(F485,Hoja2!$F:$I,4,FALSE)</f>
        <v>7.5.4 UN LUGAR APTO PARA MI HOGAR</v>
      </c>
      <c r="J485" t="s">
        <v>845</v>
      </c>
      <c r="K485" t="str">
        <f>"039"</f>
        <v>039</v>
      </c>
      <c r="L485" t="s">
        <v>839</v>
      </c>
      <c r="M485" t="s">
        <v>26</v>
      </c>
      <c r="N485" t="s">
        <v>27</v>
      </c>
      <c r="O485" t="s">
        <v>846</v>
      </c>
      <c r="P485" t="str">
        <f t="shared" si="66"/>
        <v>2021130010167 ELABORACION DE DTS Y ADQUISICION DE TIERRAS POR ENAJENACION, EXPROPIACION, EXTINCION DE DOMINIO, CESION, DONACION Y/O COMPRAVENTA PARA LA CONSTRUCCION DE VIVIENDA VIS/VIP DEL PROGRAMA UN LUGAR APTO PARA MI HOGAR CARTAGENA DE INDIAS</v>
      </c>
      <c r="Q485" t="str">
        <f t="shared" si="63"/>
        <v>06</v>
      </c>
      <c r="R485" t="str">
        <f t="shared" si="64"/>
        <v>00</v>
      </c>
      <c r="S485" s="1">
        <v>90861993</v>
      </c>
      <c r="T485" s="1">
        <v>0</v>
      </c>
      <c r="U485" s="1">
        <v>90861993</v>
      </c>
      <c r="V485" s="1">
        <v>68000000</v>
      </c>
      <c r="W485" s="1">
        <v>22861993</v>
      </c>
      <c r="X485" s="1">
        <v>68000000</v>
      </c>
      <c r="Y485" s="1">
        <v>74.84</v>
      </c>
      <c r="Z485" s="1">
        <v>68000000</v>
      </c>
      <c r="AA485" s="1">
        <v>74.84</v>
      </c>
      <c r="AB485" s="1">
        <v>22861993</v>
      </c>
      <c r="AC485" s="1">
        <v>68000000</v>
      </c>
    </row>
    <row r="486" spans="1:29" x14ac:dyDescent="0.3">
      <c r="A486">
        <v>2022</v>
      </c>
      <c r="B486">
        <v>100</v>
      </c>
      <c r="C486" t="str">
        <f t="shared" ref="C486:C493" si="69">"10"</f>
        <v>10</v>
      </c>
      <c r="D486" t="s">
        <v>601</v>
      </c>
      <c r="E486" t="str">
        <f t="shared" si="65"/>
        <v>10 DEPARTAMENTO ADMINISTRATIVO DE SALUD</v>
      </c>
      <c r="F486" s="2">
        <v>2021130010168</v>
      </c>
      <c r="G486" s="2" t="str">
        <f>+VLOOKUP(F486,Hoja2!$F:$I,2,FALSE)</f>
        <v>08. PILAR CARTAGENA INCLUYENTE</v>
      </c>
      <c r="H486" s="2" t="str">
        <f>+VLOOKUP(F486,Hoja2!$F:$I,3,FALSE)</f>
        <v>8.3 LÍNEA ESTRATÉGICA SALUD PARA TODOS</v>
      </c>
      <c r="I486" s="2" t="str">
        <f>+VLOOKUP(F486,Hoja2!$F:$I,4,FALSE)</f>
        <v>8.3.1 PROGRAMA: FORTALECIMIENTO DE LA AUTORIDAD SANITARIA</v>
      </c>
      <c r="J486" t="s">
        <v>610</v>
      </c>
      <c r="K486" t="str">
        <f>"001"</f>
        <v>001</v>
      </c>
      <c r="L486" t="s">
        <v>25</v>
      </c>
      <c r="M486" t="s">
        <v>26</v>
      </c>
      <c r="N486" t="s">
        <v>27</v>
      </c>
      <c r="O486" t="s">
        <v>611</v>
      </c>
      <c r="P486" t="str">
        <f t="shared" si="66"/>
        <v>2021130010168 FORTALECIMIENTO DEL CENTRO DE OPERACIONES Y EMERGENCIAS EN SALUD DEL DISTRITO DE  CARTAGENA DE INDIAS</v>
      </c>
      <c r="Q486" t="str">
        <f t="shared" si="63"/>
        <v>06</v>
      </c>
      <c r="R486" t="str">
        <f t="shared" si="64"/>
        <v>00</v>
      </c>
      <c r="S486" s="1">
        <v>275000000</v>
      </c>
      <c r="T486" s="1">
        <v>0</v>
      </c>
      <c r="U486" s="1">
        <v>275000000</v>
      </c>
      <c r="V486" s="1">
        <v>210000000</v>
      </c>
      <c r="W486" s="1">
        <v>65000000</v>
      </c>
      <c r="X486" s="1">
        <v>210000000</v>
      </c>
      <c r="Y486" s="1">
        <v>76.36</v>
      </c>
      <c r="Z486" s="1">
        <v>210000000</v>
      </c>
      <c r="AA486" s="1">
        <v>76.36</v>
      </c>
      <c r="AB486" s="1">
        <v>65000000</v>
      </c>
      <c r="AC486" s="1">
        <v>195000000</v>
      </c>
    </row>
    <row r="487" spans="1:29" x14ac:dyDescent="0.3">
      <c r="A487">
        <v>2022</v>
      </c>
      <c r="B487">
        <v>100</v>
      </c>
      <c r="C487" t="str">
        <f t="shared" si="69"/>
        <v>10</v>
      </c>
      <c r="D487" t="s">
        <v>601</v>
      </c>
      <c r="E487" t="str">
        <f t="shared" si="65"/>
        <v>10 DEPARTAMENTO ADMINISTRATIVO DE SALUD</v>
      </c>
      <c r="F487" s="2">
        <v>2021130010169</v>
      </c>
      <c r="G487" s="2" t="str">
        <f>+VLOOKUP(F487,Hoja2!$F:$I,2,FALSE)</f>
        <v>08. PILAR CARTAGENA INCLUYENTE</v>
      </c>
      <c r="H487" s="2" t="str">
        <f>+VLOOKUP(F487,Hoja2!$F:$I,3,FALSE)</f>
        <v>8.3 LÍNEA ESTRATÉGICA SALUD PARA TODOS</v>
      </c>
      <c r="I487" s="2" t="str">
        <f>+VLOOKUP(F487,Hoja2!$F:$I,4,FALSE)</f>
        <v>8.3.9 SALUD PÚBLICA EN EMERGENCIAS Y DESASTRES</v>
      </c>
      <c r="J487" t="s">
        <v>612</v>
      </c>
      <c r="K487" t="str">
        <f>"001"</f>
        <v>001</v>
      </c>
      <c r="L487" t="s">
        <v>25</v>
      </c>
      <c r="M487" t="s">
        <v>26</v>
      </c>
      <c r="N487" t="s">
        <v>27</v>
      </c>
      <c r="O487" t="s">
        <v>613</v>
      </c>
      <c r="P487" t="str">
        <f t="shared" si="66"/>
        <v>2021130010169 SERVICIO  DE GESTION INTEGRAL Y RESPUESTA EN SALUD ANTE EMERGENCIAS Y DESASTRES EN EL DISTRITO DE   CARTAGENA DE INDIAS</v>
      </c>
      <c r="Q487" t="str">
        <f t="shared" si="63"/>
        <v>06</v>
      </c>
      <c r="R487" t="str">
        <f t="shared" si="64"/>
        <v>00</v>
      </c>
      <c r="S487" s="1">
        <v>900000000</v>
      </c>
      <c r="T487" s="1">
        <v>0</v>
      </c>
      <c r="U487" s="1">
        <v>900000000</v>
      </c>
      <c r="V487" s="1">
        <v>898900000</v>
      </c>
      <c r="W487" s="1">
        <v>1100000</v>
      </c>
      <c r="X487" s="1">
        <v>896250000</v>
      </c>
      <c r="Y487" s="1">
        <v>99.58</v>
      </c>
      <c r="Z487" s="1">
        <v>892400000</v>
      </c>
      <c r="AA487" s="1">
        <v>99.16</v>
      </c>
      <c r="AB487" s="1">
        <v>3750000</v>
      </c>
      <c r="AC487" s="1">
        <v>878650000</v>
      </c>
    </row>
    <row r="488" spans="1:29" x14ac:dyDescent="0.3">
      <c r="A488">
        <v>2022</v>
      </c>
      <c r="B488">
        <v>100</v>
      </c>
      <c r="C488" t="str">
        <f t="shared" si="69"/>
        <v>10</v>
      </c>
      <c r="D488" t="s">
        <v>601</v>
      </c>
      <c r="E488" t="str">
        <f t="shared" si="65"/>
        <v>10 DEPARTAMENTO ADMINISTRATIVO DE SALUD</v>
      </c>
      <c r="F488" s="2">
        <v>2021130010169</v>
      </c>
      <c r="G488" s="2" t="str">
        <f>+VLOOKUP(F488,Hoja2!$F:$I,2,FALSE)</f>
        <v>08. PILAR CARTAGENA INCLUYENTE</v>
      </c>
      <c r="H488" s="2" t="str">
        <f>+VLOOKUP(F488,Hoja2!$F:$I,3,FALSE)</f>
        <v>8.3 LÍNEA ESTRATÉGICA SALUD PARA TODOS</v>
      </c>
      <c r="I488" s="2" t="str">
        <f>+VLOOKUP(F488,Hoja2!$F:$I,4,FALSE)</f>
        <v>8.3.9 SALUD PÚBLICA EN EMERGENCIAS Y DESASTRES</v>
      </c>
      <c r="J488" t="s">
        <v>612</v>
      </c>
      <c r="K488" t="str">
        <f>"889"</f>
        <v>889</v>
      </c>
      <c r="L488" t="s">
        <v>672</v>
      </c>
      <c r="M488" t="s">
        <v>26</v>
      </c>
      <c r="N488" t="s">
        <v>27</v>
      </c>
      <c r="O488" t="s">
        <v>613</v>
      </c>
      <c r="P488" t="str">
        <f t="shared" si="66"/>
        <v>2021130010169 SERVICIO  DE GESTION INTEGRAL Y RESPUESTA EN SALUD ANTE EMERGENCIAS Y DESASTRES EN EL DISTRITO DE   CARTAGENA DE INDIAS</v>
      </c>
      <c r="Q488" t="str">
        <f t="shared" si="63"/>
        <v>06</v>
      </c>
      <c r="R488" t="str">
        <f t="shared" si="64"/>
        <v>00</v>
      </c>
      <c r="S488" s="1">
        <v>0</v>
      </c>
      <c r="T488" s="1">
        <v>191713562</v>
      </c>
      <c r="U488" s="1">
        <v>191713562</v>
      </c>
      <c r="V488" s="1">
        <v>100000000</v>
      </c>
      <c r="W488" s="1">
        <v>91713562</v>
      </c>
      <c r="X488" s="1">
        <v>47500000</v>
      </c>
      <c r="Y488" s="1">
        <v>24.78</v>
      </c>
      <c r="Z488" s="1">
        <v>47500000</v>
      </c>
      <c r="AA488" s="1">
        <v>24.78</v>
      </c>
      <c r="AB488" s="1">
        <v>144213562</v>
      </c>
      <c r="AC488" s="1">
        <v>10000000</v>
      </c>
    </row>
    <row r="489" spans="1:29" x14ac:dyDescent="0.3">
      <c r="A489">
        <v>2022</v>
      </c>
      <c r="B489">
        <v>100</v>
      </c>
      <c r="C489" t="str">
        <f t="shared" si="69"/>
        <v>10</v>
      </c>
      <c r="D489" t="s">
        <v>601</v>
      </c>
      <c r="E489" t="str">
        <f t="shared" si="65"/>
        <v>10 DEPARTAMENTO ADMINISTRATIVO DE SALUD</v>
      </c>
      <c r="F489" s="2">
        <v>2021130010169</v>
      </c>
      <c r="G489" s="2" t="str">
        <f>+VLOOKUP(F489,Hoja2!$F:$I,2,FALSE)</f>
        <v>08. PILAR CARTAGENA INCLUYENTE</v>
      </c>
      <c r="H489" s="2" t="str">
        <f>+VLOOKUP(F489,Hoja2!$F:$I,3,FALSE)</f>
        <v>8.3 LÍNEA ESTRATÉGICA SALUD PARA TODOS</v>
      </c>
      <c r="I489" s="2" t="str">
        <f>+VLOOKUP(F489,Hoja2!$F:$I,4,FALSE)</f>
        <v>8.3.9 SALUD PÚBLICA EN EMERGENCIAS Y DESASTRES</v>
      </c>
      <c r="J489" t="s">
        <v>612</v>
      </c>
      <c r="K489" t="str">
        <f>"894"</f>
        <v>894</v>
      </c>
      <c r="L489" t="s">
        <v>680</v>
      </c>
      <c r="M489" t="s">
        <v>26</v>
      </c>
      <c r="N489" t="s">
        <v>27</v>
      </c>
      <c r="O489" t="s">
        <v>613</v>
      </c>
      <c r="P489" t="str">
        <f t="shared" si="66"/>
        <v>2021130010169 SERVICIO  DE GESTION INTEGRAL Y RESPUESTA EN SALUD ANTE EMERGENCIAS Y DESASTRES EN EL DISTRITO DE   CARTAGENA DE INDIAS</v>
      </c>
      <c r="Q489" t="str">
        <f t="shared" si="63"/>
        <v>06</v>
      </c>
      <c r="R489" t="str">
        <f t="shared" si="64"/>
        <v>00</v>
      </c>
      <c r="S489" s="1">
        <v>0</v>
      </c>
      <c r="T489" s="1">
        <v>2086877</v>
      </c>
      <c r="U489" s="1">
        <v>2086877</v>
      </c>
      <c r="V489" s="1">
        <v>0</v>
      </c>
      <c r="W489" s="1">
        <v>2086877</v>
      </c>
      <c r="X489" s="1">
        <v>0</v>
      </c>
      <c r="Y489" s="1">
        <v>0</v>
      </c>
      <c r="Z489" s="1">
        <v>0</v>
      </c>
      <c r="AA489" s="1">
        <v>0</v>
      </c>
      <c r="AB489" s="1">
        <v>2086877</v>
      </c>
      <c r="AC489" s="1">
        <v>0</v>
      </c>
    </row>
    <row r="490" spans="1:29" x14ac:dyDescent="0.3">
      <c r="A490">
        <v>2022</v>
      </c>
      <c r="B490">
        <v>100</v>
      </c>
      <c r="C490" t="str">
        <f t="shared" si="69"/>
        <v>10</v>
      </c>
      <c r="D490" t="s">
        <v>601</v>
      </c>
      <c r="E490" t="str">
        <f t="shared" si="65"/>
        <v>10 DEPARTAMENTO ADMINISTRATIVO DE SALUD</v>
      </c>
      <c r="F490" s="2">
        <v>2021130010169</v>
      </c>
      <c r="G490" s="2" t="str">
        <f>+VLOOKUP(F490,Hoja2!$F:$I,2,FALSE)</f>
        <v>08. PILAR CARTAGENA INCLUYENTE</v>
      </c>
      <c r="H490" s="2" t="str">
        <f>+VLOOKUP(F490,Hoja2!$F:$I,3,FALSE)</f>
        <v>8.3 LÍNEA ESTRATÉGICA SALUD PARA TODOS</v>
      </c>
      <c r="I490" s="2" t="str">
        <f>+VLOOKUP(F490,Hoja2!$F:$I,4,FALSE)</f>
        <v>8.3.9 SALUD PÚBLICA EN EMERGENCIAS Y DESASTRES</v>
      </c>
      <c r="J490" t="s">
        <v>612</v>
      </c>
      <c r="K490" t="str">
        <f>"895"</f>
        <v>895</v>
      </c>
      <c r="L490" t="s">
        <v>681</v>
      </c>
      <c r="M490" t="s">
        <v>26</v>
      </c>
      <c r="N490" t="s">
        <v>27</v>
      </c>
      <c r="O490" t="s">
        <v>613</v>
      </c>
      <c r="P490" t="str">
        <f t="shared" si="66"/>
        <v>2021130010169 SERVICIO  DE GESTION INTEGRAL Y RESPUESTA EN SALUD ANTE EMERGENCIAS Y DESASTRES EN EL DISTRITO DE   CARTAGENA DE INDIAS</v>
      </c>
      <c r="Q490" t="str">
        <f t="shared" si="63"/>
        <v>06</v>
      </c>
      <c r="R490" t="str">
        <f t="shared" si="64"/>
        <v>00</v>
      </c>
      <c r="S490" s="1">
        <v>0</v>
      </c>
      <c r="T490" s="1">
        <v>14286438</v>
      </c>
      <c r="U490" s="1">
        <v>14286438</v>
      </c>
      <c r="V490" s="1">
        <v>0</v>
      </c>
      <c r="W490" s="1">
        <v>14286438</v>
      </c>
      <c r="X490" s="1">
        <v>0</v>
      </c>
      <c r="Y490" s="1">
        <v>0</v>
      </c>
      <c r="Z490" s="1">
        <v>0</v>
      </c>
      <c r="AA490" s="1">
        <v>0</v>
      </c>
      <c r="AB490" s="1">
        <v>14286438</v>
      </c>
      <c r="AC490" s="1">
        <v>0</v>
      </c>
    </row>
    <row r="491" spans="1:29" x14ac:dyDescent="0.3">
      <c r="A491">
        <v>2022</v>
      </c>
      <c r="B491">
        <v>100</v>
      </c>
      <c r="C491" t="str">
        <f t="shared" si="69"/>
        <v>10</v>
      </c>
      <c r="D491" t="s">
        <v>601</v>
      </c>
      <c r="E491" t="str">
        <f t="shared" si="65"/>
        <v>10 DEPARTAMENTO ADMINISTRATIVO DE SALUD</v>
      </c>
      <c r="F491" s="2">
        <v>2021130010170</v>
      </c>
      <c r="G491" s="2" t="str">
        <f>+VLOOKUP(F491,Hoja2!$F:$I,2,FALSE)</f>
        <v>08. PILAR CARTAGENA INCLUYENTE</v>
      </c>
      <c r="H491" s="2" t="str">
        <f>+VLOOKUP(F491,Hoja2!$F:$I,3,FALSE)</f>
        <v>8.3 LÍNEA ESTRATÉGICA SALUD PARA TODOS</v>
      </c>
      <c r="I491" s="2" t="str">
        <f>+VLOOKUP(F491,Hoja2!$F:$I,4,FALSE)</f>
        <v>8.3.1 PROGRAMA: FORTALECIMIENTO DE LA AUTORIDAD SANITARIA</v>
      </c>
      <c r="J491" t="s">
        <v>628</v>
      </c>
      <c r="K491" t="str">
        <f>"017"</f>
        <v>017</v>
      </c>
      <c r="L491" t="s">
        <v>627</v>
      </c>
      <c r="M491" t="s">
        <v>26</v>
      </c>
      <c r="N491" t="s">
        <v>27</v>
      </c>
      <c r="O491" t="s">
        <v>629</v>
      </c>
      <c r="P491" t="str">
        <f t="shared" si="66"/>
        <v>2021130010170 FORTALECIMIENTO DE LA GESTION DEL PLAN DE SALUD PUBLICA EN   CARTAGENA DE INDIA</v>
      </c>
      <c r="Q491" t="str">
        <f t="shared" si="63"/>
        <v>06</v>
      </c>
      <c r="R491" t="str">
        <f t="shared" si="64"/>
        <v>00</v>
      </c>
      <c r="S491" s="1">
        <v>50000000</v>
      </c>
      <c r="T491" s="1">
        <v>0</v>
      </c>
      <c r="U491" s="1">
        <v>50000000</v>
      </c>
      <c r="V491" s="1">
        <v>8200000</v>
      </c>
      <c r="W491" s="1">
        <v>41800000</v>
      </c>
      <c r="X491" s="1">
        <v>0</v>
      </c>
      <c r="Y491" s="1">
        <v>0</v>
      </c>
      <c r="Z491" s="1">
        <v>0</v>
      </c>
      <c r="AA491" s="1">
        <v>0</v>
      </c>
      <c r="AB491" s="1">
        <v>50000000</v>
      </c>
      <c r="AC491" s="1">
        <v>0</v>
      </c>
    </row>
    <row r="492" spans="1:29" x14ac:dyDescent="0.3">
      <c r="A492">
        <v>2022</v>
      </c>
      <c r="B492">
        <v>100</v>
      </c>
      <c r="C492" t="str">
        <f t="shared" si="69"/>
        <v>10</v>
      </c>
      <c r="D492" t="s">
        <v>601</v>
      </c>
      <c r="E492" t="str">
        <f t="shared" si="65"/>
        <v>10 DEPARTAMENTO ADMINISTRATIVO DE SALUD</v>
      </c>
      <c r="F492" s="2">
        <v>2021130010170</v>
      </c>
      <c r="G492" s="2" t="str">
        <f>+VLOOKUP(F492,Hoja2!$F:$I,2,FALSE)</f>
        <v>08. PILAR CARTAGENA INCLUYENTE</v>
      </c>
      <c r="H492" s="2" t="str">
        <f>+VLOOKUP(F492,Hoja2!$F:$I,3,FALSE)</f>
        <v>8.3 LÍNEA ESTRATÉGICA SALUD PARA TODOS</v>
      </c>
      <c r="I492" s="2" t="str">
        <f>+VLOOKUP(F492,Hoja2!$F:$I,4,FALSE)</f>
        <v>8.3.1 PROGRAMA: FORTALECIMIENTO DE LA AUTORIDAD SANITARIA</v>
      </c>
      <c r="J492" t="s">
        <v>628</v>
      </c>
      <c r="K492" t="str">
        <f>"087"</f>
        <v>087</v>
      </c>
      <c r="L492" t="s">
        <v>632</v>
      </c>
      <c r="M492" t="s">
        <v>26</v>
      </c>
      <c r="N492" t="s">
        <v>27</v>
      </c>
      <c r="O492" t="s">
        <v>629</v>
      </c>
      <c r="P492" t="str">
        <f t="shared" si="66"/>
        <v>2021130010170 FORTALECIMIENTO DE LA GESTION DEL PLAN DE SALUD PUBLICA EN   CARTAGENA DE INDIA</v>
      </c>
      <c r="Q492" t="str">
        <f t="shared" si="63"/>
        <v>06</v>
      </c>
      <c r="R492" t="str">
        <f t="shared" si="64"/>
        <v>00</v>
      </c>
      <c r="S492" s="1">
        <v>200000000</v>
      </c>
      <c r="T492" s="1">
        <v>-50000000</v>
      </c>
      <c r="U492" s="1">
        <v>150000000</v>
      </c>
      <c r="V492" s="1">
        <v>143400000</v>
      </c>
      <c r="W492" s="1">
        <v>6600000</v>
      </c>
      <c r="X492" s="1">
        <v>125600000</v>
      </c>
      <c r="Y492" s="1">
        <v>83.73</v>
      </c>
      <c r="Z492" s="1">
        <v>125600000</v>
      </c>
      <c r="AA492" s="1">
        <v>83.73</v>
      </c>
      <c r="AB492" s="1">
        <v>24400000</v>
      </c>
      <c r="AC492" s="1">
        <v>125600000</v>
      </c>
    </row>
    <row r="493" spans="1:29" x14ac:dyDescent="0.3">
      <c r="A493">
        <v>2022</v>
      </c>
      <c r="B493">
        <v>100</v>
      </c>
      <c r="C493" t="str">
        <f t="shared" si="69"/>
        <v>10</v>
      </c>
      <c r="D493" t="s">
        <v>601</v>
      </c>
      <c r="E493" t="str">
        <f t="shared" si="65"/>
        <v>10 DEPARTAMENTO ADMINISTRATIVO DE SALUD</v>
      </c>
      <c r="F493" s="2">
        <v>2021130010170</v>
      </c>
      <c r="G493" s="2" t="str">
        <f>+VLOOKUP(F493,Hoja2!$F:$I,2,FALSE)</f>
        <v>08. PILAR CARTAGENA INCLUYENTE</v>
      </c>
      <c r="H493" s="2" t="str">
        <f>+VLOOKUP(F493,Hoja2!$F:$I,3,FALSE)</f>
        <v>8.3 LÍNEA ESTRATÉGICA SALUD PARA TODOS</v>
      </c>
      <c r="I493" s="2" t="str">
        <f>+VLOOKUP(F493,Hoja2!$F:$I,4,FALSE)</f>
        <v>8.3.1 PROGRAMA: FORTALECIMIENTO DE LA AUTORIDAD SANITARIA</v>
      </c>
      <c r="J493" t="s">
        <v>628</v>
      </c>
      <c r="K493" t="str">
        <f>"170"</f>
        <v>170</v>
      </c>
      <c r="L493" t="s">
        <v>634</v>
      </c>
      <c r="M493" t="s">
        <v>26</v>
      </c>
      <c r="N493" t="s">
        <v>27</v>
      </c>
      <c r="O493" t="s">
        <v>629</v>
      </c>
      <c r="P493" t="str">
        <f t="shared" si="66"/>
        <v>2021130010170 FORTALECIMIENTO DE LA GESTION DEL PLAN DE SALUD PUBLICA EN   CARTAGENA DE INDIA</v>
      </c>
      <c r="Q493" t="str">
        <f t="shared" si="63"/>
        <v>06</v>
      </c>
      <c r="R493" t="str">
        <f t="shared" si="64"/>
        <v>00</v>
      </c>
      <c r="S493" s="1">
        <v>257362582</v>
      </c>
      <c r="T493" s="1">
        <v>0</v>
      </c>
      <c r="U493" s="1">
        <v>257362582</v>
      </c>
      <c r="V493" s="1">
        <v>257362582</v>
      </c>
      <c r="W493" s="1">
        <v>0</v>
      </c>
      <c r="X493" s="1">
        <v>257362582</v>
      </c>
      <c r="Y493" s="1">
        <v>100</v>
      </c>
      <c r="Z493" s="1">
        <v>246800000</v>
      </c>
      <c r="AA493" s="1">
        <v>95.9</v>
      </c>
      <c r="AB493" s="1">
        <v>0</v>
      </c>
      <c r="AC493" s="1">
        <v>238000000</v>
      </c>
    </row>
    <row r="494" spans="1:29" x14ac:dyDescent="0.3">
      <c r="A494">
        <v>2022</v>
      </c>
      <c r="B494">
        <v>100</v>
      </c>
      <c r="C494" t="str">
        <f>"05"</f>
        <v>05</v>
      </c>
      <c r="D494" t="s">
        <v>292</v>
      </c>
      <c r="E494" t="str">
        <f t="shared" si="65"/>
        <v>05 SECRETARIA GENERAL</v>
      </c>
      <c r="F494" s="2">
        <v>2021130010172</v>
      </c>
      <c r="G494" s="2" t="str">
        <f>+VLOOKUP(F494,Hoja2!$F:$I,2,FALSE)</f>
        <v>08. PILAR CARTAGENA INCLUYENTE</v>
      </c>
      <c r="H494" s="2" t="str">
        <f>+VLOOKUP(F494,Hoja2!$F:$I,3,FALSE)</f>
        <v>8.2 LÍNEA ESTRATEGICA DE EDUCACION: CULTURA DE LA FORMACION "CON LA EDUCACION PARA TODOS Y TODAS SALVAMOS JUNTOS A CARTAGENA"</v>
      </c>
      <c r="I494" s="2" t="str">
        <f>+VLOOKUP(F494,Hoja2!$F:$I,4,FALSE)</f>
        <v>8.2.9 PROGRAMA: POR UNA EDUCACIÓN POST SECUNDARIA DISTRITAL</v>
      </c>
      <c r="J494" t="s">
        <v>371</v>
      </c>
      <c r="K494" t="str">
        <f>"001"</f>
        <v>001</v>
      </c>
      <c r="L494" t="s">
        <v>25</v>
      </c>
      <c r="M494" t="s">
        <v>26</v>
      </c>
      <c r="N494" t="s">
        <v>27</v>
      </c>
      <c r="O494" t="s">
        <v>372</v>
      </c>
      <c r="P494" t="str">
        <f t="shared" si="66"/>
        <v>2021130010172 IMPLEMENTACION DEL PROGRAMA DE FORMACION INTEGRAL ESCUELA TALLER CARTAGENA DE INDIAS DEL DISTRITO DE  CARTAGENA DE INDIAS</v>
      </c>
      <c r="Q494" t="str">
        <f t="shared" si="63"/>
        <v>06</v>
      </c>
      <c r="R494" t="str">
        <f t="shared" si="64"/>
        <v>00</v>
      </c>
      <c r="S494" s="1">
        <v>1000000000</v>
      </c>
      <c r="T494" s="1">
        <v>0</v>
      </c>
      <c r="U494" s="1">
        <v>1000000000</v>
      </c>
      <c r="V494" s="1">
        <v>1000000000</v>
      </c>
      <c r="W494" s="1">
        <v>0</v>
      </c>
      <c r="X494" s="1">
        <v>1000000000</v>
      </c>
      <c r="Y494" s="1">
        <v>100</v>
      </c>
      <c r="Z494" s="1">
        <v>900000000</v>
      </c>
      <c r="AA494" s="1">
        <v>90</v>
      </c>
      <c r="AB494" s="1">
        <v>0</v>
      </c>
      <c r="AC494" s="1">
        <v>900000000</v>
      </c>
    </row>
    <row r="495" spans="1:29" x14ac:dyDescent="0.3">
      <c r="A495">
        <v>2022</v>
      </c>
      <c r="B495">
        <v>100</v>
      </c>
      <c r="C495" t="str">
        <f>"05"</f>
        <v>05</v>
      </c>
      <c r="D495" t="s">
        <v>292</v>
      </c>
      <c r="E495" t="str">
        <f t="shared" si="65"/>
        <v>05 SECRETARIA GENERAL</v>
      </c>
      <c r="F495" s="2">
        <v>2021130010174</v>
      </c>
      <c r="G495" s="2" t="str">
        <f>+VLOOKUP(F495,Hoja2!$F:$I,2,FALSE)</f>
        <v>07. PILAR CARTAGENA RESILIENTE</v>
      </c>
      <c r="H495" s="2" t="str">
        <f>+VLOOKUP(F495,Hoja2!$F:$I,3,FALSE)</f>
        <v>7.6 LÍNEA ESTRATÉGICA SERVICIOS PÚBLICOS BÁSICOS DEL DISTRITO DE CARTAGENA DE INDIAS: “TODOS CON TODO”</v>
      </c>
      <c r="I495" s="2" t="str">
        <f>+VLOOKUP(F495,Hoja2!$F:$I,4,FALSE)</f>
        <v>7.6.5 CEMENTERIOS</v>
      </c>
      <c r="J495" t="s">
        <v>293</v>
      </c>
      <c r="K495" t="str">
        <f>"882"</f>
        <v>882</v>
      </c>
      <c r="L495" t="s">
        <v>294</v>
      </c>
      <c r="M495" t="s">
        <v>26</v>
      </c>
      <c r="N495" t="s">
        <v>27</v>
      </c>
      <c r="O495" t="s">
        <v>295</v>
      </c>
      <c r="P495" t="str">
        <f t="shared" si="66"/>
        <v>2021130010174 ADMINISTRACION Y OPERACION DE LOS CEMENTERIOS PUBLICOS DISTRITALES  POR UNA CARTAGENA LIBRE Y RESILIENTE CARTAGENA DE INDIAS</v>
      </c>
      <c r="Q495" t="str">
        <f t="shared" si="63"/>
        <v>06</v>
      </c>
      <c r="R495" t="str">
        <f t="shared" si="64"/>
        <v>00</v>
      </c>
      <c r="S495" s="1">
        <v>0</v>
      </c>
      <c r="T495" s="1">
        <v>511889199.95999998</v>
      </c>
      <c r="U495" s="1">
        <v>511889199.95999998</v>
      </c>
      <c r="V495" s="1">
        <v>511889199.95999998</v>
      </c>
      <c r="W495" s="1">
        <v>0</v>
      </c>
      <c r="X495" s="1">
        <v>511889199.95999998</v>
      </c>
      <c r="Y495" s="1">
        <v>100</v>
      </c>
      <c r="Z495" s="1">
        <v>306656941.60000002</v>
      </c>
      <c r="AA495" s="1">
        <v>59.91</v>
      </c>
      <c r="AB495" s="1">
        <v>0</v>
      </c>
      <c r="AC495" s="1">
        <v>0</v>
      </c>
    </row>
    <row r="496" spans="1:29" x14ac:dyDescent="0.3">
      <c r="A496">
        <v>2022</v>
      </c>
      <c r="B496">
        <v>100</v>
      </c>
      <c r="C496" t="str">
        <f>"05"</f>
        <v>05</v>
      </c>
      <c r="D496" t="s">
        <v>292</v>
      </c>
      <c r="E496" t="str">
        <f t="shared" si="65"/>
        <v>05 SECRETARIA GENERAL</v>
      </c>
      <c r="F496" s="2">
        <v>2021130010174</v>
      </c>
      <c r="G496" s="2" t="str">
        <f>+VLOOKUP(F496,Hoja2!$F:$I,2,FALSE)</f>
        <v>07. PILAR CARTAGENA RESILIENTE</v>
      </c>
      <c r="H496" s="2" t="str">
        <f>+VLOOKUP(F496,Hoja2!$F:$I,3,FALSE)</f>
        <v>7.6 LÍNEA ESTRATÉGICA SERVICIOS PÚBLICOS BÁSICOS DEL DISTRITO DE CARTAGENA DE INDIAS: “TODOS CON TODO”</v>
      </c>
      <c r="I496" s="2" t="str">
        <f>+VLOOKUP(F496,Hoja2!$F:$I,4,FALSE)</f>
        <v>7.6.5 CEMENTERIOS</v>
      </c>
      <c r="J496" t="s">
        <v>293</v>
      </c>
      <c r="K496" t="str">
        <f>"001"</f>
        <v>001</v>
      </c>
      <c r="L496" t="s">
        <v>25</v>
      </c>
      <c r="M496" t="s">
        <v>26</v>
      </c>
      <c r="N496" t="s">
        <v>27</v>
      </c>
      <c r="O496" t="s">
        <v>333</v>
      </c>
      <c r="P496" t="str">
        <f t="shared" si="66"/>
        <v>2021130010174 ADMINISTRACION Y OPERACION DE LOS CEMENTERIOS PUBLICOS DISTRITALES ? POR UNA CARTAGENA LIBRE Y RESILIENTE? CARTAGENA DE INDIAS</v>
      </c>
      <c r="Q496" t="str">
        <f t="shared" si="63"/>
        <v>06</v>
      </c>
      <c r="R496" t="str">
        <f t="shared" si="64"/>
        <v>00</v>
      </c>
      <c r="S496" s="1">
        <v>319471142</v>
      </c>
      <c r="T496" s="1">
        <v>0</v>
      </c>
      <c r="U496" s="1">
        <v>319471142</v>
      </c>
      <c r="V496" s="1">
        <v>319471142</v>
      </c>
      <c r="W496" s="1">
        <v>0</v>
      </c>
      <c r="X496" s="1">
        <v>295348154.04000002</v>
      </c>
      <c r="Y496" s="1">
        <v>92.45</v>
      </c>
      <c r="Z496" s="1">
        <v>253351864.25999999</v>
      </c>
      <c r="AA496" s="1">
        <v>79.3</v>
      </c>
      <c r="AB496" s="1">
        <v>24122987.960000001</v>
      </c>
      <c r="AC496" s="1">
        <v>40595000</v>
      </c>
    </row>
    <row r="497" spans="1:29" x14ac:dyDescent="0.3">
      <c r="A497">
        <v>2022</v>
      </c>
      <c r="B497">
        <v>100</v>
      </c>
      <c r="C497" t="str">
        <f>"22"</f>
        <v>22</v>
      </c>
      <c r="D497" t="s">
        <v>936</v>
      </c>
      <c r="E497" t="str">
        <f t="shared" si="65"/>
        <v>22 DISTRISEGURIDAD</v>
      </c>
      <c r="F497" s="2">
        <v>2021130010176</v>
      </c>
      <c r="G497" s="2" t="str">
        <f>+VLOOKUP(F497,Hoja2!$F:$I,2,FALSE)</f>
        <v>10. PILAR: CARTAGENA TRANSPARENTE</v>
      </c>
      <c r="H497" s="2" t="str">
        <f>+VLOOKUP(F497,Hoja2!$F:$I,3,FALSE)</f>
        <v>10.3 LÍNEA ESTRATÉGICA: CONVIVENCIA Y SEGURIDAD PARA LA GOBERNABILIDAD</v>
      </c>
      <c r="I497" s="2" t="str">
        <f>+VLOOKUP(F497,Hoja2!$F:$I,4,FALSE)</f>
        <v xml:space="preserve">10.3.11 PROGRAMA: CONVIVENCIA PARA LA SEGURIDAD </v>
      </c>
      <c r="J497" t="s">
        <v>957</v>
      </c>
      <c r="K497" t="str">
        <f>"001"</f>
        <v>001</v>
      </c>
      <c r="L497" t="s">
        <v>25</v>
      </c>
      <c r="M497" t="s">
        <v>26</v>
      </c>
      <c r="N497" t="s">
        <v>27</v>
      </c>
      <c r="O497" t="s">
        <v>958</v>
      </c>
      <c r="P497" t="str">
        <f t="shared" si="66"/>
        <v>2021130010176 CONSTRUCCION DE CONVIVENCIA PARA LA SEGURIDAD EN CARTAGENA DE INDIAS CARTAGENA DE INDIAS</v>
      </c>
      <c r="Q497" t="str">
        <f t="shared" si="63"/>
        <v>06</v>
      </c>
      <c r="R497" t="str">
        <f t="shared" si="64"/>
        <v>00</v>
      </c>
      <c r="S497" s="1">
        <v>300000000</v>
      </c>
      <c r="T497" s="1">
        <v>0</v>
      </c>
      <c r="U497" s="1">
        <v>300000000</v>
      </c>
      <c r="V497" s="1">
        <v>300000000</v>
      </c>
      <c r="W497" s="1">
        <v>0</v>
      </c>
      <c r="X497" s="1">
        <v>300000000</v>
      </c>
      <c r="Y497" s="1">
        <v>100</v>
      </c>
      <c r="Z497" s="1">
        <v>300000000</v>
      </c>
      <c r="AA497" s="1">
        <v>100</v>
      </c>
      <c r="AB497" s="1">
        <v>0</v>
      </c>
      <c r="AC497" s="1">
        <v>300000000</v>
      </c>
    </row>
    <row r="498" spans="1:29" x14ac:dyDescent="0.3">
      <c r="A498">
        <v>2022</v>
      </c>
      <c r="B498">
        <v>100</v>
      </c>
      <c r="C498" t="str">
        <f t="shared" ref="C498:C503" si="70">"09"</f>
        <v>09</v>
      </c>
      <c r="D498" t="s">
        <v>559</v>
      </c>
      <c r="E498" t="str">
        <f t="shared" si="65"/>
        <v>09 SECRETARIA DE PLANEACION</v>
      </c>
      <c r="F498" s="2">
        <v>2021130010177</v>
      </c>
      <c r="G498" s="2" t="str">
        <f>+VLOOKUP(F498,Hoja2!$F:$I,2,FALSE)</f>
        <v>10. PILAR: CARTAGENA TRANSPARENTE</v>
      </c>
      <c r="H498" s="2" t="str">
        <f>+VLOOKUP(F498,Hoja2!$F:$I,3,FALSE)</f>
        <v>10.7 LÍNEA ESTRATÉGICA: PARTICIPACIÓN Y DESCENTRALIZACIÓN</v>
      </c>
      <c r="I498" s="2" t="str">
        <f>+VLOOKUP(F498,Hoja2!$F:$I,4,FALSE)</f>
        <v xml:space="preserve">10.7.3 PROGRAMA: POLÍTICAS PÚBLICAS INTERSECTORIALES Y CON VISIÓN INTEGRAL DE ENFOQUES BASADOS EN DERECHOS HUMANOS </v>
      </c>
      <c r="J498" t="s">
        <v>565</v>
      </c>
      <c r="K498" t="str">
        <f>"921"</f>
        <v>921</v>
      </c>
      <c r="L498" t="s">
        <v>566</v>
      </c>
      <c r="M498" t="s">
        <v>26</v>
      </c>
      <c r="N498" t="s">
        <v>27</v>
      </c>
      <c r="O498" t="s">
        <v>567</v>
      </c>
      <c r="P498" t="str">
        <f t="shared" si="66"/>
        <v>2021130010177 ASISTENCIA TECNICA AL DISE?O DE POLITICAS PUBLICAS INTERSECTORIALES Y CON VISION INTEGRAL DE ENFOQUES BASADOS EN DERECHOS HUMANOS EN EL DISTRITO DE CARTAGENA DE INDIAS</v>
      </c>
      <c r="Q498" t="str">
        <f t="shared" si="63"/>
        <v>06</v>
      </c>
      <c r="R498" t="str">
        <f t="shared" si="64"/>
        <v>00</v>
      </c>
      <c r="S498" s="1">
        <v>0</v>
      </c>
      <c r="T498" s="1">
        <v>59238247</v>
      </c>
      <c r="U498" s="1">
        <v>59238247</v>
      </c>
      <c r="V498" s="1">
        <v>59238247</v>
      </c>
      <c r="W498" s="1">
        <v>0</v>
      </c>
      <c r="X498" s="1">
        <v>59238247</v>
      </c>
      <c r="Y498" s="1">
        <v>100</v>
      </c>
      <c r="Z498" s="1">
        <v>0</v>
      </c>
      <c r="AA498" s="1">
        <v>0</v>
      </c>
      <c r="AB498" s="1">
        <v>0</v>
      </c>
      <c r="AC498" s="1">
        <v>0</v>
      </c>
    </row>
    <row r="499" spans="1:29" x14ac:dyDescent="0.3">
      <c r="A499">
        <v>2022</v>
      </c>
      <c r="B499">
        <v>100</v>
      </c>
      <c r="C499" t="str">
        <f t="shared" si="70"/>
        <v>09</v>
      </c>
      <c r="D499" t="s">
        <v>559</v>
      </c>
      <c r="E499" t="str">
        <f t="shared" si="65"/>
        <v>09 SECRETARIA DE PLANEACION</v>
      </c>
      <c r="F499" s="2">
        <v>2021130010177</v>
      </c>
      <c r="G499" s="2" t="str">
        <f>+VLOOKUP(F499,Hoja2!$F:$I,2,FALSE)</f>
        <v>10. PILAR: CARTAGENA TRANSPARENTE</v>
      </c>
      <c r="H499" s="2" t="str">
        <f>+VLOOKUP(F499,Hoja2!$F:$I,3,FALSE)</f>
        <v>10.7 LÍNEA ESTRATÉGICA: PARTICIPACIÓN Y DESCENTRALIZACIÓN</v>
      </c>
      <c r="I499" s="2" t="str">
        <f>+VLOOKUP(F499,Hoja2!$F:$I,4,FALSE)</f>
        <v xml:space="preserve">10.7.3 PROGRAMA: POLÍTICAS PÚBLICAS INTERSECTORIALES Y CON VISIÓN INTEGRAL DE ENFOQUES BASADOS EN DERECHOS HUMANOS </v>
      </c>
      <c r="J499" t="s">
        <v>565</v>
      </c>
      <c r="K499" t="str">
        <f>"816"</f>
        <v>816</v>
      </c>
      <c r="L499" t="s">
        <v>116</v>
      </c>
      <c r="M499" t="s">
        <v>26</v>
      </c>
      <c r="N499" t="s">
        <v>27</v>
      </c>
      <c r="O499" t="s">
        <v>567</v>
      </c>
      <c r="P499" t="str">
        <f t="shared" si="66"/>
        <v>2021130010177 ASISTENCIA TECNICA AL DISE?O DE POLITICAS PUBLICAS INTERSECTORIALES Y CON VISION INTEGRAL DE ENFOQUES BASADOS EN DERECHOS HUMANOS EN EL DISTRITO DE CARTAGENA DE INDIAS</v>
      </c>
      <c r="Q499" t="str">
        <f t="shared" si="63"/>
        <v>06</v>
      </c>
      <c r="R499" t="str">
        <f t="shared" si="64"/>
        <v>00</v>
      </c>
      <c r="S499" s="1">
        <v>0</v>
      </c>
      <c r="T499" s="1">
        <v>142300379</v>
      </c>
      <c r="U499" s="1">
        <v>142300379</v>
      </c>
      <c r="V499" s="1">
        <v>142300379</v>
      </c>
      <c r="W499" s="1">
        <v>0</v>
      </c>
      <c r="X499" s="1">
        <v>142300379</v>
      </c>
      <c r="Y499" s="1">
        <v>100</v>
      </c>
      <c r="Z499" s="1">
        <v>0</v>
      </c>
      <c r="AA499" s="1">
        <v>0</v>
      </c>
      <c r="AB499" s="1">
        <v>0</v>
      </c>
      <c r="AC499" s="1">
        <v>0</v>
      </c>
    </row>
    <row r="500" spans="1:29" x14ac:dyDescent="0.3">
      <c r="A500">
        <v>2022</v>
      </c>
      <c r="B500">
        <v>100</v>
      </c>
      <c r="C500" t="str">
        <f t="shared" si="70"/>
        <v>09</v>
      </c>
      <c r="D500" t="s">
        <v>559</v>
      </c>
      <c r="E500" t="str">
        <f t="shared" si="65"/>
        <v>09 SECRETARIA DE PLANEACION</v>
      </c>
      <c r="F500" s="2">
        <v>2021130010177</v>
      </c>
      <c r="G500" s="2" t="str">
        <f>+VLOOKUP(F500,Hoja2!$F:$I,2,FALSE)</f>
        <v>10. PILAR: CARTAGENA TRANSPARENTE</v>
      </c>
      <c r="H500" s="2" t="str">
        <f>+VLOOKUP(F500,Hoja2!$F:$I,3,FALSE)</f>
        <v>10.7 LÍNEA ESTRATÉGICA: PARTICIPACIÓN Y DESCENTRALIZACIÓN</v>
      </c>
      <c r="I500" s="2" t="str">
        <f>+VLOOKUP(F500,Hoja2!$F:$I,4,FALSE)</f>
        <v xml:space="preserve">10.7.3 PROGRAMA: POLÍTICAS PÚBLICAS INTERSECTORIALES Y CON VISIÓN INTEGRAL DE ENFOQUES BASADOS EN DERECHOS HUMANOS </v>
      </c>
      <c r="J500" t="s">
        <v>565</v>
      </c>
      <c r="K500" t="str">
        <f>"850"</f>
        <v>850</v>
      </c>
      <c r="L500" t="s">
        <v>487</v>
      </c>
      <c r="M500" t="s">
        <v>26</v>
      </c>
      <c r="N500" t="s">
        <v>27</v>
      </c>
      <c r="O500" t="s">
        <v>567</v>
      </c>
      <c r="P500" t="str">
        <f t="shared" si="66"/>
        <v>2021130010177 ASISTENCIA TECNICA AL DISE?O DE POLITICAS PUBLICAS INTERSECTORIALES Y CON VISION INTEGRAL DE ENFOQUES BASADOS EN DERECHOS HUMANOS EN EL DISTRITO DE CARTAGENA DE INDIAS</v>
      </c>
      <c r="Q500" t="str">
        <f t="shared" si="63"/>
        <v>06</v>
      </c>
      <c r="R500" t="str">
        <f t="shared" si="64"/>
        <v>00</v>
      </c>
      <c r="S500" s="1">
        <v>0</v>
      </c>
      <c r="T500" s="1">
        <v>41701028</v>
      </c>
      <c r="U500" s="1">
        <v>41701028</v>
      </c>
      <c r="V500" s="1">
        <v>41701028</v>
      </c>
      <c r="W500" s="1">
        <v>0</v>
      </c>
      <c r="X500" s="1">
        <v>41701028</v>
      </c>
      <c r="Y500" s="1">
        <v>100</v>
      </c>
      <c r="Z500" s="1">
        <v>0</v>
      </c>
      <c r="AA500" s="1">
        <v>0</v>
      </c>
      <c r="AB500" s="1">
        <v>0</v>
      </c>
      <c r="AC500" s="1">
        <v>0</v>
      </c>
    </row>
    <row r="501" spans="1:29" x14ac:dyDescent="0.3">
      <c r="A501">
        <v>2022</v>
      </c>
      <c r="B501">
        <v>100</v>
      </c>
      <c r="C501" t="str">
        <f t="shared" si="70"/>
        <v>09</v>
      </c>
      <c r="D501" t="s">
        <v>559</v>
      </c>
      <c r="E501" t="str">
        <f t="shared" si="65"/>
        <v>09 SECRETARIA DE PLANEACION</v>
      </c>
      <c r="F501" s="2">
        <v>2021130010177</v>
      </c>
      <c r="G501" s="2" t="str">
        <f>+VLOOKUP(F501,Hoja2!$F:$I,2,FALSE)</f>
        <v>10. PILAR: CARTAGENA TRANSPARENTE</v>
      </c>
      <c r="H501" s="2" t="str">
        <f>+VLOOKUP(F501,Hoja2!$F:$I,3,FALSE)</f>
        <v>10.7 LÍNEA ESTRATÉGICA: PARTICIPACIÓN Y DESCENTRALIZACIÓN</v>
      </c>
      <c r="I501" s="2" t="str">
        <f>+VLOOKUP(F501,Hoja2!$F:$I,4,FALSE)</f>
        <v xml:space="preserve">10.7.3 PROGRAMA: POLÍTICAS PÚBLICAS INTERSECTORIALES Y CON VISIÓN INTEGRAL DE ENFOQUES BASADOS EN DERECHOS HUMANOS </v>
      </c>
      <c r="J501" t="s">
        <v>565</v>
      </c>
      <c r="K501" t="str">
        <f>"851"</f>
        <v>851</v>
      </c>
      <c r="L501" t="s">
        <v>582</v>
      </c>
      <c r="M501" t="s">
        <v>26</v>
      </c>
      <c r="N501" t="s">
        <v>27</v>
      </c>
      <c r="O501" t="s">
        <v>567</v>
      </c>
      <c r="P501" t="str">
        <f t="shared" si="66"/>
        <v>2021130010177 ASISTENCIA TECNICA AL DISE?O DE POLITICAS PUBLICAS INTERSECTORIALES Y CON VISION INTEGRAL DE ENFOQUES BASADOS EN DERECHOS HUMANOS EN EL DISTRITO DE CARTAGENA DE INDIAS</v>
      </c>
      <c r="Q501" t="str">
        <f t="shared" si="63"/>
        <v>06</v>
      </c>
      <c r="R501" t="str">
        <f t="shared" si="64"/>
        <v>00</v>
      </c>
      <c r="S501" s="1">
        <v>0</v>
      </c>
      <c r="T501" s="1">
        <v>79398870</v>
      </c>
      <c r="U501" s="1">
        <v>79398870</v>
      </c>
      <c r="V501" s="1">
        <v>9398870</v>
      </c>
      <c r="W501" s="1">
        <v>70000000</v>
      </c>
      <c r="X501" s="1">
        <v>9398870</v>
      </c>
      <c r="Y501" s="1">
        <v>11.84</v>
      </c>
      <c r="Z501" s="1">
        <v>0</v>
      </c>
      <c r="AA501" s="1">
        <v>0</v>
      </c>
      <c r="AB501" s="1">
        <v>70000000</v>
      </c>
      <c r="AC501" s="1">
        <v>0</v>
      </c>
    </row>
    <row r="502" spans="1:29" x14ac:dyDescent="0.3">
      <c r="A502">
        <v>2022</v>
      </c>
      <c r="B502">
        <v>100</v>
      </c>
      <c r="C502" t="str">
        <f t="shared" si="70"/>
        <v>09</v>
      </c>
      <c r="D502" t="s">
        <v>559</v>
      </c>
      <c r="E502" t="str">
        <f t="shared" si="65"/>
        <v>09 SECRETARIA DE PLANEACION</v>
      </c>
      <c r="F502" s="2">
        <v>2021130010177</v>
      </c>
      <c r="G502" s="2" t="str">
        <f>+VLOOKUP(F502,Hoja2!$F:$I,2,FALSE)</f>
        <v>10. PILAR: CARTAGENA TRANSPARENTE</v>
      </c>
      <c r="H502" s="2" t="str">
        <f>+VLOOKUP(F502,Hoja2!$F:$I,3,FALSE)</f>
        <v>10.7 LÍNEA ESTRATÉGICA: PARTICIPACIÓN Y DESCENTRALIZACIÓN</v>
      </c>
      <c r="I502" s="2" t="str">
        <f>+VLOOKUP(F502,Hoja2!$F:$I,4,FALSE)</f>
        <v xml:space="preserve">10.7.3 PROGRAMA: POLÍTICAS PÚBLICAS INTERSECTORIALES Y CON VISIÓN INTEGRAL DE ENFOQUES BASADOS EN DERECHOS HUMANOS </v>
      </c>
      <c r="J502" t="s">
        <v>565</v>
      </c>
      <c r="K502" t="str">
        <f>"922"</f>
        <v>922</v>
      </c>
      <c r="L502" t="s">
        <v>78</v>
      </c>
      <c r="M502" t="s">
        <v>26</v>
      </c>
      <c r="N502" t="s">
        <v>27</v>
      </c>
      <c r="O502" t="s">
        <v>567</v>
      </c>
      <c r="P502" t="str">
        <f t="shared" si="66"/>
        <v>2021130010177 ASISTENCIA TECNICA AL DISE?O DE POLITICAS PUBLICAS INTERSECTORIALES Y CON VISION INTEGRAL DE ENFOQUES BASADOS EN DERECHOS HUMANOS EN EL DISTRITO DE CARTAGENA DE INDIAS</v>
      </c>
      <c r="Q502" t="str">
        <f t="shared" si="63"/>
        <v>06</v>
      </c>
      <c r="R502" t="str">
        <f t="shared" si="64"/>
        <v>00</v>
      </c>
      <c r="S502" s="1">
        <v>0</v>
      </c>
      <c r="T502" s="1">
        <v>677361476</v>
      </c>
      <c r="U502" s="1">
        <v>677361476</v>
      </c>
      <c r="V502" s="1">
        <v>677361476</v>
      </c>
      <c r="W502" s="1">
        <v>0</v>
      </c>
      <c r="X502" s="1">
        <v>677361476</v>
      </c>
      <c r="Y502" s="1">
        <v>100</v>
      </c>
      <c r="Z502" s="1">
        <v>0</v>
      </c>
      <c r="AA502" s="1">
        <v>0</v>
      </c>
      <c r="AB502" s="1">
        <v>0</v>
      </c>
      <c r="AC502" s="1">
        <v>0</v>
      </c>
    </row>
    <row r="503" spans="1:29" x14ac:dyDescent="0.3">
      <c r="A503">
        <v>2022</v>
      </c>
      <c r="B503">
        <v>100</v>
      </c>
      <c r="C503" t="str">
        <f t="shared" si="70"/>
        <v>09</v>
      </c>
      <c r="D503" t="s">
        <v>559</v>
      </c>
      <c r="E503" t="str">
        <f t="shared" si="65"/>
        <v>09 SECRETARIA DE PLANEACION</v>
      </c>
      <c r="F503" s="2">
        <v>2021130010177</v>
      </c>
      <c r="G503" s="2" t="str">
        <f>+VLOOKUP(F503,Hoja2!$F:$I,2,FALSE)</f>
        <v>10. PILAR: CARTAGENA TRANSPARENTE</v>
      </c>
      <c r="H503" s="2" t="str">
        <f>+VLOOKUP(F503,Hoja2!$F:$I,3,FALSE)</f>
        <v>10.7 LÍNEA ESTRATÉGICA: PARTICIPACIÓN Y DESCENTRALIZACIÓN</v>
      </c>
      <c r="I503" s="2" t="str">
        <f>+VLOOKUP(F503,Hoja2!$F:$I,4,FALSE)</f>
        <v xml:space="preserve">10.7.3 PROGRAMA: POLÍTICAS PÚBLICAS INTERSECTORIALES Y CON VISIÓN INTEGRAL DE ENFOQUES BASADOS EN DERECHOS HUMANOS </v>
      </c>
      <c r="J503" t="s">
        <v>565</v>
      </c>
      <c r="K503" t="str">
        <f>"001"</f>
        <v>001</v>
      </c>
      <c r="L503" t="s">
        <v>25</v>
      </c>
      <c r="M503" t="s">
        <v>26</v>
      </c>
      <c r="N503" t="s">
        <v>27</v>
      </c>
      <c r="O503" t="s">
        <v>595</v>
      </c>
      <c r="P503" t="str">
        <f t="shared" si="66"/>
        <v>2021130010177 ASISTENCIA TECNICA AL DISE?O DE POLITICAS PUBLICAS INTERSECTORIALES Y CON VISION INTEGRAL DE ENFOQUES BASADOS EN DERECHOS HUMANOS EN EL DISTRITO DE  CARTAGENA DE INDIAS</v>
      </c>
      <c r="Q503" t="str">
        <f t="shared" si="63"/>
        <v>06</v>
      </c>
      <c r="R503" t="str">
        <f t="shared" si="64"/>
        <v>00</v>
      </c>
      <c r="S503" s="1">
        <v>88000000</v>
      </c>
      <c r="T503" s="1">
        <v>0</v>
      </c>
      <c r="U503" s="1">
        <v>88000000</v>
      </c>
      <c r="V503" s="1">
        <v>85200000</v>
      </c>
      <c r="W503" s="1">
        <v>2800000</v>
      </c>
      <c r="X503" s="1">
        <v>67200000</v>
      </c>
      <c r="Y503" s="1">
        <v>76.36</v>
      </c>
      <c r="Z503" s="1">
        <v>67200000</v>
      </c>
      <c r="AA503" s="1">
        <v>76.36</v>
      </c>
      <c r="AB503" s="1">
        <v>20800000</v>
      </c>
      <c r="AC503" s="1">
        <v>67200000</v>
      </c>
    </row>
    <row r="504" spans="1:29" x14ac:dyDescent="0.3">
      <c r="A504">
        <v>2022</v>
      </c>
      <c r="B504">
        <v>100</v>
      </c>
      <c r="C504" t="str">
        <f>"05"</f>
        <v>05</v>
      </c>
      <c r="D504" t="s">
        <v>292</v>
      </c>
      <c r="E504" t="str">
        <f t="shared" si="65"/>
        <v>05 SECRETARIA GENERAL</v>
      </c>
      <c r="F504" s="2">
        <v>2021130010178</v>
      </c>
      <c r="G504" s="2" t="str">
        <f>+VLOOKUP(F504,Hoja2!$F:$I,2,FALSE)</f>
        <v>10. PILAR: CARTAGENA TRANSPARENTE</v>
      </c>
      <c r="H504" s="2" t="str">
        <f>+VLOOKUP(F504,Hoja2!$F:$I,3,FALSE)</f>
        <v>10.1 LÍNEA ESTRATÉGICA GESTIÓN Y DESEMPEÑO INSTITUCIONAL PARA LA GOBERNANZA</v>
      </c>
      <c r="I504" s="2" t="str">
        <f>+VLOOKUP(F504,Hoja2!$F:$I,4,FALSE)</f>
        <v>10.1.1 PROGRAMA: GESTIÓN PÚBLICA INTEGRADA Y TRANSPARENTE</v>
      </c>
      <c r="J504" t="s">
        <v>334</v>
      </c>
      <c r="K504" t="str">
        <f>"001"</f>
        <v>001</v>
      </c>
      <c r="L504" t="s">
        <v>25</v>
      </c>
      <c r="M504" t="s">
        <v>26</v>
      </c>
      <c r="N504" t="s">
        <v>27</v>
      </c>
      <c r="O504" t="s">
        <v>335</v>
      </c>
      <c r="P504" t="str">
        <f t="shared" si="66"/>
        <v>2021130010178 GESTION DOCUMENTAL, MEDIANTE EL AVANCE EN LA IMPLEMENTACION DEL PLAN INSTITUCIONAL DE ARCHIVO-PINAR, PARA AUMENTAR LA EFICIENCIA Y EFICACIA EN LOS PROCESOS DOCUMENTALES</v>
      </c>
      <c r="Q504" t="str">
        <f t="shared" si="63"/>
        <v>06</v>
      </c>
      <c r="R504" t="str">
        <f t="shared" si="64"/>
        <v>00</v>
      </c>
      <c r="S504" s="1">
        <v>8000000000</v>
      </c>
      <c r="T504" s="1">
        <v>-231500000</v>
      </c>
      <c r="U504" s="1">
        <v>7768500000</v>
      </c>
      <c r="V504" s="1">
        <v>7768500000</v>
      </c>
      <c r="W504" s="1">
        <v>0</v>
      </c>
      <c r="X504" s="1">
        <v>7707652960</v>
      </c>
      <c r="Y504" s="1">
        <v>99.22</v>
      </c>
      <c r="Z504" s="1">
        <v>722352960</v>
      </c>
      <c r="AA504" s="1">
        <v>9.3000000000000007</v>
      </c>
      <c r="AB504" s="1">
        <v>60847040</v>
      </c>
      <c r="AC504" s="1">
        <v>642852960</v>
      </c>
    </row>
    <row r="505" spans="1:29" x14ac:dyDescent="0.3">
      <c r="A505">
        <v>2022</v>
      </c>
      <c r="B505">
        <v>100</v>
      </c>
      <c r="C505" t="str">
        <f>"09"</f>
        <v>09</v>
      </c>
      <c r="D505" t="s">
        <v>559</v>
      </c>
      <c r="E505" t="str">
        <f t="shared" si="65"/>
        <v>09 SECRETARIA DE PLANEACION</v>
      </c>
      <c r="F505" s="2">
        <v>2021130010179</v>
      </c>
      <c r="G505" s="2" t="str">
        <f>+VLOOKUP(F505,Hoja2!$F:$I,2,FALSE)</f>
        <v>08. PILAR CARTAGENA INCLUYENTE</v>
      </c>
      <c r="H505" s="2" t="str">
        <f>+VLOOKUP(F505,Hoja2!$F:$I,3,FALSE)</f>
        <v>8.6 LÍNEA ESTRATÉGICA PLANEACIÓN SOCIAL DEL TERRITORIO</v>
      </c>
      <c r="I505" s="2" t="str">
        <f>+VLOOKUP(F505,Hoja2!$F:$I,4,FALSE)</f>
        <v>8.6.1 PROGRAMA: INSTRUMENTOS DE PLANIFICACIÓN SOCIAL DEL TERRITORIO</v>
      </c>
      <c r="J505" t="s">
        <v>560</v>
      </c>
      <c r="K505" t="str">
        <f>"857"</f>
        <v>857</v>
      </c>
      <c r="L505" t="s">
        <v>561</v>
      </c>
      <c r="M505" t="s">
        <v>26</v>
      </c>
      <c r="N505" t="s">
        <v>27</v>
      </c>
      <c r="O505" t="s">
        <v>562</v>
      </c>
      <c r="P505" t="str">
        <f t="shared" si="66"/>
        <v>2021130010179 FORTALECIMIENTO DEL PROCESO DE ESTRATIFICACION SOCIOECONOMICA EN EL DISTRITO DE  CARTAGENA DE INDIAS</v>
      </c>
      <c r="Q505" t="str">
        <f t="shared" si="63"/>
        <v>06</v>
      </c>
      <c r="R505" t="str">
        <f t="shared" si="64"/>
        <v>00</v>
      </c>
      <c r="S505" s="1">
        <v>0</v>
      </c>
      <c r="T505" s="1">
        <v>179783523.66</v>
      </c>
      <c r="U505" s="1">
        <v>179783523.66</v>
      </c>
      <c r="V505" s="1">
        <v>23358525</v>
      </c>
      <c r="W505" s="1">
        <v>156424998.66</v>
      </c>
      <c r="X505" s="1">
        <v>19621161</v>
      </c>
      <c r="Y505" s="1">
        <v>10.91</v>
      </c>
      <c r="Z505" s="1">
        <v>19621161</v>
      </c>
      <c r="AA505" s="1">
        <v>10.91</v>
      </c>
      <c r="AB505" s="1">
        <v>160162362.66</v>
      </c>
      <c r="AC505" s="1">
        <v>16818138</v>
      </c>
    </row>
    <row r="506" spans="1:29" x14ac:dyDescent="0.3">
      <c r="A506">
        <v>2022</v>
      </c>
      <c r="B506">
        <v>100</v>
      </c>
      <c r="C506" t="str">
        <f>"09"</f>
        <v>09</v>
      </c>
      <c r="D506" t="s">
        <v>559</v>
      </c>
      <c r="E506" t="str">
        <f t="shared" si="65"/>
        <v>09 SECRETARIA DE PLANEACION</v>
      </c>
      <c r="F506" s="2">
        <v>2021130010179</v>
      </c>
      <c r="G506" s="2" t="str">
        <f>+VLOOKUP(F506,Hoja2!$F:$I,2,FALSE)</f>
        <v>08. PILAR CARTAGENA INCLUYENTE</v>
      </c>
      <c r="H506" s="2" t="str">
        <f>+VLOOKUP(F506,Hoja2!$F:$I,3,FALSE)</f>
        <v>8.6 LÍNEA ESTRATÉGICA PLANEACIÓN SOCIAL DEL TERRITORIO</v>
      </c>
      <c r="I506" s="2" t="str">
        <f>+VLOOKUP(F506,Hoja2!$F:$I,4,FALSE)</f>
        <v>8.6.1 PROGRAMA: INSTRUMENTOS DE PLANIFICACIÓN SOCIAL DEL TERRITORIO</v>
      </c>
      <c r="J506" t="s">
        <v>560</v>
      </c>
      <c r="K506" t="str">
        <f>"173"</f>
        <v>173</v>
      </c>
      <c r="L506" t="s">
        <v>583</v>
      </c>
      <c r="M506" t="s">
        <v>26</v>
      </c>
      <c r="N506" t="s">
        <v>27</v>
      </c>
      <c r="O506" t="s">
        <v>562</v>
      </c>
      <c r="P506" t="str">
        <f t="shared" si="66"/>
        <v>2021130010179 FORTALECIMIENTO DEL PROCESO DE ESTRATIFICACION SOCIOECONOMICA EN EL DISTRITO DE  CARTAGENA DE INDIAS</v>
      </c>
      <c r="Q506" t="str">
        <f t="shared" si="63"/>
        <v>06</v>
      </c>
      <c r="R506" t="str">
        <f t="shared" si="64"/>
        <v>00</v>
      </c>
      <c r="S506" s="1">
        <v>1</v>
      </c>
      <c r="T506" s="1">
        <v>0</v>
      </c>
      <c r="U506" s="1">
        <v>1</v>
      </c>
      <c r="V506" s="1">
        <v>0</v>
      </c>
      <c r="W506" s="1">
        <v>1</v>
      </c>
      <c r="X506" s="1">
        <v>0</v>
      </c>
      <c r="Y506" s="1">
        <v>0</v>
      </c>
      <c r="Z506" s="1">
        <v>0</v>
      </c>
      <c r="AA506" s="1">
        <v>0</v>
      </c>
      <c r="AB506" s="1">
        <v>1</v>
      </c>
      <c r="AC506" s="1">
        <v>0</v>
      </c>
    </row>
    <row r="507" spans="1:29" x14ac:dyDescent="0.3">
      <c r="A507">
        <v>2022</v>
      </c>
      <c r="B507">
        <v>100</v>
      </c>
      <c r="C507" t="str">
        <f>"09"</f>
        <v>09</v>
      </c>
      <c r="D507" t="s">
        <v>559</v>
      </c>
      <c r="E507" t="str">
        <f t="shared" si="65"/>
        <v>09 SECRETARIA DE PLANEACION</v>
      </c>
      <c r="F507" s="2">
        <v>2021130010179</v>
      </c>
      <c r="G507" s="2" t="str">
        <f>+VLOOKUP(F507,Hoja2!$F:$I,2,FALSE)</f>
        <v>08. PILAR CARTAGENA INCLUYENTE</v>
      </c>
      <c r="H507" s="2" t="str">
        <f>+VLOOKUP(F507,Hoja2!$F:$I,3,FALSE)</f>
        <v>8.6 LÍNEA ESTRATÉGICA PLANEACIÓN SOCIAL DEL TERRITORIO</v>
      </c>
      <c r="I507" s="2" t="str">
        <f>+VLOOKUP(F507,Hoja2!$F:$I,4,FALSE)</f>
        <v>8.6.1 PROGRAMA: INSTRUMENTOS DE PLANIFICACIÓN SOCIAL DEL TERRITORIO</v>
      </c>
      <c r="J507" t="s">
        <v>560</v>
      </c>
      <c r="K507" t="str">
        <f>"006"</f>
        <v>006</v>
      </c>
      <c r="L507" t="s">
        <v>593</v>
      </c>
      <c r="M507" t="s">
        <v>26</v>
      </c>
      <c r="N507" t="s">
        <v>27</v>
      </c>
      <c r="O507" t="s">
        <v>562</v>
      </c>
      <c r="P507" t="str">
        <f t="shared" si="66"/>
        <v>2021130010179 FORTALECIMIENTO DEL PROCESO DE ESTRATIFICACION SOCIOECONOMICA EN EL DISTRITO DE  CARTAGENA DE INDIAS</v>
      </c>
      <c r="Q507" t="str">
        <f t="shared" si="63"/>
        <v>06</v>
      </c>
      <c r="R507" t="str">
        <f t="shared" si="64"/>
        <v>00</v>
      </c>
      <c r="S507" s="1">
        <v>375966665</v>
      </c>
      <c r="T507" s="1">
        <v>0</v>
      </c>
      <c r="U507" s="1">
        <v>375966665</v>
      </c>
      <c r="V507" s="1">
        <v>299452711.66000003</v>
      </c>
      <c r="W507" s="1">
        <v>76513953.340000004</v>
      </c>
      <c r="X507" s="1">
        <v>293798460.77999997</v>
      </c>
      <c r="Y507" s="1">
        <v>78.14</v>
      </c>
      <c r="Z507" s="1">
        <v>293735220.77999997</v>
      </c>
      <c r="AA507" s="1">
        <v>78.13</v>
      </c>
      <c r="AB507" s="1">
        <v>82168204.219999999</v>
      </c>
      <c r="AC507" s="1">
        <v>289935220.77999997</v>
      </c>
    </row>
    <row r="508" spans="1:29" x14ac:dyDescent="0.3">
      <c r="A508">
        <v>2022</v>
      </c>
      <c r="B508">
        <v>100</v>
      </c>
      <c r="C508" t="str">
        <f>"09"</f>
        <v>09</v>
      </c>
      <c r="D508" t="s">
        <v>559</v>
      </c>
      <c r="E508" t="str">
        <f t="shared" si="65"/>
        <v>09 SECRETARIA DE PLANEACION</v>
      </c>
      <c r="F508" s="2">
        <v>2021130010179</v>
      </c>
      <c r="G508" s="2" t="str">
        <f>+VLOOKUP(F508,Hoja2!$F:$I,2,FALSE)</f>
        <v>08. PILAR CARTAGENA INCLUYENTE</v>
      </c>
      <c r="H508" s="2" t="str">
        <f>+VLOOKUP(F508,Hoja2!$F:$I,3,FALSE)</f>
        <v>8.6 LÍNEA ESTRATÉGICA PLANEACIÓN SOCIAL DEL TERRITORIO</v>
      </c>
      <c r="I508" s="2" t="str">
        <f>+VLOOKUP(F508,Hoja2!$F:$I,4,FALSE)</f>
        <v>8.6.1 PROGRAMA: INSTRUMENTOS DE PLANIFICACIÓN SOCIAL DEL TERRITORIO</v>
      </c>
      <c r="J508" t="s">
        <v>560</v>
      </c>
      <c r="K508" t="str">
        <f>"001"</f>
        <v>001</v>
      </c>
      <c r="L508" t="s">
        <v>25</v>
      </c>
      <c r="M508" t="s">
        <v>26</v>
      </c>
      <c r="N508" t="s">
        <v>27</v>
      </c>
      <c r="O508" t="s">
        <v>562</v>
      </c>
      <c r="P508" t="str">
        <f t="shared" si="66"/>
        <v>2021130010179 FORTALECIMIENTO DEL PROCESO DE ESTRATIFICACION SOCIOECONOMICA EN EL DISTRITO DE  CARTAGENA DE INDIAS</v>
      </c>
      <c r="Q508" t="str">
        <f t="shared" si="63"/>
        <v>06</v>
      </c>
      <c r="R508" t="str">
        <f t="shared" si="64"/>
        <v>00</v>
      </c>
      <c r="S508" s="1">
        <v>76953334</v>
      </c>
      <c r="T508" s="1">
        <v>0</v>
      </c>
      <c r="U508" s="1">
        <v>76953334</v>
      </c>
      <c r="V508" s="1">
        <v>56108231</v>
      </c>
      <c r="W508" s="1">
        <v>20845103</v>
      </c>
      <c r="X508" s="1">
        <v>56108231</v>
      </c>
      <c r="Y508" s="1">
        <v>72.91</v>
      </c>
      <c r="Z508" s="1">
        <v>56108231</v>
      </c>
      <c r="AA508" s="1">
        <v>72.91</v>
      </c>
      <c r="AB508" s="1">
        <v>20845103</v>
      </c>
      <c r="AC508" s="1">
        <v>56108231</v>
      </c>
    </row>
    <row r="509" spans="1:29" x14ac:dyDescent="0.3">
      <c r="A509">
        <v>2022</v>
      </c>
      <c r="B509">
        <v>100</v>
      </c>
      <c r="C509" t="str">
        <f>"09"</f>
        <v>09</v>
      </c>
      <c r="D509" t="s">
        <v>559</v>
      </c>
      <c r="E509" t="str">
        <f t="shared" si="65"/>
        <v>09 SECRETARIA DE PLANEACION</v>
      </c>
      <c r="F509" s="2">
        <v>2021130010179</v>
      </c>
      <c r="G509" s="2" t="str">
        <f>+VLOOKUP(F509,Hoja2!$F:$I,2,FALSE)</f>
        <v>08. PILAR CARTAGENA INCLUYENTE</v>
      </c>
      <c r="H509" s="2" t="str">
        <f>+VLOOKUP(F509,Hoja2!$F:$I,3,FALSE)</f>
        <v>8.6 LÍNEA ESTRATÉGICA PLANEACIÓN SOCIAL DEL TERRITORIO</v>
      </c>
      <c r="I509" s="2" t="str">
        <f>+VLOOKUP(F509,Hoja2!$F:$I,4,FALSE)</f>
        <v>8.6.1 PROGRAMA: INSTRUMENTOS DE PLANIFICACIÓN SOCIAL DEL TERRITORIO</v>
      </c>
      <c r="J509" t="s">
        <v>560</v>
      </c>
      <c r="K509" t="str">
        <f>"860"</f>
        <v>860</v>
      </c>
      <c r="L509" t="s">
        <v>600</v>
      </c>
      <c r="M509" t="s">
        <v>26</v>
      </c>
      <c r="N509" t="s">
        <v>27</v>
      </c>
      <c r="O509" t="s">
        <v>562</v>
      </c>
      <c r="P509" t="str">
        <f t="shared" si="66"/>
        <v>2021130010179 FORTALECIMIENTO DEL PROCESO DE ESTRATIFICACION SOCIOECONOMICA EN EL DISTRITO DE  CARTAGENA DE INDIAS</v>
      </c>
      <c r="Q509" t="str">
        <f t="shared" si="63"/>
        <v>06</v>
      </c>
      <c r="R509" t="str">
        <f t="shared" si="64"/>
        <v>00</v>
      </c>
      <c r="S509" s="1">
        <v>0</v>
      </c>
      <c r="T509" s="1">
        <v>258882259.99000001</v>
      </c>
      <c r="U509" s="1">
        <v>258882259.99000001</v>
      </c>
      <c r="V509" s="1">
        <v>0</v>
      </c>
      <c r="W509" s="1">
        <v>258882259.99000001</v>
      </c>
      <c r="X509" s="1">
        <v>0</v>
      </c>
      <c r="Y509" s="1">
        <v>0</v>
      </c>
      <c r="Z509" s="1">
        <v>0</v>
      </c>
      <c r="AA509" s="1">
        <v>0</v>
      </c>
      <c r="AB509" s="1">
        <v>258882259.99000001</v>
      </c>
      <c r="AC509" s="1">
        <v>0</v>
      </c>
    </row>
    <row r="510" spans="1:29" x14ac:dyDescent="0.3">
      <c r="A510">
        <v>2022</v>
      </c>
      <c r="B510">
        <v>100</v>
      </c>
      <c r="C510" t="str">
        <f>"22"</f>
        <v>22</v>
      </c>
      <c r="D510" t="s">
        <v>936</v>
      </c>
      <c r="E510" t="str">
        <f t="shared" si="65"/>
        <v>22 DISTRISEGURIDAD</v>
      </c>
      <c r="F510" s="2">
        <v>2021130010180</v>
      </c>
      <c r="G510" s="2" t="str">
        <f>+VLOOKUP(F510,Hoja2!$F:$I,2,FALSE)</f>
        <v>10. PILAR: CARTAGENA TRANSPARENTE</v>
      </c>
      <c r="H510" s="2" t="str">
        <f>+VLOOKUP(F510,Hoja2!$F:$I,3,FALSE)</f>
        <v>10.3 LÍNEA ESTRATÉGICA: CONVIVENCIA Y SEGURIDAD PARA LA GOBERNABILIDAD</v>
      </c>
      <c r="I510" s="2" t="str">
        <f>+VLOOKUP(F510,Hoja2!$F:$I,4,FALSE)</f>
        <v>10.3.8 PROGRAMA: IMPLEMENTACION Y SOSTENIMIENTO DE HERRAMIENTAS TECNOLOGICAS PARA SEGURIDAD Y SOCORRO.</v>
      </c>
      <c r="J510" t="s">
        <v>937</v>
      </c>
      <c r="K510" t="str">
        <f>"939"</f>
        <v>939</v>
      </c>
      <c r="L510" t="s">
        <v>938</v>
      </c>
      <c r="M510" t="s">
        <v>26</v>
      </c>
      <c r="N510" t="s">
        <v>27</v>
      </c>
      <c r="O510" t="s">
        <v>939</v>
      </c>
      <c r="P510" t="str">
        <f t="shared" si="66"/>
        <v>2021130010180 IMPLEMENTACION Y SOSTENIMIENTO DE HERRAMIENTAS TECCNOLOGICAS PARA SEGURIDAD Y SOCORRO EN CARTAGENA DE INDIAS</v>
      </c>
      <c r="Q510" t="str">
        <f t="shared" si="63"/>
        <v>06</v>
      </c>
      <c r="R510" t="str">
        <f t="shared" si="64"/>
        <v>00</v>
      </c>
      <c r="S510" s="1">
        <v>0</v>
      </c>
      <c r="T510" s="1">
        <v>1765904776</v>
      </c>
      <c r="U510" s="1">
        <v>1765904776</v>
      </c>
      <c r="V510" s="1">
        <v>0</v>
      </c>
      <c r="W510" s="1">
        <v>1765904776</v>
      </c>
      <c r="X510" s="1">
        <v>0</v>
      </c>
      <c r="Y510" s="1">
        <v>0</v>
      </c>
      <c r="Z510" s="1">
        <v>0</v>
      </c>
      <c r="AA510" s="1">
        <v>0</v>
      </c>
      <c r="AB510" s="1">
        <v>1765904776</v>
      </c>
      <c r="AC510" s="1">
        <v>0</v>
      </c>
    </row>
    <row r="511" spans="1:29" x14ac:dyDescent="0.3">
      <c r="A511">
        <v>2022</v>
      </c>
      <c r="B511">
        <v>100</v>
      </c>
      <c r="C511" t="str">
        <f>"22"</f>
        <v>22</v>
      </c>
      <c r="D511" t="s">
        <v>936</v>
      </c>
      <c r="E511" t="str">
        <f t="shared" si="65"/>
        <v>22 DISTRISEGURIDAD</v>
      </c>
      <c r="F511" s="2">
        <v>2021130010180</v>
      </c>
      <c r="G511" s="2" t="str">
        <f>+VLOOKUP(F511,Hoja2!$F:$I,2,FALSE)</f>
        <v>10. PILAR: CARTAGENA TRANSPARENTE</v>
      </c>
      <c r="H511" s="2" t="str">
        <f>+VLOOKUP(F511,Hoja2!$F:$I,3,FALSE)</f>
        <v>10.3 LÍNEA ESTRATÉGICA: CONVIVENCIA Y SEGURIDAD PARA LA GOBERNABILIDAD</v>
      </c>
      <c r="I511" s="2" t="str">
        <f>+VLOOKUP(F511,Hoja2!$F:$I,4,FALSE)</f>
        <v>10.3.8 PROGRAMA: IMPLEMENTACION Y SOSTENIMIENTO DE HERRAMIENTAS TECNOLOGICAS PARA SEGURIDAD Y SOCORRO.</v>
      </c>
      <c r="J511" t="s">
        <v>937</v>
      </c>
      <c r="K511" t="str">
        <f>"085"</f>
        <v>085</v>
      </c>
      <c r="L511" t="s">
        <v>949</v>
      </c>
      <c r="M511" t="s">
        <v>26</v>
      </c>
      <c r="N511" t="s">
        <v>27</v>
      </c>
      <c r="O511" t="s">
        <v>951</v>
      </c>
      <c r="P511" t="str">
        <f t="shared" si="66"/>
        <v>2021130010180 IMPLEMENTACION Y SOSTENIMIENTO DE HERRAMIENTAS TECNOLOGICAS PARA LA SEGURIDAD Y SOCORRO EN</v>
      </c>
      <c r="Q511" t="str">
        <f t="shared" si="63"/>
        <v>06</v>
      </c>
      <c r="R511" t="str">
        <f t="shared" si="64"/>
        <v>00</v>
      </c>
      <c r="S511" s="1">
        <v>305165968</v>
      </c>
      <c r="T511" s="1">
        <v>0</v>
      </c>
      <c r="U511" s="1">
        <v>305165968</v>
      </c>
      <c r="V511" s="1">
        <v>305165968</v>
      </c>
      <c r="W511" s="1">
        <v>0</v>
      </c>
      <c r="X511" s="1">
        <v>305165968</v>
      </c>
      <c r="Y511" s="1">
        <v>100</v>
      </c>
      <c r="Z511" s="1">
        <v>305165968</v>
      </c>
      <c r="AA511" s="1">
        <v>100</v>
      </c>
      <c r="AB511" s="1">
        <v>0</v>
      </c>
      <c r="AC511" s="1">
        <v>305165968</v>
      </c>
    </row>
    <row r="512" spans="1:29" x14ac:dyDescent="0.3">
      <c r="A512">
        <v>2022</v>
      </c>
      <c r="B512">
        <v>100</v>
      </c>
      <c r="C512" t="str">
        <f>"22"</f>
        <v>22</v>
      </c>
      <c r="D512" t="s">
        <v>936</v>
      </c>
      <c r="E512" t="str">
        <f t="shared" si="65"/>
        <v>22 DISTRISEGURIDAD</v>
      </c>
      <c r="F512" s="2">
        <v>2021130010180</v>
      </c>
      <c r="G512" s="2" t="str">
        <f>+VLOOKUP(F512,Hoja2!$F:$I,2,FALSE)</f>
        <v>10. PILAR: CARTAGENA TRANSPARENTE</v>
      </c>
      <c r="H512" s="2" t="str">
        <f>+VLOOKUP(F512,Hoja2!$F:$I,3,FALSE)</f>
        <v>10.3 LÍNEA ESTRATÉGICA: CONVIVENCIA Y SEGURIDAD PARA LA GOBERNABILIDAD</v>
      </c>
      <c r="I512" s="2" t="str">
        <f>+VLOOKUP(F512,Hoja2!$F:$I,4,FALSE)</f>
        <v>10.3.8 PROGRAMA: IMPLEMENTACION Y SOSTENIMIENTO DE HERRAMIENTAS TECNOLOGICAS PARA SEGURIDAD Y SOCORRO.</v>
      </c>
      <c r="J512" t="s">
        <v>937</v>
      </c>
      <c r="K512" t="str">
        <f>"084"</f>
        <v>084</v>
      </c>
      <c r="L512" t="s">
        <v>952</v>
      </c>
      <c r="M512" t="s">
        <v>26</v>
      </c>
      <c r="N512" t="s">
        <v>27</v>
      </c>
      <c r="O512" t="s">
        <v>951</v>
      </c>
      <c r="P512" t="str">
        <f t="shared" si="66"/>
        <v>2021130010180 IMPLEMENTACION Y SOSTENIMIENTO DE HERRAMIENTAS TECNOLOGICAS PARA LA SEGURIDAD Y SOCORRO EN</v>
      </c>
      <c r="Q512" t="str">
        <f t="shared" si="63"/>
        <v>06</v>
      </c>
      <c r="R512" t="str">
        <f t="shared" si="64"/>
        <v>00</v>
      </c>
      <c r="S512" s="1">
        <v>1307002</v>
      </c>
      <c r="T512" s="1">
        <v>0</v>
      </c>
      <c r="U512" s="1">
        <v>1307002</v>
      </c>
      <c r="V512" s="1">
        <v>0</v>
      </c>
      <c r="W512" s="1">
        <v>1307002</v>
      </c>
      <c r="X512" s="1">
        <v>0</v>
      </c>
      <c r="Y512" s="1">
        <v>0</v>
      </c>
      <c r="Z512" s="1">
        <v>0</v>
      </c>
      <c r="AA512" s="1">
        <v>0</v>
      </c>
      <c r="AB512" s="1">
        <v>1307002</v>
      </c>
      <c r="AC512" s="1">
        <v>0</v>
      </c>
    </row>
    <row r="513" spans="1:29" x14ac:dyDescent="0.3">
      <c r="A513">
        <v>2022</v>
      </c>
      <c r="B513">
        <v>100</v>
      </c>
      <c r="C513" t="str">
        <f>"22"</f>
        <v>22</v>
      </c>
      <c r="D513" t="s">
        <v>936</v>
      </c>
      <c r="E513" t="str">
        <f t="shared" si="65"/>
        <v>22 DISTRISEGURIDAD</v>
      </c>
      <c r="F513" s="2">
        <v>2021130010180</v>
      </c>
      <c r="G513" s="2" t="str">
        <f>+VLOOKUP(F513,Hoja2!$F:$I,2,FALSE)</f>
        <v>10. PILAR: CARTAGENA TRANSPARENTE</v>
      </c>
      <c r="H513" s="2" t="str">
        <f>+VLOOKUP(F513,Hoja2!$F:$I,3,FALSE)</f>
        <v>10.3 LÍNEA ESTRATÉGICA: CONVIVENCIA Y SEGURIDAD PARA LA GOBERNABILIDAD</v>
      </c>
      <c r="I513" s="2" t="str">
        <f>+VLOOKUP(F513,Hoja2!$F:$I,4,FALSE)</f>
        <v>10.3.8 PROGRAMA: IMPLEMENTACION Y SOSTENIMIENTO DE HERRAMIENTAS TECNOLOGICAS PARA SEGURIDAD Y SOCORRO.</v>
      </c>
      <c r="J513" t="s">
        <v>937</v>
      </c>
      <c r="K513" t="str">
        <f>"051"</f>
        <v>051</v>
      </c>
      <c r="L513" t="s">
        <v>955</v>
      </c>
      <c r="M513" t="s">
        <v>26</v>
      </c>
      <c r="N513" t="s">
        <v>27</v>
      </c>
      <c r="O513" t="s">
        <v>951</v>
      </c>
      <c r="P513" t="str">
        <f t="shared" si="66"/>
        <v>2021130010180 IMPLEMENTACION Y SOSTENIMIENTO DE HERRAMIENTAS TECNOLOGICAS PARA LA SEGURIDAD Y SOCORRO EN</v>
      </c>
      <c r="Q513" t="str">
        <f t="shared" si="63"/>
        <v>06</v>
      </c>
      <c r="R513" t="str">
        <f t="shared" si="64"/>
        <v>00</v>
      </c>
      <c r="S513" s="1">
        <v>1722633834</v>
      </c>
      <c r="T513" s="1">
        <v>0</v>
      </c>
      <c r="U513" s="1">
        <v>1722633834</v>
      </c>
      <c r="V513" s="1">
        <v>1695087552.96</v>
      </c>
      <c r="W513" s="1">
        <v>27546281.039999999</v>
      </c>
      <c r="X513" s="1">
        <v>1695087552.96</v>
      </c>
      <c r="Y513" s="1">
        <v>98.4</v>
      </c>
      <c r="Z513" s="1">
        <v>1695087552.96</v>
      </c>
      <c r="AA513" s="1">
        <v>98.4</v>
      </c>
      <c r="AB513" s="1">
        <v>27546281.039999999</v>
      </c>
      <c r="AC513" s="1">
        <v>1695087552.96</v>
      </c>
    </row>
    <row r="514" spans="1:29" x14ac:dyDescent="0.3">
      <c r="A514">
        <v>2022</v>
      </c>
      <c r="B514">
        <v>100</v>
      </c>
      <c r="C514" t="str">
        <f>"22"</f>
        <v>22</v>
      </c>
      <c r="D514" t="s">
        <v>936</v>
      </c>
      <c r="E514" t="str">
        <f t="shared" si="65"/>
        <v>22 DISTRISEGURIDAD</v>
      </c>
      <c r="F514" s="2">
        <v>2021130010180</v>
      </c>
      <c r="G514" s="2" t="str">
        <f>+VLOOKUP(F514,Hoja2!$F:$I,2,FALSE)</f>
        <v>10. PILAR: CARTAGENA TRANSPARENTE</v>
      </c>
      <c r="H514" s="2" t="str">
        <f>+VLOOKUP(F514,Hoja2!$F:$I,3,FALSE)</f>
        <v>10.3 LÍNEA ESTRATÉGICA: CONVIVENCIA Y SEGURIDAD PARA LA GOBERNABILIDAD</v>
      </c>
      <c r="I514" s="2" t="str">
        <f>+VLOOKUP(F514,Hoja2!$F:$I,4,FALSE)</f>
        <v>10.3.8 PROGRAMA: IMPLEMENTACION Y SOSTENIMIENTO DE HERRAMIENTAS TECNOLOGICAS PARA SEGURIDAD Y SOCORRO.</v>
      </c>
      <c r="J514" t="s">
        <v>937</v>
      </c>
      <c r="K514" t="str">
        <f>"037"</f>
        <v>037</v>
      </c>
      <c r="L514" t="s">
        <v>956</v>
      </c>
      <c r="M514" t="s">
        <v>26</v>
      </c>
      <c r="N514" t="s">
        <v>27</v>
      </c>
      <c r="O514" t="s">
        <v>951</v>
      </c>
      <c r="P514" t="str">
        <f t="shared" si="66"/>
        <v>2021130010180 IMPLEMENTACION Y SOSTENIMIENTO DE HERRAMIENTAS TECNOLOGICAS PARA LA SEGURIDAD Y SOCORRO EN</v>
      </c>
      <c r="Q514" t="str">
        <f t="shared" ref="Q514:Q577" si="71">"06"</f>
        <v>06</v>
      </c>
      <c r="R514" t="str">
        <f t="shared" ref="R514:R577" si="72">"00"</f>
        <v>00</v>
      </c>
      <c r="S514" s="1">
        <v>500000000</v>
      </c>
      <c r="T514" s="1">
        <v>0</v>
      </c>
      <c r="U514" s="1">
        <v>500000000</v>
      </c>
      <c r="V514" s="1">
        <v>500000000</v>
      </c>
      <c r="W514" s="1">
        <v>0</v>
      </c>
      <c r="X514" s="1">
        <v>500000000</v>
      </c>
      <c r="Y514" s="1">
        <v>100</v>
      </c>
      <c r="Z514" s="1">
        <v>500000000</v>
      </c>
      <c r="AA514" s="1">
        <v>100</v>
      </c>
      <c r="AB514" s="1">
        <v>0</v>
      </c>
      <c r="AC514" s="1">
        <v>500000000</v>
      </c>
    </row>
    <row r="515" spans="1:29" x14ac:dyDescent="0.3">
      <c r="A515">
        <v>2022</v>
      </c>
      <c r="B515">
        <v>100</v>
      </c>
      <c r="C515" t="str">
        <f>"09"</f>
        <v>09</v>
      </c>
      <c r="D515" t="s">
        <v>559</v>
      </c>
      <c r="E515" t="str">
        <f t="shared" ref="E515:E578" si="73">+CONCATENATE(C515," ",D515)</f>
        <v>09 SECRETARIA DE PLANEACION</v>
      </c>
      <c r="F515" s="2">
        <v>2021130010181</v>
      </c>
      <c r="G515" s="2" t="str">
        <f>+VLOOKUP(F515,Hoja2!$F:$I,2,FALSE)</f>
        <v>07. PILAR CARTAGENA RESILIENTE</v>
      </c>
      <c r="H515" s="2" t="str">
        <f>+VLOOKUP(F515,Hoja2!$F:$I,3,FALSE)</f>
        <v>7.7 LÍNEA ESTRATÉGICA INSTRUMENTOS DE ORDENAMIENTO TERRITORIAL.</v>
      </c>
      <c r="I515" s="2" t="str">
        <f>+VLOOKUP(F515,Hoja2!$F:$I,4,FALSE)</f>
        <v>7.7.3 ORDENACIÓN TERRITORIAL Y  RECUPERACIÓN SOCIAL, AMBIENTAL Y URBANA DE LA CIÉNAGA DE LA VIRGEN.</v>
      </c>
      <c r="J515" t="s">
        <v>572</v>
      </c>
      <c r="K515" t="str">
        <f>"813"</f>
        <v>813</v>
      </c>
      <c r="L515" t="s">
        <v>169</v>
      </c>
      <c r="M515" t="s">
        <v>26</v>
      </c>
      <c r="N515" t="s">
        <v>27</v>
      </c>
      <c r="O515" t="s">
        <v>573</v>
      </c>
      <c r="P515" t="str">
        <f t="shared" ref="P515:P578" si="74">+CONCATENATE(F515," ",O515)</f>
        <v>2021130010181 ASISTENCIA TECNICA AL PROYECTO DE ELABORACION DE ESTUDIOS Y DISE?OS AJUSTADOS DE LA VIA PERIMETRAL EN EL MARCO DEL PROGRAMA ORDENACION TERRITORIAL RECUPERACION SOCIAL AMBIENTAL URBANA DE LA CIENAGA DE LA VIRGEN DISTRITO DE CARTAGENA DE INDIAS</v>
      </c>
      <c r="Q515" t="str">
        <f t="shared" si="71"/>
        <v>06</v>
      </c>
      <c r="R515" t="str">
        <f t="shared" si="72"/>
        <v>00</v>
      </c>
      <c r="S515" s="1">
        <v>0</v>
      </c>
      <c r="T515" s="1">
        <v>0</v>
      </c>
      <c r="U515" s="1">
        <v>0</v>
      </c>
      <c r="V515" s="1">
        <v>0</v>
      </c>
      <c r="W515" s="1">
        <v>0</v>
      </c>
      <c r="X515" s="1">
        <v>0</v>
      </c>
      <c r="Y515" s="1">
        <v>0</v>
      </c>
      <c r="Z515" s="1">
        <v>0</v>
      </c>
      <c r="AA515" s="1">
        <v>0</v>
      </c>
      <c r="AB515" s="1">
        <v>0</v>
      </c>
      <c r="AC515" s="1">
        <v>0</v>
      </c>
    </row>
    <row r="516" spans="1:29" x14ac:dyDescent="0.3">
      <c r="A516">
        <v>2022</v>
      </c>
      <c r="B516">
        <v>100</v>
      </c>
      <c r="C516" t="str">
        <f>"09"</f>
        <v>09</v>
      </c>
      <c r="D516" t="s">
        <v>559</v>
      </c>
      <c r="E516" t="str">
        <f t="shared" si="73"/>
        <v>09 SECRETARIA DE PLANEACION</v>
      </c>
      <c r="F516" s="2">
        <v>2021130010181</v>
      </c>
      <c r="G516" s="2" t="str">
        <f>+VLOOKUP(F516,Hoja2!$F:$I,2,FALSE)</f>
        <v>07. PILAR CARTAGENA RESILIENTE</v>
      </c>
      <c r="H516" s="2" t="str">
        <f>+VLOOKUP(F516,Hoja2!$F:$I,3,FALSE)</f>
        <v>7.7 LÍNEA ESTRATÉGICA INSTRUMENTOS DE ORDENAMIENTO TERRITORIAL.</v>
      </c>
      <c r="I516" s="2" t="str">
        <f>+VLOOKUP(F516,Hoja2!$F:$I,4,FALSE)</f>
        <v>7.7.3 ORDENACIÓN TERRITORIAL Y  RECUPERACIÓN SOCIAL, AMBIENTAL Y URBANA DE LA CIÉNAGA DE LA VIRGEN.</v>
      </c>
      <c r="J516" t="s">
        <v>572</v>
      </c>
      <c r="K516" t="str">
        <f>"001"</f>
        <v>001</v>
      </c>
      <c r="L516" t="s">
        <v>25</v>
      </c>
      <c r="M516" t="s">
        <v>26</v>
      </c>
      <c r="N516" t="s">
        <v>27</v>
      </c>
      <c r="O516" t="s">
        <v>573</v>
      </c>
      <c r="P516" t="str">
        <f t="shared" si="74"/>
        <v>2021130010181 ASISTENCIA TECNICA AL PROYECTO DE ELABORACION DE ESTUDIOS Y DISE?OS AJUSTADOS DE LA VIA PERIMETRAL EN EL MARCO DEL PROGRAMA ORDENACION TERRITORIAL RECUPERACION SOCIAL AMBIENTAL URBANA DE LA CIENAGA DE LA VIRGEN DISTRITO DE CARTAGENA DE INDIAS</v>
      </c>
      <c r="Q516" t="str">
        <f t="shared" si="71"/>
        <v>06</v>
      </c>
      <c r="R516" t="str">
        <f t="shared" si="72"/>
        <v>00</v>
      </c>
      <c r="S516" s="1">
        <v>320100000</v>
      </c>
      <c r="T516" s="1">
        <v>0</v>
      </c>
      <c r="U516" s="1">
        <v>320100000</v>
      </c>
      <c r="V516" s="1">
        <v>320100000</v>
      </c>
      <c r="W516" s="1">
        <v>0</v>
      </c>
      <c r="X516" s="1">
        <v>320100000</v>
      </c>
      <c r="Y516" s="1">
        <v>100</v>
      </c>
      <c r="Z516" s="1">
        <v>315700000</v>
      </c>
      <c r="AA516" s="1">
        <v>98.63</v>
      </c>
      <c r="AB516" s="1">
        <v>0</v>
      </c>
      <c r="AC516" s="1">
        <v>307700000</v>
      </c>
    </row>
    <row r="517" spans="1:29" x14ac:dyDescent="0.3">
      <c r="A517">
        <v>2022</v>
      </c>
      <c r="B517">
        <v>100</v>
      </c>
      <c r="C517" t="str">
        <f>"08"</f>
        <v>08</v>
      </c>
      <c r="D517" t="s">
        <v>479</v>
      </c>
      <c r="E517" t="str">
        <f t="shared" si="73"/>
        <v>08 SECRETARIA DE PARTICIPACION Y DESARROLLO SOCIAL</v>
      </c>
      <c r="F517" s="2">
        <v>2021130010182</v>
      </c>
      <c r="G517" s="2" t="str">
        <f>+VLOOKUP(F517,Hoja2!$F:$I,2,FALSE)</f>
        <v>07. PILAR CARTAGENA RESILIENTE</v>
      </c>
      <c r="H517" s="2" t="str">
        <f>+VLOOKUP(F517,Hoja2!$F:$I,3,FALSE)</f>
        <v>7.1 LÍNEA ESTRATÉGICA: “SALVEMOS JUNTOS NUESTRO PATRIMONIO NATURAL”</v>
      </c>
      <c r="I517" s="2" t="str">
        <f>+VLOOKUP(F517,Hoja2!$F:$I,4,FALSE)</f>
        <v>7.1.8 BIENESTAR Y PROTECCIÓN ANIMAL</v>
      </c>
      <c r="J517" t="s">
        <v>506</v>
      </c>
      <c r="K517" t="str">
        <f>"001"</f>
        <v>001</v>
      </c>
      <c r="L517" t="s">
        <v>25</v>
      </c>
      <c r="M517" t="s">
        <v>26</v>
      </c>
      <c r="N517" t="s">
        <v>27</v>
      </c>
      <c r="O517" t="s">
        <v>507</v>
      </c>
      <c r="P517" t="str">
        <f t="shared" si="74"/>
        <v>2021130010182 SERVICIO DE ESTERILIZACION DE CANINOS Y FELINOS EN EL DISTRITO DE CARTAGENA-0 CARTAGENA DE INDIAS</v>
      </c>
      <c r="Q517" t="str">
        <f t="shared" si="71"/>
        <v>06</v>
      </c>
      <c r="R517" t="str">
        <f t="shared" si="72"/>
        <v>00</v>
      </c>
      <c r="S517" s="1">
        <v>105000000</v>
      </c>
      <c r="T517" s="1">
        <v>0</v>
      </c>
      <c r="U517" s="1">
        <v>105000000</v>
      </c>
      <c r="V517" s="1">
        <v>104600000</v>
      </c>
      <c r="W517" s="1">
        <v>400000</v>
      </c>
      <c r="X517" s="1">
        <v>104231000</v>
      </c>
      <c r="Y517" s="1">
        <v>99.27</v>
      </c>
      <c r="Z517" s="1">
        <v>52045000</v>
      </c>
      <c r="AA517" s="1">
        <v>49.57</v>
      </c>
      <c r="AB517" s="1">
        <v>769000</v>
      </c>
      <c r="AC517" s="1">
        <v>52045000</v>
      </c>
    </row>
    <row r="518" spans="1:29" x14ac:dyDescent="0.3">
      <c r="A518">
        <v>2022</v>
      </c>
      <c r="B518">
        <v>100</v>
      </c>
      <c r="C518" t="str">
        <f>"08"</f>
        <v>08</v>
      </c>
      <c r="D518" t="s">
        <v>479</v>
      </c>
      <c r="E518" t="str">
        <f t="shared" si="73"/>
        <v>08 SECRETARIA DE PARTICIPACION Y DESARROLLO SOCIAL</v>
      </c>
      <c r="F518" s="2">
        <v>2021130010183</v>
      </c>
      <c r="G518" s="2" t="str">
        <f>+VLOOKUP(F518,Hoja2!$F:$I,2,FALSE)</f>
        <v>09. PILAR CARTAGENA CONTINGENTE</v>
      </c>
      <c r="H518" s="2" t="str">
        <f>+VLOOKUP(F518,Hoja2!$F:$I,3,FALSE)</f>
        <v>9.2 LÍNEA ESTRATÉGICA: COMPETITIVIDAD E INNOVACIÓN</v>
      </c>
      <c r="I518" s="2" t="str">
        <f>+VLOOKUP(F518,Hoja2!$F:$I,4,FALSE)</f>
        <v>9.2.3 PROGRAMA: CARTAGENA FOMENTA LA CIENCIA, TECNOLOGÍA E INNOVACIÓN : JUNTOS POR LA EXTENSIÓN AGROPECUARIA A PEQUEÑOS PRODUCTORES.</v>
      </c>
      <c r="J518" t="s">
        <v>483</v>
      </c>
      <c r="K518" t="str">
        <f>"001"</f>
        <v>001</v>
      </c>
      <c r="L518" t="s">
        <v>25</v>
      </c>
      <c r="M518" t="s">
        <v>26</v>
      </c>
      <c r="N518" t="s">
        <v>27</v>
      </c>
      <c r="O518" t="s">
        <v>484</v>
      </c>
      <c r="P518" t="str">
        <f t="shared" si="74"/>
        <v xml:space="preserve">2021130010183 PRESTACION DEL SERVICIO DE EXTENSION RURAL AGROPECUARIA A LOS PEQUE?OS PRODUCTORES ASENTADOS EN LA ZONA RURAL DEL DISTRITO DE CARTAGENA DE INDIAS </v>
      </c>
      <c r="Q518" t="str">
        <f t="shared" si="71"/>
        <v>06</v>
      </c>
      <c r="R518" t="str">
        <f t="shared" si="72"/>
        <v>00</v>
      </c>
      <c r="S518" s="1">
        <v>247796854</v>
      </c>
      <c r="T518" s="1">
        <v>0</v>
      </c>
      <c r="U518" s="1">
        <v>247796854</v>
      </c>
      <c r="V518" s="1">
        <v>243834692</v>
      </c>
      <c r="W518" s="1">
        <v>3962162</v>
      </c>
      <c r="X518" s="1">
        <v>204650875</v>
      </c>
      <c r="Y518" s="1">
        <v>82.59</v>
      </c>
      <c r="Z518" s="1">
        <v>204650875</v>
      </c>
      <c r="AA518" s="1">
        <v>82.59</v>
      </c>
      <c r="AB518" s="1">
        <v>43145979</v>
      </c>
      <c r="AC518" s="1">
        <v>204650875</v>
      </c>
    </row>
    <row r="519" spans="1:29" x14ac:dyDescent="0.3">
      <c r="A519">
        <v>2022</v>
      </c>
      <c r="B519">
        <v>100</v>
      </c>
      <c r="C519" t="str">
        <f t="shared" ref="C519:C525" si="75">"06"</f>
        <v>06</v>
      </c>
      <c r="D519" t="s">
        <v>375</v>
      </c>
      <c r="E519" t="str">
        <f t="shared" si="73"/>
        <v>06 SECRETARIA DE INFRAESTRUCTURA</v>
      </c>
      <c r="F519" s="2">
        <v>2021130010184</v>
      </c>
      <c r="G519" s="2" t="str">
        <f>+VLOOKUP(F519,Hoja2!$F:$I,2,FALSE)</f>
        <v>07. PILAR CARTAGENA RESILIENTE</v>
      </c>
      <c r="H519" s="2" t="str">
        <f>+VLOOKUP(F519,Hoja2!$F:$I,3,FALSE)</f>
        <v>7.3 LÍNEA ESTRATÉGICA DESARROLLO URBANO</v>
      </c>
      <c r="I519" s="2" t="str">
        <f>+VLOOKUP(F519,Hoja2!$F:$I,4,FALSE)</f>
        <v>7.3.5 INTEGRAL DE CAÑOS, LAGOS Y CIÉNAGAS DE CARTAGENA DE INDIAS</v>
      </c>
      <c r="J519" t="s">
        <v>376</v>
      </c>
      <c r="K519" t="str">
        <f>"863"</f>
        <v>863</v>
      </c>
      <c r="L519" t="s">
        <v>377</v>
      </c>
      <c r="M519" t="s">
        <v>26</v>
      </c>
      <c r="N519" t="s">
        <v>27</v>
      </c>
      <c r="O519" t="s">
        <v>378</v>
      </c>
      <c r="P519" t="str">
        <f t="shared" si="74"/>
        <v xml:space="preserve">2021130010184 RECUPERACION Y APROVECHAMIENTO INTEGRAL DEL SISTEMA INTEGRAL DE CA?OS, LAGOS Y CIENAGAS DEL DISTRITO DE CARTAGENA DE INDIAS </v>
      </c>
      <c r="Q519" t="str">
        <f t="shared" si="71"/>
        <v>06</v>
      </c>
      <c r="R519" t="str">
        <f t="shared" si="72"/>
        <v>00</v>
      </c>
      <c r="S519" s="1">
        <v>0</v>
      </c>
      <c r="T519" s="1">
        <v>797434.61</v>
      </c>
      <c r="U519" s="1">
        <v>797434.61</v>
      </c>
      <c r="V519" s="1">
        <v>797434</v>
      </c>
      <c r="W519" s="1">
        <v>0.61</v>
      </c>
      <c r="X519" s="1">
        <v>0</v>
      </c>
      <c r="Y519" s="1">
        <v>0</v>
      </c>
      <c r="Z519" s="1">
        <v>0</v>
      </c>
      <c r="AA519" s="1">
        <v>0</v>
      </c>
      <c r="AB519" s="1">
        <v>797434.61</v>
      </c>
      <c r="AC519" s="1">
        <v>0</v>
      </c>
    </row>
    <row r="520" spans="1:29" x14ac:dyDescent="0.3">
      <c r="A520">
        <v>2022</v>
      </c>
      <c r="B520">
        <v>100</v>
      </c>
      <c r="C520" t="str">
        <f t="shared" si="75"/>
        <v>06</v>
      </c>
      <c r="D520" t="s">
        <v>375</v>
      </c>
      <c r="E520" t="str">
        <f t="shared" si="73"/>
        <v>06 SECRETARIA DE INFRAESTRUCTURA</v>
      </c>
      <c r="F520" s="2">
        <v>2021130010184</v>
      </c>
      <c r="G520" s="2" t="str">
        <f>+VLOOKUP(F520,Hoja2!$F:$I,2,FALSE)</f>
        <v>07. PILAR CARTAGENA RESILIENTE</v>
      </c>
      <c r="H520" s="2" t="str">
        <f>+VLOOKUP(F520,Hoja2!$F:$I,3,FALSE)</f>
        <v>7.3 LÍNEA ESTRATÉGICA DESARROLLO URBANO</v>
      </c>
      <c r="I520" s="2" t="str">
        <f>+VLOOKUP(F520,Hoja2!$F:$I,4,FALSE)</f>
        <v>7.3.5 INTEGRAL DE CAÑOS, LAGOS Y CIÉNAGAS DE CARTAGENA DE INDIAS</v>
      </c>
      <c r="J520" t="s">
        <v>376</v>
      </c>
      <c r="K520" t="str">
        <f>"869"</f>
        <v>869</v>
      </c>
      <c r="L520" t="s">
        <v>55</v>
      </c>
      <c r="M520" t="s">
        <v>26</v>
      </c>
      <c r="N520" t="s">
        <v>27</v>
      </c>
      <c r="O520" t="s">
        <v>383</v>
      </c>
      <c r="P520" t="str">
        <f t="shared" si="74"/>
        <v>2021130010184 RECUPERACION Y APROVECHAMIENTO INTEGRAL DEL SISTEMA INTEGRAL DE CA?OS, LAGOS Y CIENAGAS DEL DISTRITO DE CARTAGENA DE INDIAS</v>
      </c>
      <c r="Q520" t="str">
        <f t="shared" si="71"/>
        <v>06</v>
      </c>
      <c r="R520" t="str">
        <f t="shared" si="72"/>
        <v>00</v>
      </c>
      <c r="S520" s="1">
        <v>0</v>
      </c>
      <c r="T520" s="1">
        <v>644031299</v>
      </c>
      <c r="U520" s="1">
        <v>644031299</v>
      </c>
      <c r="V520" s="1">
        <v>644031299</v>
      </c>
      <c r="W520" s="1">
        <v>0</v>
      </c>
      <c r="X520" s="1">
        <v>0</v>
      </c>
      <c r="Y520" s="1">
        <v>0</v>
      </c>
      <c r="Z520" s="1">
        <v>0</v>
      </c>
      <c r="AA520" s="1">
        <v>0</v>
      </c>
      <c r="AB520" s="1">
        <v>644031299</v>
      </c>
      <c r="AC520" s="1">
        <v>0</v>
      </c>
    </row>
    <row r="521" spans="1:29" x14ac:dyDescent="0.3">
      <c r="A521">
        <v>2022</v>
      </c>
      <c r="B521">
        <v>100</v>
      </c>
      <c r="C521" t="str">
        <f t="shared" si="75"/>
        <v>06</v>
      </c>
      <c r="D521" t="s">
        <v>375</v>
      </c>
      <c r="E521" t="str">
        <f t="shared" si="73"/>
        <v>06 SECRETARIA DE INFRAESTRUCTURA</v>
      </c>
      <c r="F521" s="2">
        <v>2021130010184</v>
      </c>
      <c r="G521" s="2" t="str">
        <f>+VLOOKUP(F521,Hoja2!$F:$I,2,FALSE)</f>
        <v>07. PILAR CARTAGENA RESILIENTE</v>
      </c>
      <c r="H521" s="2" t="str">
        <f>+VLOOKUP(F521,Hoja2!$F:$I,3,FALSE)</f>
        <v>7.3 LÍNEA ESTRATÉGICA DESARROLLO URBANO</v>
      </c>
      <c r="I521" s="2" t="str">
        <f>+VLOOKUP(F521,Hoja2!$F:$I,4,FALSE)</f>
        <v>7.3.5 INTEGRAL DE CAÑOS, LAGOS Y CIÉNAGAS DE CARTAGENA DE INDIAS</v>
      </c>
      <c r="J521" t="s">
        <v>376</v>
      </c>
      <c r="K521" t="str">
        <f>"814"</f>
        <v>814</v>
      </c>
      <c r="L521" t="s">
        <v>60</v>
      </c>
      <c r="M521" t="s">
        <v>26</v>
      </c>
      <c r="N521" t="s">
        <v>27</v>
      </c>
      <c r="O521" t="s">
        <v>378</v>
      </c>
      <c r="P521" t="str">
        <f t="shared" si="74"/>
        <v xml:space="preserve">2021130010184 RECUPERACION Y APROVECHAMIENTO INTEGRAL DEL SISTEMA INTEGRAL DE CA?OS, LAGOS Y CIENAGAS DEL DISTRITO DE CARTAGENA DE INDIAS </v>
      </c>
      <c r="Q521" t="str">
        <f t="shared" si="71"/>
        <v>06</v>
      </c>
      <c r="R521" t="str">
        <f t="shared" si="72"/>
        <v>00</v>
      </c>
      <c r="S521" s="1">
        <v>0</v>
      </c>
      <c r="T521" s="1">
        <v>567844209</v>
      </c>
      <c r="U521" s="1">
        <v>567844209</v>
      </c>
      <c r="V521" s="1">
        <v>567844209</v>
      </c>
      <c r="W521" s="1">
        <v>0</v>
      </c>
      <c r="X521" s="1">
        <v>0</v>
      </c>
      <c r="Y521" s="1">
        <v>0</v>
      </c>
      <c r="Z521" s="1">
        <v>0</v>
      </c>
      <c r="AA521" s="1">
        <v>0</v>
      </c>
      <c r="AB521" s="1">
        <v>567844209</v>
      </c>
      <c r="AC521" s="1">
        <v>0</v>
      </c>
    </row>
    <row r="522" spans="1:29" x14ac:dyDescent="0.3">
      <c r="A522">
        <v>2022</v>
      </c>
      <c r="B522">
        <v>100</v>
      </c>
      <c r="C522" t="str">
        <f t="shared" si="75"/>
        <v>06</v>
      </c>
      <c r="D522" t="s">
        <v>375</v>
      </c>
      <c r="E522" t="str">
        <f t="shared" si="73"/>
        <v>06 SECRETARIA DE INFRAESTRUCTURA</v>
      </c>
      <c r="F522" s="2">
        <v>2021130010184</v>
      </c>
      <c r="G522" s="2" t="str">
        <f>+VLOOKUP(F522,Hoja2!$F:$I,2,FALSE)</f>
        <v>07. PILAR CARTAGENA RESILIENTE</v>
      </c>
      <c r="H522" s="2" t="str">
        <f>+VLOOKUP(F522,Hoja2!$F:$I,3,FALSE)</f>
        <v>7.3 LÍNEA ESTRATÉGICA DESARROLLO URBANO</v>
      </c>
      <c r="I522" s="2" t="str">
        <f>+VLOOKUP(F522,Hoja2!$F:$I,4,FALSE)</f>
        <v>7.3.5 INTEGRAL DE CAÑOS, LAGOS Y CIÉNAGAS DE CARTAGENA DE INDIAS</v>
      </c>
      <c r="J522" t="s">
        <v>376</v>
      </c>
      <c r="K522" t="str">
        <f>"818"</f>
        <v>818</v>
      </c>
      <c r="L522" t="s">
        <v>388</v>
      </c>
      <c r="M522" t="s">
        <v>26</v>
      </c>
      <c r="N522" t="s">
        <v>27</v>
      </c>
      <c r="O522" t="s">
        <v>378</v>
      </c>
      <c r="P522" t="str">
        <f t="shared" si="74"/>
        <v xml:space="preserve">2021130010184 RECUPERACION Y APROVECHAMIENTO INTEGRAL DEL SISTEMA INTEGRAL DE CA?OS, LAGOS Y CIENAGAS DEL DISTRITO DE CARTAGENA DE INDIAS </v>
      </c>
      <c r="Q522" t="str">
        <f t="shared" si="71"/>
        <v>06</v>
      </c>
      <c r="R522" t="str">
        <f t="shared" si="72"/>
        <v>00</v>
      </c>
      <c r="S522" s="1">
        <v>0</v>
      </c>
      <c r="T522" s="1">
        <v>14999983683</v>
      </c>
      <c r="U522" s="1">
        <v>14999983683</v>
      </c>
      <c r="V522" s="1">
        <v>14999983683</v>
      </c>
      <c r="W522" s="1">
        <v>0</v>
      </c>
      <c r="X522" s="1">
        <v>14999983683</v>
      </c>
      <c r="Y522" s="1">
        <v>100</v>
      </c>
      <c r="Z522" s="1">
        <v>9918779967</v>
      </c>
      <c r="AA522" s="1">
        <v>66.13</v>
      </c>
      <c r="AB522" s="1">
        <v>0</v>
      </c>
      <c r="AC522" s="1">
        <v>9918779967</v>
      </c>
    </row>
    <row r="523" spans="1:29" x14ac:dyDescent="0.3">
      <c r="A523">
        <v>2022</v>
      </c>
      <c r="B523">
        <v>100</v>
      </c>
      <c r="C523" t="str">
        <f t="shared" si="75"/>
        <v>06</v>
      </c>
      <c r="D523" t="s">
        <v>375</v>
      </c>
      <c r="E523" t="str">
        <f t="shared" si="73"/>
        <v>06 SECRETARIA DE INFRAESTRUCTURA</v>
      </c>
      <c r="F523" s="2">
        <v>2021130010184</v>
      </c>
      <c r="G523" s="2" t="str">
        <f>+VLOOKUP(F523,Hoja2!$F:$I,2,FALSE)</f>
        <v>07. PILAR CARTAGENA RESILIENTE</v>
      </c>
      <c r="H523" s="2" t="str">
        <f>+VLOOKUP(F523,Hoja2!$F:$I,3,FALSE)</f>
        <v>7.3 LÍNEA ESTRATÉGICA DESARROLLO URBANO</v>
      </c>
      <c r="I523" s="2" t="str">
        <f>+VLOOKUP(F523,Hoja2!$F:$I,4,FALSE)</f>
        <v>7.3.5 INTEGRAL DE CAÑOS, LAGOS Y CIÉNAGAS DE CARTAGENA DE INDIAS</v>
      </c>
      <c r="J523" t="s">
        <v>376</v>
      </c>
      <c r="K523" t="str">
        <f>"138"</f>
        <v>138</v>
      </c>
      <c r="L523" t="s">
        <v>186</v>
      </c>
      <c r="M523" t="s">
        <v>26</v>
      </c>
      <c r="N523" t="s">
        <v>27</v>
      </c>
      <c r="O523" t="s">
        <v>378</v>
      </c>
      <c r="P523" t="str">
        <f t="shared" si="74"/>
        <v xml:space="preserve">2021130010184 RECUPERACION Y APROVECHAMIENTO INTEGRAL DEL SISTEMA INTEGRAL DE CA?OS, LAGOS Y CIENAGAS DEL DISTRITO DE CARTAGENA DE INDIAS </v>
      </c>
      <c r="Q523" t="str">
        <f t="shared" si="71"/>
        <v>06</v>
      </c>
      <c r="R523" t="str">
        <f t="shared" si="72"/>
        <v>00</v>
      </c>
      <c r="S523" s="1">
        <v>1000000000</v>
      </c>
      <c r="T523" s="1">
        <v>-400000000</v>
      </c>
      <c r="U523" s="1">
        <v>600000000</v>
      </c>
      <c r="V523" s="1">
        <v>600000000</v>
      </c>
      <c r="W523" s="1">
        <v>0</v>
      </c>
      <c r="X523" s="1">
        <v>932158</v>
      </c>
      <c r="Y523" s="1">
        <v>0.16</v>
      </c>
      <c r="Z523" s="1">
        <v>932158</v>
      </c>
      <c r="AA523" s="1">
        <v>0.16</v>
      </c>
      <c r="AB523" s="1">
        <v>599067842</v>
      </c>
      <c r="AC523" s="1">
        <v>932158</v>
      </c>
    </row>
    <row r="524" spans="1:29" x14ac:dyDescent="0.3">
      <c r="A524">
        <v>2022</v>
      </c>
      <c r="B524">
        <v>100</v>
      </c>
      <c r="C524" t="str">
        <f t="shared" si="75"/>
        <v>06</v>
      </c>
      <c r="D524" t="s">
        <v>375</v>
      </c>
      <c r="E524" t="str">
        <f t="shared" si="73"/>
        <v>06 SECRETARIA DE INFRAESTRUCTURA</v>
      </c>
      <c r="F524" s="2">
        <v>2021130010184</v>
      </c>
      <c r="G524" s="2" t="str">
        <f>+VLOOKUP(F524,Hoja2!$F:$I,2,FALSE)</f>
        <v>07. PILAR CARTAGENA RESILIENTE</v>
      </c>
      <c r="H524" s="2" t="str">
        <f>+VLOOKUP(F524,Hoja2!$F:$I,3,FALSE)</f>
        <v>7.3 LÍNEA ESTRATÉGICA DESARROLLO URBANO</v>
      </c>
      <c r="I524" s="2" t="str">
        <f>+VLOOKUP(F524,Hoja2!$F:$I,4,FALSE)</f>
        <v>7.3.5 INTEGRAL DE CAÑOS, LAGOS Y CIÉNAGAS DE CARTAGENA DE INDIAS</v>
      </c>
      <c r="J524" t="s">
        <v>376</v>
      </c>
      <c r="K524" t="str">
        <f>"001"</f>
        <v>001</v>
      </c>
      <c r="L524" t="s">
        <v>25</v>
      </c>
      <c r="M524" t="s">
        <v>26</v>
      </c>
      <c r="N524" t="s">
        <v>27</v>
      </c>
      <c r="O524" t="s">
        <v>378</v>
      </c>
      <c r="P524" t="str">
        <f t="shared" si="74"/>
        <v xml:space="preserve">2021130010184 RECUPERACION Y APROVECHAMIENTO INTEGRAL DEL SISTEMA INTEGRAL DE CA?OS, LAGOS Y CIENAGAS DEL DISTRITO DE CARTAGENA DE INDIAS </v>
      </c>
      <c r="Q524" t="str">
        <f t="shared" si="71"/>
        <v>06</v>
      </c>
      <c r="R524" t="str">
        <f t="shared" si="72"/>
        <v>00</v>
      </c>
      <c r="S524" s="1">
        <v>1000000000</v>
      </c>
      <c r="T524" s="1">
        <v>171652768</v>
      </c>
      <c r="U524" s="1">
        <v>1171652768</v>
      </c>
      <c r="V524" s="1">
        <v>1171652767.3399999</v>
      </c>
      <c r="W524" s="1">
        <v>0.66</v>
      </c>
      <c r="X524" s="1">
        <v>863252936.00999999</v>
      </c>
      <c r="Y524" s="1">
        <v>73.680000000000007</v>
      </c>
      <c r="Z524" s="1">
        <v>519237074.00999999</v>
      </c>
      <c r="AA524" s="1">
        <v>44.32</v>
      </c>
      <c r="AB524" s="1">
        <v>308399831.99000001</v>
      </c>
      <c r="AC524" s="1">
        <v>511287074.00999999</v>
      </c>
    </row>
    <row r="525" spans="1:29" x14ac:dyDescent="0.3">
      <c r="A525">
        <v>2022</v>
      </c>
      <c r="B525">
        <v>100</v>
      </c>
      <c r="C525" t="str">
        <f t="shared" si="75"/>
        <v>06</v>
      </c>
      <c r="D525" t="s">
        <v>375</v>
      </c>
      <c r="E525" t="str">
        <f t="shared" si="73"/>
        <v>06 SECRETARIA DE INFRAESTRUCTURA</v>
      </c>
      <c r="F525" s="2">
        <v>2021130010184</v>
      </c>
      <c r="G525" s="2" t="str">
        <f>+VLOOKUP(F525,Hoja2!$F:$I,2,FALSE)</f>
        <v>07. PILAR CARTAGENA RESILIENTE</v>
      </c>
      <c r="H525" s="2" t="str">
        <f>+VLOOKUP(F525,Hoja2!$F:$I,3,FALSE)</f>
        <v>7.3 LÍNEA ESTRATÉGICA DESARROLLO URBANO</v>
      </c>
      <c r="I525" s="2" t="str">
        <f>+VLOOKUP(F525,Hoja2!$F:$I,4,FALSE)</f>
        <v>7.3.5 INTEGRAL DE CAÑOS, LAGOS Y CIÉNAGAS DE CARTAGENA DE INDIAS</v>
      </c>
      <c r="J525" t="s">
        <v>376</v>
      </c>
      <c r="K525" t="str">
        <f>"867"</f>
        <v>867</v>
      </c>
      <c r="L525" t="s">
        <v>51</v>
      </c>
      <c r="M525" t="s">
        <v>26</v>
      </c>
      <c r="N525" t="s">
        <v>27</v>
      </c>
      <c r="O525" t="s">
        <v>378</v>
      </c>
      <c r="P525" t="str">
        <f t="shared" si="74"/>
        <v xml:space="preserve">2021130010184 RECUPERACION Y APROVECHAMIENTO INTEGRAL DEL SISTEMA INTEGRAL DE CA?OS, LAGOS Y CIENAGAS DEL DISTRITO DE CARTAGENA DE INDIAS </v>
      </c>
      <c r="Q525" t="str">
        <f t="shared" si="71"/>
        <v>06</v>
      </c>
      <c r="R525" t="str">
        <f t="shared" si="72"/>
        <v>00</v>
      </c>
      <c r="S525" s="1">
        <v>0</v>
      </c>
      <c r="T525" s="1">
        <v>106911</v>
      </c>
      <c r="U525" s="1">
        <v>106911</v>
      </c>
      <c r="V525" s="1">
        <v>106911</v>
      </c>
      <c r="W525" s="1">
        <v>0</v>
      </c>
      <c r="X525" s="1">
        <v>0</v>
      </c>
      <c r="Y525" s="1">
        <v>0</v>
      </c>
      <c r="Z525" s="1">
        <v>0</v>
      </c>
      <c r="AA525" s="1">
        <v>0</v>
      </c>
      <c r="AB525" s="1">
        <v>106911</v>
      </c>
      <c r="AC525" s="1">
        <v>0</v>
      </c>
    </row>
    <row r="526" spans="1:29" x14ac:dyDescent="0.3">
      <c r="A526">
        <v>2022</v>
      </c>
      <c r="B526">
        <v>100</v>
      </c>
      <c r="C526" t="str">
        <f>"08"</f>
        <v>08</v>
      </c>
      <c r="D526" t="s">
        <v>479</v>
      </c>
      <c r="E526" t="str">
        <f t="shared" si="73"/>
        <v>08 SECRETARIA DE PARTICIPACION Y DESARROLLO SOCIAL</v>
      </c>
      <c r="F526" s="2">
        <v>2021130010185</v>
      </c>
      <c r="G526" s="2" t="str">
        <f>+VLOOKUP(F526,Hoja2!$F:$I,2,FALSE)</f>
        <v>07. PILAR CARTAGENA RESILIENTE</v>
      </c>
      <c r="H526" s="2" t="str">
        <f>+VLOOKUP(F526,Hoja2!$F:$I,3,FALSE)</f>
        <v>7.1 LÍNEA ESTRATÉGICA: “SALVEMOS JUNTOS NUESTRO PATRIMONIO NATURAL”</v>
      </c>
      <c r="I526" s="2" t="str">
        <f>+VLOOKUP(F526,Hoja2!$F:$I,4,FALSE)</f>
        <v>7.1.8 BIENESTAR Y PROTECCIÓN ANIMAL</v>
      </c>
      <c r="J526" t="s">
        <v>534</v>
      </c>
      <c r="K526" t="str">
        <f>"001"</f>
        <v>001</v>
      </c>
      <c r="L526" t="s">
        <v>25</v>
      </c>
      <c r="M526" t="s">
        <v>26</v>
      </c>
      <c r="N526" t="s">
        <v>27</v>
      </c>
      <c r="O526" t="s">
        <v>535</v>
      </c>
      <c r="P526" t="str">
        <f t="shared" si="74"/>
        <v>2021130010185 IMPLEMENTACION PROYECTO DE ATENCION Y PROTECCION ANIMAL - VEHICULOS DE TRACCION ANIMAL CARTAGENA DE INDIAS</v>
      </c>
      <c r="Q526" t="str">
        <f t="shared" si="71"/>
        <v>06</v>
      </c>
      <c r="R526" t="str">
        <f t="shared" si="72"/>
        <v>00</v>
      </c>
      <c r="S526" s="1">
        <v>350000000</v>
      </c>
      <c r="T526" s="1">
        <v>0</v>
      </c>
      <c r="U526" s="1">
        <v>350000000</v>
      </c>
      <c r="V526" s="1">
        <v>349790107</v>
      </c>
      <c r="W526" s="1">
        <v>209893</v>
      </c>
      <c r="X526" s="1">
        <v>342758966.19</v>
      </c>
      <c r="Y526" s="1">
        <v>97.93</v>
      </c>
      <c r="Z526" s="1">
        <v>246495149.19</v>
      </c>
      <c r="AA526" s="1">
        <v>70.430000000000007</v>
      </c>
      <c r="AB526" s="1">
        <v>7241033.8099999996</v>
      </c>
      <c r="AC526" s="1">
        <v>205245149.19</v>
      </c>
    </row>
    <row r="527" spans="1:29" x14ac:dyDescent="0.3">
      <c r="A527">
        <v>2022</v>
      </c>
      <c r="B527">
        <v>100</v>
      </c>
      <c r="C527" t="str">
        <f>"08"</f>
        <v>08</v>
      </c>
      <c r="D527" t="s">
        <v>479</v>
      </c>
      <c r="E527" t="str">
        <f t="shared" si="73"/>
        <v>08 SECRETARIA DE PARTICIPACION Y DESARROLLO SOCIAL</v>
      </c>
      <c r="F527" s="2">
        <v>2021130010186</v>
      </c>
      <c r="G527" s="2" t="str">
        <f>+VLOOKUP(F527,Hoja2!$F:$I,2,FALSE)</f>
        <v>09. PILAR CARTAGENA CONTINGENTE</v>
      </c>
      <c r="H527" s="2" t="str">
        <f>+VLOOKUP(F527,Hoja2!$F:$I,3,FALSE)</f>
        <v>9.1 LÍNEA ESTRATÉGICA: DESARROLLO ECONÓMICO Y EMPLEABILIDAD</v>
      </c>
      <c r="I527" s="2" t="str">
        <f>+VLOOKUP(F527,Hoja2!$F:$I,4,FALSE)</f>
        <v>9.1.10 PROGRAMA: CARTAGENA EMPRENDEDORA PARA PEQUEÑOS PRODUCTORES RURALES</v>
      </c>
      <c r="J527" t="s">
        <v>552</v>
      </c>
      <c r="K527" t="str">
        <f>"001"</f>
        <v>001</v>
      </c>
      <c r="L527" t="s">
        <v>25</v>
      </c>
      <c r="M527" t="s">
        <v>26</v>
      </c>
      <c r="N527" t="s">
        <v>27</v>
      </c>
      <c r="O527" t="s">
        <v>553</v>
      </c>
      <c r="P527" t="str">
        <f t="shared" si="74"/>
        <v>2021130010186 ASISTENCIA CARTAGENA EMPRENDEDORA PARA PEQUE?OS PRODUCTORES RURALES CARTAGENA DE INDIAS</v>
      </c>
      <c r="Q527" t="str">
        <f t="shared" si="71"/>
        <v>06</v>
      </c>
      <c r="R527" t="str">
        <f t="shared" si="72"/>
        <v>00</v>
      </c>
      <c r="S527" s="1">
        <v>95000000</v>
      </c>
      <c r="T527" s="1">
        <v>0</v>
      </c>
      <c r="U527" s="1">
        <v>95000000</v>
      </c>
      <c r="V527" s="1">
        <v>90000000</v>
      </c>
      <c r="W527" s="1">
        <v>5000000</v>
      </c>
      <c r="X527" s="1">
        <v>87500000</v>
      </c>
      <c r="Y527" s="1">
        <v>92.11</v>
      </c>
      <c r="Z527" s="1">
        <v>15000000</v>
      </c>
      <c r="AA527" s="1">
        <v>15.79</v>
      </c>
      <c r="AB527" s="1">
        <v>7500000</v>
      </c>
      <c r="AC527" s="1">
        <v>15000000</v>
      </c>
    </row>
    <row r="528" spans="1:29" x14ac:dyDescent="0.3">
      <c r="A528">
        <v>2022</v>
      </c>
      <c r="B528">
        <v>100</v>
      </c>
      <c r="C528" t="str">
        <f>"08"</f>
        <v>08</v>
      </c>
      <c r="D528" t="s">
        <v>479</v>
      </c>
      <c r="E528" t="str">
        <f t="shared" si="73"/>
        <v>08 SECRETARIA DE PARTICIPACION Y DESARROLLO SOCIAL</v>
      </c>
      <c r="F528" s="2">
        <v>2021130010187</v>
      </c>
      <c r="G528" s="2" t="str">
        <f>+VLOOKUP(F528,Hoja2!$F:$I,2,FALSE)</f>
        <v>11. EJE TRANSVERSAL: CARTAGENA CON ATENCION Y GARANTIA DE DERECHOS A POBLACION DIFERENCIAL.</v>
      </c>
      <c r="H528" s="2" t="str">
        <f>+VLOOKUP(F528,Hoja2!$F:$I,3,FALSE)</f>
        <v>11.1 LÍNEA ESTRATÉGICA PARA LA EQUIDAD E INCLUSIÓN DE LOS NEGROS, AFROS, PALENQUEROS E INDÍGENA.</v>
      </c>
      <c r="I528" s="2" t="str">
        <f>+VLOOKUP(F528,Hoja2!$F:$I,4,FALSE)</f>
        <v>11.1.2 FORTALECIMIENTO E INCLUSIÓN PRODUCTIVA PARA POBLACIÓN NEGRA, AFROCOLOMBIANA, RAIZAL Y PALENQUERA EN EL DISTRITO DE CARTAGENA</v>
      </c>
      <c r="J528" t="s">
        <v>554</v>
      </c>
      <c r="K528" t="str">
        <f>"001"</f>
        <v>001</v>
      </c>
      <c r="L528" t="s">
        <v>25</v>
      </c>
      <c r="M528" t="s">
        <v>26</v>
      </c>
      <c r="N528" t="s">
        <v>27</v>
      </c>
      <c r="O528" t="s">
        <v>555</v>
      </c>
      <c r="P528" t="str">
        <f t="shared" si="74"/>
        <v xml:space="preserve">2021130010187 FORTALECIMIENTO DOTACION Y CAPACITACION A ORGANIZADORES DE PESCADORES PERTENECIENTES A GRUPOS ETNICOS AFRO CARTAGENA DE INDIAS </v>
      </c>
      <c r="Q528" t="str">
        <f t="shared" si="71"/>
        <v>06</v>
      </c>
      <c r="R528" t="str">
        <f t="shared" si="72"/>
        <v>00</v>
      </c>
      <c r="S528" s="1">
        <v>64000000</v>
      </c>
      <c r="T528" s="1">
        <v>0</v>
      </c>
      <c r="U528" s="1">
        <v>64000000</v>
      </c>
      <c r="V528" s="1">
        <v>64000000</v>
      </c>
      <c r="W528" s="1">
        <v>0</v>
      </c>
      <c r="X528" s="1">
        <v>64000000</v>
      </c>
      <c r="Y528" s="1">
        <v>100</v>
      </c>
      <c r="Z528" s="1">
        <v>64000000</v>
      </c>
      <c r="AA528" s="1">
        <v>100</v>
      </c>
      <c r="AB528" s="1">
        <v>0</v>
      </c>
      <c r="AC528" s="1">
        <v>64000000</v>
      </c>
    </row>
    <row r="529" spans="1:29" x14ac:dyDescent="0.3">
      <c r="A529">
        <v>2022</v>
      </c>
      <c r="B529">
        <v>100</v>
      </c>
      <c r="C529" t="str">
        <f>"08"</f>
        <v>08</v>
      </c>
      <c r="D529" t="s">
        <v>479</v>
      </c>
      <c r="E529" t="str">
        <f t="shared" si="73"/>
        <v>08 SECRETARIA DE PARTICIPACION Y DESARROLLO SOCIAL</v>
      </c>
      <c r="F529" s="2">
        <v>2021130010188</v>
      </c>
      <c r="G529" s="2" t="str">
        <f>+VLOOKUP(F529,Hoja2!$F:$I,2,FALSE)</f>
        <v>11. EJE TRANSVERSAL: CARTAGENA CON ATENCION Y GARANTIA DE DERECHOS A POBLACION DIFERENCIAL.</v>
      </c>
      <c r="H529" s="2" t="str">
        <f>+VLOOKUP(F529,Hoja2!$F:$I,3,FALSE)</f>
        <v>11.7 LÍNEA ESTRATÉGICA TRATO HUMANITARIO AL HABITANTE DE CALLE</v>
      </c>
      <c r="I529" s="2" t="str">
        <f>+VLOOKUP(F529,Hoja2!$F:$I,4,FALSE)</f>
        <v>11.7.1 PROGRAMA: HABITANTE DE CALLE CON DESARROLLO HUMANO INTEGRAL</v>
      </c>
      <c r="J529" t="s">
        <v>500</v>
      </c>
      <c r="K529" t="str">
        <f>"001"</f>
        <v>001</v>
      </c>
      <c r="L529" t="s">
        <v>25</v>
      </c>
      <c r="M529" t="s">
        <v>26</v>
      </c>
      <c r="N529" t="s">
        <v>27</v>
      </c>
      <c r="O529" t="s">
        <v>501</v>
      </c>
      <c r="P529" t="str">
        <f t="shared" si="74"/>
        <v>2021130010188 APOYO INTEGRAL PARA EL DESARROLLO HUMANO A LAS PERSONAS HABITANTES DE CALLE EN CARTAGENA DE INDIAS</v>
      </c>
      <c r="Q529" t="str">
        <f t="shared" si="71"/>
        <v>06</v>
      </c>
      <c r="R529" t="str">
        <f t="shared" si="72"/>
        <v>00</v>
      </c>
      <c r="S529" s="1">
        <v>500000000</v>
      </c>
      <c r="T529" s="1">
        <v>0</v>
      </c>
      <c r="U529" s="1">
        <v>500000000</v>
      </c>
      <c r="V529" s="1">
        <v>485155964</v>
      </c>
      <c r="W529" s="1">
        <v>14844036</v>
      </c>
      <c r="X529" s="1">
        <v>443562200</v>
      </c>
      <c r="Y529" s="1">
        <v>88.71</v>
      </c>
      <c r="Z529" s="1">
        <v>442512200</v>
      </c>
      <c r="AA529" s="1">
        <v>88.5</v>
      </c>
      <c r="AB529" s="1">
        <v>56437800</v>
      </c>
      <c r="AC529" s="1">
        <v>327328000</v>
      </c>
    </row>
    <row r="530" spans="1:29" x14ac:dyDescent="0.3">
      <c r="A530">
        <v>2022</v>
      </c>
      <c r="B530">
        <v>100</v>
      </c>
      <c r="C530" t="str">
        <f t="shared" ref="C530:C535" si="76">"05"</f>
        <v>05</v>
      </c>
      <c r="D530" t="s">
        <v>292</v>
      </c>
      <c r="E530" t="str">
        <f t="shared" si="73"/>
        <v>05 SECRETARIA GENERAL</v>
      </c>
      <c r="F530" s="2">
        <v>2021130010189</v>
      </c>
      <c r="G530" s="2" t="str">
        <f>+VLOOKUP(F530,Hoja2!$F:$I,2,FALSE)</f>
        <v>10. PILAR: CARTAGENA TRANSPARENTE</v>
      </c>
      <c r="H530" s="2" t="str">
        <f>+VLOOKUP(F530,Hoja2!$F:$I,3,FALSE)</f>
        <v>10.2 LÍNEA ESTRATÉGICA: CARTAGENA INTELIGENTE CON TODOS Y PARA TODOS</v>
      </c>
      <c r="I530" s="2" t="str">
        <f>+VLOOKUP(F530,Hoja2!$F:$I,4,FALSE)</f>
        <v>10.2.1 PROGRAMA: CARTAGENA INTELIGENTE CON TODOS Y PARA TODOS</v>
      </c>
      <c r="J530" t="s">
        <v>336</v>
      </c>
      <c r="K530" t="str">
        <f>"001"</f>
        <v>001</v>
      </c>
      <c r="L530" t="s">
        <v>25</v>
      </c>
      <c r="M530" t="s">
        <v>26</v>
      </c>
      <c r="N530" t="s">
        <v>27</v>
      </c>
      <c r="O530" t="s">
        <v>337</v>
      </c>
      <c r="P530" t="str">
        <f t="shared" si="74"/>
        <v>2021130010189 TRANSFORMACION DIGITAL PARA UNA CARTAGENA INTELIGENTE CON TODOS Y PARA TODOS CARTAGENA DE INDIAS</v>
      </c>
      <c r="Q530" t="str">
        <f t="shared" si="71"/>
        <v>06</v>
      </c>
      <c r="R530" t="str">
        <f t="shared" si="72"/>
        <v>00</v>
      </c>
      <c r="S530" s="1">
        <v>615384616</v>
      </c>
      <c r="T530" s="1">
        <v>0</v>
      </c>
      <c r="U530" s="1">
        <v>615384616</v>
      </c>
      <c r="V530" s="1">
        <v>608918000</v>
      </c>
      <c r="W530" s="1">
        <v>6466616</v>
      </c>
      <c r="X530" s="1">
        <v>538865005</v>
      </c>
      <c r="Y530" s="1">
        <v>87.57</v>
      </c>
      <c r="Z530" s="1">
        <v>363166333</v>
      </c>
      <c r="AA530" s="1">
        <v>59.01</v>
      </c>
      <c r="AB530" s="1">
        <v>76519611</v>
      </c>
      <c r="AC530" s="1">
        <v>325033000</v>
      </c>
    </row>
    <row r="531" spans="1:29" x14ac:dyDescent="0.3">
      <c r="A531">
        <v>2022</v>
      </c>
      <c r="B531">
        <v>100</v>
      </c>
      <c r="C531" t="str">
        <f t="shared" si="76"/>
        <v>05</v>
      </c>
      <c r="D531" t="s">
        <v>292</v>
      </c>
      <c r="E531" t="str">
        <f t="shared" si="73"/>
        <v>05 SECRETARIA GENERAL</v>
      </c>
      <c r="F531" s="2">
        <v>2021130010190</v>
      </c>
      <c r="G531" s="2" t="str">
        <f>+VLOOKUP(F531,Hoja2!$F:$I,2,FALSE)</f>
        <v>09. PILAR CARTAGENA CONTINGENTE</v>
      </c>
      <c r="H531" s="2" t="str">
        <f>+VLOOKUP(F531,Hoja2!$F:$I,3,FALSE)</f>
        <v>9.1 LÍNEA ESTRATÉGICA: DESARROLLO ECONÓMICO Y EMPLEABILIDAD</v>
      </c>
      <c r="I531" s="2" t="str">
        <f>+VLOOKUP(F531,Hoja2!$F:$I,4,FALSE)</f>
        <v>9.1.11 PROGRAMA: SISTEMAS DE MERCADOS PÚBLICOS</v>
      </c>
      <c r="J531" t="s">
        <v>296</v>
      </c>
      <c r="K531" t="str">
        <f>"883"</f>
        <v>883</v>
      </c>
      <c r="L531" t="s">
        <v>297</v>
      </c>
      <c r="M531" t="s">
        <v>26</v>
      </c>
      <c r="N531" t="s">
        <v>27</v>
      </c>
      <c r="O531" t="s">
        <v>298</v>
      </c>
      <c r="P531" t="str">
        <f t="shared" si="74"/>
        <v>2021130010190 FORTALECIMIENTO DEL SISTEMA INTEGRADO DE MERCADOS PUBLICOS MEDIANTE EL DESARROLLO DE ACTIVIDADES Y/O ACTUACIONES ADMINISTRATIVAS, OPERATIVAS, JURIDICAS, CONTRACTUALES Y AMBIENTALES EN EL DISTRITO DE CARTAGENA DE INDIAS</v>
      </c>
      <c r="Q531" t="str">
        <f t="shared" si="71"/>
        <v>06</v>
      </c>
      <c r="R531" t="str">
        <f t="shared" si="72"/>
        <v>00</v>
      </c>
      <c r="S531" s="1">
        <v>0</v>
      </c>
      <c r="T531" s="1">
        <v>10544269.199999999</v>
      </c>
      <c r="U531" s="1">
        <v>10544269.199999999</v>
      </c>
      <c r="V531" s="1">
        <v>10544269</v>
      </c>
      <c r="W531" s="1">
        <v>0.2</v>
      </c>
      <c r="X531" s="1">
        <v>0</v>
      </c>
      <c r="Y531" s="1">
        <v>0</v>
      </c>
      <c r="Z531" s="1">
        <v>0</v>
      </c>
      <c r="AA531" s="1">
        <v>0</v>
      </c>
      <c r="AB531" s="1">
        <v>10544269.199999999</v>
      </c>
      <c r="AC531" s="1">
        <v>0</v>
      </c>
    </row>
    <row r="532" spans="1:29" x14ac:dyDescent="0.3">
      <c r="A532">
        <v>2022</v>
      </c>
      <c r="B532">
        <v>100</v>
      </c>
      <c r="C532" t="str">
        <f t="shared" si="76"/>
        <v>05</v>
      </c>
      <c r="D532" t="s">
        <v>292</v>
      </c>
      <c r="E532" t="str">
        <f t="shared" si="73"/>
        <v>05 SECRETARIA GENERAL</v>
      </c>
      <c r="F532" s="2">
        <v>2021130010190</v>
      </c>
      <c r="G532" s="2" t="str">
        <f>+VLOOKUP(F532,Hoja2!$F:$I,2,FALSE)</f>
        <v>09. PILAR CARTAGENA CONTINGENTE</v>
      </c>
      <c r="H532" s="2" t="str">
        <f>+VLOOKUP(F532,Hoja2!$F:$I,3,FALSE)</f>
        <v>9.1 LÍNEA ESTRATÉGICA: DESARROLLO ECONÓMICO Y EMPLEABILIDAD</v>
      </c>
      <c r="I532" s="2" t="str">
        <f>+VLOOKUP(F532,Hoja2!$F:$I,4,FALSE)</f>
        <v>9.1.11 PROGRAMA: SISTEMAS DE MERCADOS PÚBLICOS</v>
      </c>
      <c r="J532" t="s">
        <v>296</v>
      </c>
      <c r="K532" t="str">
        <f>"887"</f>
        <v>887</v>
      </c>
      <c r="L532" t="s">
        <v>299</v>
      </c>
      <c r="M532" t="s">
        <v>26</v>
      </c>
      <c r="N532" t="s">
        <v>27</v>
      </c>
      <c r="O532" t="s">
        <v>298</v>
      </c>
      <c r="P532" t="str">
        <f t="shared" si="74"/>
        <v>2021130010190 FORTALECIMIENTO DEL SISTEMA INTEGRADO DE MERCADOS PUBLICOS MEDIANTE EL DESARROLLO DE ACTIVIDADES Y/O ACTUACIONES ADMINISTRATIVAS, OPERATIVAS, JURIDICAS, CONTRACTUALES Y AMBIENTALES EN EL DISTRITO DE CARTAGENA DE INDIAS</v>
      </c>
      <c r="Q532" t="str">
        <f t="shared" si="71"/>
        <v>06</v>
      </c>
      <c r="R532" t="str">
        <f t="shared" si="72"/>
        <v>00</v>
      </c>
      <c r="S532" s="1">
        <v>0</v>
      </c>
      <c r="T532" s="1">
        <v>22316024.690000001</v>
      </c>
      <c r="U532" s="1">
        <v>22316024.690000001</v>
      </c>
      <c r="V532" s="1">
        <v>22316024.690000001</v>
      </c>
      <c r="W532" s="1">
        <v>0</v>
      </c>
      <c r="X532" s="1">
        <v>0</v>
      </c>
      <c r="Y532" s="1">
        <v>0</v>
      </c>
      <c r="Z532" s="1">
        <v>0</v>
      </c>
      <c r="AA532" s="1">
        <v>0</v>
      </c>
      <c r="AB532" s="1">
        <v>22316024.690000001</v>
      </c>
      <c r="AC532" s="1">
        <v>0</v>
      </c>
    </row>
    <row r="533" spans="1:29" x14ac:dyDescent="0.3">
      <c r="A533">
        <v>2022</v>
      </c>
      <c r="B533">
        <v>100</v>
      </c>
      <c r="C533" t="str">
        <f t="shared" si="76"/>
        <v>05</v>
      </c>
      <c r="D533" t="s">
        <v>292</v>
      </c>
      <c r="E533" t="str">
        <f t="shared" si="73"/>
        <v>05 SECRETARIA GENERAL</v>
      </c>
      <c r="F533" s="2">
        <v>2021130010190</v>
      </c>
      <c r="G533" s="2" t="str">
        <f>+VLOOKUP(F533,Hoja2!$F:$I,2,FALSE)</f>
        <v>09. PILAR CARTAGENA CONTINGENTE</v>
      </c>
      <c r="H533" s="2" t="str">
        <f>+VLOOKUP(F533,Hoja2!$F:$I,3,FALSE)</f>
        <v>9.1 LÍNEA ESTRATÉGICA: DESARROLLO ECONÓMICO Y EMPLEABILIDAD</v>
      </c>
      <c r="I533" s="2" t="str">
        <f>+VLOOKUP(F533,Hoja2!$F:$I,4,FALSE)</f>
        <v>9.1.11 PROGRAMA: SISTEMAS DE MERCADOS PÚBLICOS</v>
      </c>
      <c r="J533" t="s">
        <v>296</v>
      </c>
      <c r="K533" t="str">
        <f>"922"</f>
        <v>922</v>
      </c>
      <c r="L533" t="s">
        <v>78</v>
      </c>
      <c r="M533" t="s">
        <v>26</v>
      </c>
      <c r="N533" t="s">
        <v>27</v>
      </c>
      <c r="O533" t="s">
        <v>298</v>
      </c>
      <c r="P533" t="str">
        <f t="shared" si="74"/>
        <v>2021130010190 FORTALECIMIENTO DEL SISTEMA INTEGRADO DE MERCADOS PUBLICOS MEDIANTE EL DESARROLLO DE ACTIVIDADES Y/O ACTUACIONES ADMINISTRATIVAS, OPERATIVAS, JURIDICAS, CONTRACTUALES Y AMBIENTALES EN EL DISTRITO DE CARTAGENA DE INDIAS</v>
      </c>
      <c r="Q533" t="str">
        <f t="shared" si="71"/>
        <v>06</v>
      </c>
      <c r="R533" t="str">
        <f t="shared" si="72"/>
        <v>00</v>
      </c>
      <c r="S533" s="1">
        <v>0</v>
      </c>
      <c r="T533" s="1">
        <v>2694835</v>
      </c>
      <c r="U533" s="1">
        <v>2694835</v>
      </c>
      <c r="V533" s="1">
        <v>0</v>
      </c>
      <c r="W533" s="1">
        <v>2694835</v>
      </c>
      <c r="X533" s="1">
        <v>0</v>
      </c>
      <c r="Y533" s="1">
        <v>0</v>
      </c>
      <c r="Z533" s="1">
        <v>0</v>
      </c>
      <c r="AA533" s="1">
        <v>0</v>
      </c>
      <c r="AB533" s="1">
        <v>2694835</v>
      </c>
      <c r="AC533" s="1">
        <v>0</v>
      </c>
    </row>
    <row r="534" spans="1:29" x14ac:dyDescent="0.3">
      <c r="A534">
        <v>2022</v>
      </c>
      <c r="B534">
        <v>100</v>
      </c>
      <c r="C534" t="str">
        <f t="shared" si="76"/>
        <v>05</v>
      </c>
      <c r="D534" t="s">
        <v>292</v>
      </c>
      <c r="E534" t="str">
        <f t="shared" si="73"/>
        <v>05 SECRETARIA GENERAL</v>
      </c>
      <c r="F534" s="2">
        <v>2021130010190</v>
      </c>
      <c r="G534" s="2" t="str">
        <f>+VLOOKUP(F534,Hoja2!$F:$I,2,FALSE)</f>
        <v>09. PILAR CARTAGENA CONTINGENTE</v>
      </c>
      <c r="H534" s="2" t="str">
        <f>+VLOOKUP(F534,Hoja2!$F:$I,3,FALSE)</f>
        <v>9.1 LÍNEA ESTRATÉGICA: DESARROLLO ECONÓMICO Y EMPLEABILIDAD</v>
      </c>
      <c r="I534" s="2" t="str">
        <f>+VLOOKUP(F534,Hoja2!$F:$I,4,FALSE)</f>
        <v>9.1.11 PROGRAMA: SISTEMAS DE MERCADOS PÚBLICOS</v>
      </c>
      <c r="J534" t="s">
        <v>296</v>
      </c>
      <c r="K534" t="str">
        <f>"070"</f>
        <v>070</v>
      </c>
      <c r="L534" t="s">
        <v>93</v>
      </c>
      <c r="M534" t="s">
        <v>26</v>
      </c>
      <c r="N534" t="s">
        <v>27</v>
      </c>
      <c r="O534" t="s">
        <v>298</v>
      </c>
      <c r="P534" t="str">
        <f t="shared" si="74"/>
        <v>2021130010190 FORTALECIMIENTO DEL SISTEMA INTEGRADO DE MERCADOS PUBLICOS MEDIANTE EL DESARROLLO DE ACTIVIDADES Y/O ACTUACIONES ADMINISTRATIVAS, OPERATIVAS, JURIDICAS, CONTRACTUALES Y AMBIENTALES EN EL DISTRITO DE CARTAGENA DE INDIAS</v>
      </c>
      <c r="Q534" t="str">
        <f t="shared" si="71"/>
        <v>06</v>
      </c>
      <c r="R534" t="str">
        <f t="shared" si="72"/>
        <v>00</v>
      </c>
      <c r="S534" s="1">
        <v>1026000000</v>
      </c>
      <c r="T534" s="1">
        <v>0</v>
      </c>
      <c r="U534" s="1">
        <v>1026000000</v>
      </c>
      <c r="V534" s="1">
        <v>1017277335.3099999</v>
      </c>
      <c r="W534" s="1">
        <v>8722664.6899999995</v>
      </c>
      <c r="X534" s="1">
        <v>983605805</v>
      </c>
      <c r="Y534" s="1">
        <v>95.87</v>
      </c>
      <c r="Z534" s="1">
        <v>756619850</v>
      </c>
      <c r="AA534" s="1">
        <v>73.739999999999995</v>
      </c>
      <c r="AB534" s="1">
        <v>42394195</v>
      </c>
      <c r="AC534" s="1">
        <v>680957865</v>
      </c>
    </row>
    <row r="535" spans="1:29" x14ac:dyDescent="0.3">
      <c r="A535">
        <v>2022</v>
      </c>
      <c r="B535">
        <v>100</v>
      </c>
      <c r="C535" t="str">
        <f t="shared" si="76"/>
        <v>05</v>
      </c>
      <c r="D535" t="s">
        <v>292</v>
      </c>
      <c r="E535" t="str">
        <f t="shared" si="73"/>
        <v>05 SECRETARIA GENERAL</v>
      </c>
      <c r="F535" s="2">
        <v>2021130010190</v>
      </c>
      <c r="G535" s="2" t="str">
        <f>+VLOOKUP(F535,Hoja2!$F:$I,2,FALSE)</f>
        <v>09. PILAR CARTAGENA CONTINGENTE</v>
      </c>
      <c r="H535" s="2" t="str">
        <f>+VLOOKUP(F535,Hoja2!$F:$I,3,FALSE)</f>
        <v>9.1 LÍNEA ESTRATÉGICA: DESARROLLO ECONÓMICO Y EMPLEABILIDAD</v>
      </c>
      <c r="I535" s="2" t="str">
        <f>+VLOOKUP(F535,Hoja2!$F:$I,4,FALSE)</f>
        <v>9.1.11 PROGRAMA: SISTEMAS DE MERCADOS PÚBLICOS</v>
      </c>
      <c r="J535" t="s">
        <v>296</v>
      </c>
      <c r="K535" t="str">
        <f>"001"</f>
        <v>001</v>
      </c>
      <c r="L535" t="s">
        <v>25</v>
      </c>
      <c r="M535" t="s">
        <v>26</v>
      </c>
      <c r="N535" t="s">
        <v>27</v>
      </c>
      <c r="O535" t="s">
        <v>298</v>
      </c>
      <c r="P535" t="str">
        <f t="shared" si="74"/>
        <v>2021130010190 FORTALECIMIENTO DEL SISTEMA INTEGRADO DE MERCADOS PUBLICOS MEDIANTE EL DESARROLLO DE ACTIVIDADES Y/O ACTUACIONES ADMINISTRATIVAS, OPERATIVAS, JURIDICAS, CONTRACTUALES Y AMBIENTALES EN EL DISTRITO DE CARTAGENA DE INDIAS</v>
      </c>
      <c r="Q535" t="str">
        <f t="shared" si="71"/>
        <v>06</v>
      </c>
      <c r="R535" t="str">
        <f t="shared" si="72"/>
        <v>00</v>
      </c>
      <c r="S535" s="1">
        <v>1100000000</v>
      </c>
      <c r="T535" s="1">
        <v>0</v>
      </c>
      <c r="U535" s="1">
        <v>1100000000</v>
      </c>
      <c r="V535" s="1">
        <v>1100000000</v>
      </c>
      <c r="W535" s="1">
        <v>0</v>
      </c>
      <c r="X535" s="1">
        <v>1041583333</v>
      </c>
      <c r="Y535" s="1">
        <v>94.69</v>
      </c>
      <c r="Z535" s="1">
        <v>1032583333</v>
      </c>
      <c r="AA535" s="1">
        <v>93.87</v>
      </c>
      <c r="AB535" s="1">
        <v>58416667</v>
      </c>
      <c r="AC535" s="1">
        <v>1022913333</v>
      </c>
    </row>
    <row r="536" spans="1:29" x14ac:dyDescent="0.3">
      <c r="A536">
        <v>2022</v>
      </c>
      <c r="B536">
        <v>100</v>
      </c>
      <c r="C536" t="str">
        <f>"21"</f>
        <v>21</v>
      </c>
      <c r="D536" t="s">
        <v>893</v>
      </c>
      <c r="E536" t="str">
        <f t="shared" si="73"/>
        <v>21 ESTABLECIMIENTO PUBLICO AMBIENTAL-EPA</v>
      </c>
      <c r="F536" s="2">
        <v>2021130010191</v>
      </c>
      <c r="G536" s="2" t="str">
        <f>+VLOOKUP(F536,Hoja2!$F:$I,2,FALSE)</f>
        <v>07. PILAR CARTAGENA RESILIENTE</v>
      </c>
      <c r="H536" s="2" t="str">
        <f>+VLOOKUP(F536,Hoja2!$F:$I,3,FALSE)</f>
        <v>7.1 LÍNEA ESTRATÉGICA: “SALVEMOS JUNTOS NUESTRO PATRIMONIO NATURAL”</v>
      </c>
      <c r="I536" s="2" t="str">
        <f>+VLOOKUP(F536,Hoja2!$F:$I,4,FALSE)</f>
        <v>7.1.1 RECUPERAR Y RESTAURAR NUESTRAS ÁREAS NATURALES (BOSQUES Y BIODIVERSIDAD Y SERVICIOS ECO SISTÉMICOS)</v>
      </c>
      <c r="J536" t="s">
        <v>897</v>
      </c>
      <c r="K536" t="str">
        <f>"935"</f>
        <v>935</v>
      </c>
      <c r="L536" t="s">
        <v>895</v>
      </c>
      <c r="M536" t="s">
        <v>26</v>
      </c>
      <c r="N536" t="s">
        <v>27</v>
      </c>
      <c r="O536" t="s">
        <v>898</v>
      </c>
      <c r="P536" t="str">
        <f t="shared" si="74"/>
        <v>2021130010191 IMPLEMENTACION DE UN SISTEMA DE ARBOLADO URBANO EN LA CIUDAD DE CARTAGENA DE INDIAS,</v>
      </c>
      <c r="Q536" t="str">
        <f t="shared" si="71"/>
        <v>06</v>
      </c>
      <c r="R536" t="str">
        <f t="shared" si="72"/>
        <v>00</v>
      </c>
      <c r="S536" s="1">
        <v>0</v>
      </c>
      <c r="T536" s="1">
        <v>320944284.29000002</v>
      </c>
      <c r="U536" s="1">
        <v>320944284.29000002</v>
      </c>
      <c r="V536" s="1">
        <v>0</v>
      </c>
      <c r="W536" s="1">
        <v>320944284.29000002</v>
      </c>
      <c r="X536" s="1">
        <v>0</v>
      </c>
      <c r="Y536" s="1">
        <v>0</v>
      </c>
      <c r="Z536" s="1">
        <v>0</v>
      </c>
      <c r="AA536" s="1">
        <v>0</v>
      </c>
      <c r="AB536" s="1">
        <v>320944284.29000002</v>
      </c>
      <c r="AC536" s="1">
        <v>0</v>
      </c>
    </row>
    <row r="537" spans="1:29" x14ac:dyDescent="0.3">
      <c r="A537">
        <v>2022</v>
      </c>
      <c r="B537">
        <v>100</v>
      </c>
      <c r="C537" t="str">
        <f>"21"</f>
        <v>21</v>
      </c>
      <c r="D537" t="s">
        <v>893</v>
      </c>
      <c r="E537" t="str">
        <f t="shared" si="73"/>
        <v>21 ESTABLECIMIENTO PUBLICO AMBIENTAL-EPA</v>
      </c>
      <c r="F537" s="2">
        <v>2021130010191</v>
      </c>
      <c r="G537" s="2" t="str">
        <f>+VLOOKUP(F537,Hoja2!$F:$I,2,FALSE)</f>
        <v>07. PILAR CARTAGENA RESILIENTE</v>
      </c>
      <c r="H537" s="2" t="str">
        <f>+VLOOKUP(F537,Hoja2!$F:$I,3,FALSE)</f>
        <v>7.1 LÍNEA ESTRATÉGICA: “SALVEMOS JUNTOS NUESTRO PATRIMONIO NATURAL”</v>
      </c>
      <c r="I537" s="2" t="str">
        <f>+VLOOKUP(F537,Hoja2!$F:$I,4,FALSE)</f>
        <v>7.1.1 RECUPERAR Y RESTAURAR NUESTRAS ÁREAS NATURALES (BOSQUES Y BIODIVERSIDAD Y SERVICIOS ECO SISTÉMICOS)</v>
      </c>
      <c r="J537" t="s">
        <v>897</v>
      </c>
      <c r="K537" t="str">
        <f>"001"</f>
        <v>001</v>
      </c>
      <c r="L537" t="s">
        <v>25</v>
      </c>
      <c r="M537" t="s">
        <v>26</v>
      </c>
      <c r="N537" t="s">
        <v>27</v>
      </c>
      <c r="O537" t="s">
        <v>914</v>
      </c>
      <c r="P537" t="str">
        <f t="shared" si="74"/>
        <v>2021130010191 IMPLEMENTACION DE UN SISTEMA DE ARBOLADO URBANO EN LA CIUDAD DE  CARTAGENA DE INDIAS</v>
      </c>
      <c r="Q537" t="str">
        <f t="shared" si="71"/>
        <v>06</v>
      </c>
      <c r="R537" t="str">
        <f t="shared" si="72"/>
        <v>00</v>
      </c>
      <c r="S537" s="1">
        <v>1000000000</v>
      </c>
      <c r="T537" s="1">
        <v>0</v>
      </c>
      <c r="U537" s="1">
        <v>1000000000</v>
      </c>
      <c r="V537" s="1">
        <v>1000000000</v>
      </c>
      <c r="W537" s="1">
        <v>0</v>
      </c>
      <c r="X537" s="1">
        <v>1000000000</v>
      </c>
      <c r="Y537" s="1">
        <v>100</v>
      </c>
      <c r="Z537" s="1">
        <v>1000000000</v>
      </c>
      <c r="AA537" s="1">
        <v>100</v>
      </c>
      <c r="AB537" s="1">
        <v>0</v>
      </c>
      <c r="AC537" s="1">
        <v>1000000000</v>
      </c>
    </row>
    <row r="538" spans="1:29" x14ac:dyDescent="0.3">
      <c r="A538">
        <v>2022</v>
      </c>
      <c r="B538">
        <v>100</v>
      </c>
      <c r="C538" t="str">
        <f t="shared" ref="C538:C544" si="77">"22"</f>
        <v>22</v>
      </c>
      <c r="D538" t="s">
        <v>936</v>
      </c>
      <c r="E538" t="str">
        <f t="shared" si="73"/>
        <v>22 DISTRISEGURIDAD</v>
      </c>
      <c r="F538" s="2">
        <v>2021130010192</v>
      </c>
      <c r="G538" s="2" t="str">
        <f>+VLOOKUP(F538,Hoja2!$F:$I,2,FALSE)</f>
        <v>10. PILAR: CARTAGENA TRANSPARENTE</v>
      </c>
      <c r="H538" s="2" t="str">
        <f>+VLOOKUP(F538,Hoja2!$F:$I,3,FALSE)</f>
        <v>10.3 LÍNEA ESTRATÉGICA: CONVIVENCIA Y SEGURIDAD PARA LA GOBERNABILIDAD</v>
      </c>
      <c r="I538" s="2" t="str">
        <f>+VLOOKUP(F538,Hoja2!$F:$I,4,FALSE)</f>
        <v>10.3.9 PROGRAMA: OPTIMIZACIÓN DE LA INFRAESTRUCTURA Y MOVILIDAD DE LOS ORGANISMOS DE SEGURIDAD Y SOCORRO</v>
      </c>
      <c r="J538" t="s">
        <v>940</v>
      </c>
      <c r="K538" t="str">
        <f>"932"</f>
        <v>932</v>
      </c>
      <c r="L538" t="s">
        <v>816</v>
      </c>
      <c r="M538" t="s">
        <v>26</v>
      </c>
      <c r="N538" t="s">
        <v>27</v>
      </c>
      <c r="O538" t="s">
        <v>941</v>
      </c>
      <c r="P538" t="str">
        <f t="shared" si="74"/>
        <v>2021130010192 FORTALECIMIENTO LOGISTICO PARA LA SEGURIDAD, CONVIVENCIA, JUSTICIA Y SOCORRO EN CARTAGENA DE INDIAS</v>
      </c>
      <c r="Q538" t="str">
        <f t="shared" si="71"/>
        <v>06</v>
      </c>
      <c r="R538" t="str">
        <f t="shared" si="72"/>
        <v>00</v>
      </c>
      <c r="S538" s="1">
        <v>0</v>
      </c>
      <c r="T538" s="1">
        <v>25100000</v>
      </c>
      <c r="U538" s="1">
        <v>25100000</v>
      </c>
      <c r="V538" s="1">
        <v>0</v>
      </c>
      <c r="W538" s="1">
        <v>25100000</v>
      </c>
      <c r="X538" s="1">
        <v>0</v>
      </c>
      <c r="Y538" s="1">
        <v>0</v>
      </c>
      <c r="Z538" s="1">
        <v>0</v>
      </c>
      <c r="AA538" s="1">
        <v>0</v>
      </c>
      <c r="AB538" s="1">
        <v>25100000</v>
      </c>
      <c r="AC538" s="1">
        <v>0</v>
      </c>
    </row>
    <row r="539" spans="1:29" x14ac:dyDescent="0.3">
      <c r="A539">
        <v>2022</v>
      </c>
      <c r="B539">
        <v>100</v>
      </c>
      <c r="C539" t="str">
        <f t="shared" si="77"/>
        <v>22</v>
      </c>
      <c r="D539" t="s">
        <v>936</v>
      </c>
      <c r="E539" t="str">
        <f t="shared" si="73"/>
        <v>22 DISTRISEGURIDAD</v>
      </c>
      <c r="F539" s="2">
        <v>2021130010192</v>
      </c>
      <c r="G539" s="2" t="str">
        <f>+VLOOKUP(F539,Hoja2!$F:$I,2,FALSE)</f>
        <v>10. PILAR: CARTAGENA TRANSPARENTE</v>
      </c>
      <c r="H539" s="2" t="str">
        <f>+VLOOKUP(F539,Hoja2!$F:$I,3,FALSE)</f>
        <v>10.3 LÍNEA ESTRATÉGICA: CONVIVENCIA Y SEGURIDAD PARA LA GOBERNABILIDAD</v>
      </c>
      <c r="I539" s="2" t="str">
        <f>+VLOOKUP(F539,Hoja2!$F:$I,4,FALSE)</f>
        <v>10.3.9 PROGRAMA: OPTIMIZACIÓN DE LA INFRAESTRUCTURA Y MOVILIDAD DE LOS ORGANISMOS DE SEGURIDAD Y SOCORRO</v>
      </c>
      <c r="J539" t="s">
        <v>940</v>
      </c>
      <c r="K539" t="str">
        <f>"838"</f>
        <v>838</v>
      </c>
      <c r="L539" t="s">
        <v>945</v>
      </c>
      <c r="M539" t="s">
        <v>26</v>
      </c>
      <c r="N539" t="s">
        <v>27</v>
      </c>
      <c r="O539" t="s">
        <v>941</v>
      </c>
      <c r="P539" t="str">
        <f t="shared" si="74"/>
        <v>2021130010192 FORTALECIMIENTO LOGISTICO PARA LA SEGURIDAD, CONVIVENCIA, JUSTICIA Y SOCORRO EN CARTAGENA DE INDIAS</v>
      </c>
      <c r="Q539" t="str">
        <f t="shared" si="71"/>
        <v>06</v>
      </c>
      <c r="R539" t="str">
        <f t="shared" si="72"/>
        <v>00</v>
      </c>
      <c r="S539" s="1">
        <v>0</v>
      </c>
      <c r="T539" s="1">
        <v>61574978</v>
      </c>
      <c r="U539" s="1">
        <v>61574978</v>
      </c>
      <c r="V539" s="1">
        <v>0</v>
      </c>
      <c r="W539" s="1">
        <v>61574978</v>
      </c>
      <c r="X539" s="1">
        <v>0</v>
      </c>
      <c r="Y539" s="1">
        <v>0</v>
      </c>
      <c r="Z539" s="1">
        <v>0</v>
      </c>
      <c r="AA539" s="1">
        <v>0</v>
      </c>
      <c r="AB539" s="1">
        <v>61574978</v>
      </c>
      <c r="AC539" s="1">
        <v>0</v>
      </c>
    </row>
    <row r="540" spans="1:29" x14ac:dyDescent="0.3">
      <c r="A540">
        <v>2022</v>
      </c>
      <c r="B540">
        <v>100</v>
      </c>
      <c r="C540" t="str">
        <f t="shared" si="77"/>
        <v>22</v>
      </c>
      <c r="D540" t="s">
        <v>936</v>
      </c>
      <c r="E540" t="str">
        <f t="shared" si="73"/>
        <v>22 DISTRISEGURIDAD</v>
      </c>
      <c r="F540" s="2">
        <v>2021130010192</v>
      </c>
      <c r="G540" s="2" t="str">
        <f>+VLOOKUP(F540,Hoja2!$F:$I,2,FALSE)</f>
        <v>10. PILAR: CARTAGENA TRANSPARENTE</v>
      </c>
      <c r="H540" s="2" t="str">
        <f>+VLOOKUP(F540,Hoja2!$F:$I,3,FALSE)</f>
        <v>10.3 LÍNEA ESTRATÉGICA: CONVIVENCIA Y SEGURIDAD PARA LA GOBERNABILIDAD</v>
      </c>
      <c r="I540" s="2" t="str">
        <f>+VLOOKUP(F540,Hoja2!$F:$I,4,FALSE)</f>
        <v>10.3.9 PROGRAMA: OPTIMIZACIÓN DE LA INFRAESTRUCTURA Y MOVILIDAD DE LOS ORGANISMOS DE SEGURIDAD Y SOCORRO</v>
      </c>
      <c r="J540" t="s">
        <v>940</v>
      </c>
      <c r="K540" t="str">
        <f>"836"</f>
        <v>836</v>
      </c>
      <c r="L540" t="s">
        <v>946</v>
      </c>
      <c r="M540" t="s">
        <v>26</v>
      </c>
      <c r="N540" t="s">
        <v>27</v>
      </c>
      <c r="O540" t="s">
        <v>947</v>
      </c>
      <c r="P540" t="str">
        <f t="shared" si="74"/>
        <v>2021130010192 FORTALECIMIENTO LOGISTICO PARA LA SEGURIDAD, CONVIVENCIA, JUSTICIA Y SOCORRO EN CARTAGENA DE INDIAS CARTAGENA DE INDIAS</v>
      </c>
      <c r="Q540" t="str">
        <f t="shared" si="71"/>
        <v>06</v>
      </c>
      <c r="R540" t="str">
        <f t="shared" si="72"/>
        <v>00</v>
      </c>
      <c r="S540" s="1">
        <v>0</v>
      </c>
      <c r="T540" s="1">
        <v>1813487101</v>
      </c>
      <c r="U540" s="1">
        <v>1813487101</v>
      </c>
      <c r="V540" s="1">
        <v>1813487101</v>
      </c>
      <c r="W540" s="1">
        <v>0</v>
      </c>
      <c r="X540" s="1">
        <v>1813487101</v>
      </c>
      <c r="Y540" s="1">
        <v>100</v>
      </c>
      <c r="Z540" s="1">
        <v>1813487101</v>
      </c>
      <c r="AA540" s="1">
        <v>100</v>
      </c>
      <c r="AB540" s="1">
        <v>0</v>
      </c>
      <c r="AC540" s="1">
        <v>1813487101</v>
      </c>
    </row>
    <row r="541" spans="1:29" x14ac:dyDescent="0.3">
      <c r="A541">
        <v>2022</v>
      </c>
      <c r="B541">
        <v>100</v>
      </c>
      <c r="C541" t="str">
        <f t="shared" si="77"/>
        <v>22</v>
      </c>
      <c r="D541" t="s">
        <v>936</v>
      </c>
      <c r="E541" t="str">
        <f t="shared" si="73"/>
        <v>22 DISTRISEGURIDAD</v>
      </c>
      <c r="F541" s="2">
        <v>2021130010192</v>
      </c>
      <c r="G541" s="2" t="str">
        <f>+VLOOKUP(F541,Hoja2!$F:$I,2,FALSE)</f>
        <v>10. PILAR: CARTAGENA TRANSPARENTE</v>
      </c>
      <c r="H541" s="2" t="str">
        <f>+VLOOKUP(F541,Hoja2!$F:$I,3,FALSE)</f>
        <v>10.3 LÍNEA ESTRATÉGICA: CONVIVENCIA Y SEGURIDAD PARA LA GOBERNABILIDAD</v>
      </c>
      <c r="I541" s="2" t="str">
        <f>+VLOOKUP(F541,Hoja2!$F:$I,4,FALSE)</f>
        <v>10.3.9 PROGRAMA: OPTIMIZACIÓN DE LA INFRAESTRUCTURA Y MOVILIDAD DE LOS ORGANISMOS DE SEGURIDAD Y SOCORRO</v>
      </c>
      <c r="J541" t="s">
        <v>940</v>
      </c>
      <c r="K541" t="str">
        <f>"816"</f>
        <v>816</v>
      </c>
      <c r="L541" t="s">
        <v>116</v>
      </c>
      <c r="M541" t="s">
        <v>26</v>
      </c>
      <c r="N541" t="s">
        <v>27</v>
      </c>
      <c r="O541" t="s">
        <v>941</v>
      </c>
      <c r="P541" t="str">
        <f t="shared" si="74"/>
        <v>2021130010192 FORTALECIMIENTO LOGISTICO PARA LA SEGURIDAD, CONVIVENCIA, JUSTICIA Y SOCORRO EN CARTAGENA DE INDIAS</v>
      </c>
      <c r="Q541" t="str">
        <f t="shared" si="71"/>
        <v>06</v>
      </c>
      <c r="R541" t="str">
        <f t="shared" si="72"/>
        <v>00</v>
      </c>
      <c r="S541" s="1">
        <v>0</v>
      </c>
      <c r="T541" s="1">
        <v>1123458631</v>
      </c>
      <c r="U541" s="1">
        <v>1123458631</v>
      </c>
      <c r="V541" s="1">
        <v>0</v>
      </c>
      <c r="W541" s="1">
        <v>1123458631</v>
      </c>
      <c r="X541" s="1">
        <v>0</v>
      </c>
      <c r="Y541" s="1">
        <v>0</v>
      </c>
      <c r="Z541" s="1">
        <v>0</v>
      </c>
      <c r="AA541" s="1">
        <v>0</v>
      </c>
      <c r="AB541" s="1">
        <v>1123458631</v>
      </c>
      <c r="AC541" s="1">
        <v>0</v>
      </c>
    </row>
    <row r="542" spans="1:29" x14ac:dyDescent="0.3">
      <c r="A542">
        <v>2022</v>
      </c>
      <c r="B542">
        <v>100</v>
      </c>
      <c r="C542" t="str">
        <f t="shared" si="77"/>
        <v>22</v>
      </c>
      <c r="D542" t="s">
        <v>936</v>
      </c>
      <c r="E542" t="str">
        <f t="shared" si="73"/>
        <v>22 DISTRISEGURIDAD</v>
      </c>
      <c r="F542" s="2">
        <v>2021130010192</v>
      </c>
      <c r="G542" s="2" t="str">
        <f>+VLOOKUP(F542,Hoja2!$F:$I,2,FALSE)</f>
        <v>10. PILAR: CARTAGENA TRANSPARENTE</v>
      </c>
      <c r="H542" s="2" t="str">
        <f>+VLOOKUP(F542,Hoja2!$F:$I,3,FALSE)</f>
        <v>10.3 LÍNEA ESTRATÉGICA: CONVIVENCIA Y SEGURIDAD PARA LA GOBERNABILIDAD</v>
      </c>
      <c r="I542" s="2" t="str">
        <f>+VLOOKUP(F542,Hoja2!$F:$I,4,FALSE)</f>
        <v>10.3.9 PROGRAMA: OPTIMIZACIÓN DE LA INFRAESTRUCTURA Y MOVILIDAD DE LOS ORGANISMOS DE SEGURIDAD Y SOCORRO</v>
      </c>
      <c r="J542" t="s">
        <v>940</v>
      </c>
      <c r="K542" t="str">
        <f>"085"</f>
        <v>085</v>
      </c>
      <c r="L542" t="s">
        <v>949</v>
      </c>
      <c r="M542" t="s">
        <v>26</v>
      </c>
      <c r="N542" t="s">
        <v>27</v>
      </c>
      <c r="O542" t="s">
        <v>950</v>
      </c>
      <c r="P542" t="str">
        <f t="shared" si="74"/>
        <v>2021130010192 FORTALECIMIENTO LOGISTICO PARA LA SEGURIDAD, CONVIVENCIA, JUSTICIA Y SOCORRO EN  CARTAGENA DE INDIAS  CARTAGENA DE INDIAS</v>
      </c>
      <c r="Q542" t="str">
        <f t="shared" si="71"/>
        <v>06</v>
      </c>
      <c r="R542" t="str">
        <f t="shared" si="72"/>
        <v>00</v>
      </c>
      <c r="S542" s="1">
        <v>218458917</v>
      </c>
      <c r="T542" s="1">
        <v>0</v>
      </c>
      <c r="U542" s="1">
        <v>218458917</v>
      </c>
      <c r="V542" s="1">
        <v>218458917</v>
      </c>
      <c r="W542" s="1">
        <v>0</v>
      </c>
      <c r="X542" s="1">
        <v>218458917</v>
      </c>
      <c r="Y542" s="1">
        <v>100</v>
      </c>
      <c r="Z542" s="1">
        <v>218458917</v>
      </c>
      <c r="AA542" s="1">
        <v>100</v>
      </c>
      <c r="AB542" s="1">
        <v>0</v>
      </c>
      <c r="AC542" s="1">
        <v>218458917</v>
      </c>
    </row>
    <row r="543" spans="1:29" x14ac:dyDescent="0.3">
      <c r="A543">
        <v>2022</v>
      </c>
      <c r="B543">
        <v>100</v>
      </c>
      <c r="C543" t="str">
        <f t="shared" si="77"/>
        <v>22</v>
      </c>
      <c r="D543" t="s">
        <v>936</v>
      </c>
      <c r="E543" t="str">
        <f t="shared" si="73"/>
        <v>22 DISTRISEGURIDAD</v>
      </c>
      <c r="F543" s="2">
        <v>2021130010192</v>
      </c>
      <c r="G543" s="2" t="str">
        <f>+VLOOKUP(F543,Hoja2!$F:$I,2,FALSE)</f>
        <v>10. PILAR: CARTAGENA TRANSPARENTE</v>
      </c>
      <c r="H543" s="2" t="str">
        <f>+VLOOKUP(F543,Hoja2!$F:$I,3,FALSE)</f>
        <v>10.3 LÍNEA ESTRATÉGICA: CONVIVENCIA Y SEGURIDAD PARA LA GOBERNABILIDAD</v>
      </c>
      <c r="I543" s="2" t="str">
        <f>+VLOOKUP(F543,Hoja2!$F:$I,4,FALSE)</f>
        <v>10.3.9 PROGRAMA: OPTIMIZACIÓN DE LA INFRAESTRUCTURA Y MOVILIDAD DE LOS ORGANISMOS DE SEGURIDAD Y SOCORRO</v>
      </c>
      <c r="J543" t="s">
        <v>940</v>
      </c>
      <c r="K543" t="str">
        <f>"051"</f>
        <v>051</v>
      </c>
      <c r="L543" t="s">
        <v>955</v>
      </c>
      <c r="M543" t="s">
        <v>26</v>
      </c>
      <c r="N543" t="s">
        <v>27</v>
      </c>
      <c r="O543" t="s">
        <v>950</v>
      </c>
      <c r="P543" t="str">
        <f t="shared" si="74"/>
        <v>2021130010192 FORTALECIMIENTO LOGISTICO PARA LA SEGURIDAD, CONVIVENCIA, JUSTICIA Y SOCORRO EN  CARTAGENA DE INDIAS  CARTAGENA DE INDIAS</v>
      </c>
      <c r="Q543" t="str">
        <f t="shared" si="71"/>
        <v>06</v>
      </c>
      <c r="R543" t="str">
        <f t="shared" si="72"/>
        <v>00</v>
      </c>
      <c r="S543" s="1">
        <v>672057018</v>
      </c>
      <c r="T543" s="1">
        <v>0</v>
      </c>
      <c r="U543" s="1">
        <v>672057018</v>
      </c>
      <c r="V543" s="1">
        <v>519662073.18000001</v>
      </c>
      <c r="W543" s="1">
        <v>152394944.81999999</v>
      </c>
      <c r="X543" s="1">
        <v>517159093.57999998</v>
      </c>
      <c r="Y543" s="1">
        <v>76.95</v>
      </c>
      <c r="Z543" s="1">
        <v>517159093.57999998</v>
      </c>
      <c r="AA543" s="1">
        <v>76.95</v>
      </c>
      <c r="AB543" s="1">
        <v>154897924.41999999</v>
      </c>
      <c r="AC543" s="1">
        <v>517159093.57999998</v>
      </c>
    </row>
    <row r="544" spans="1:29" x14ac:dyDescent="0.3">
      <c r="A544">
        <v>2022</v>
      </c>
      <c r="B544">
        <v>100</v>
      </c>
      <c r="C544" t="str">
        <f t="shared" si="77"/>
        <v>22</v>
      </c>
      <c r="D544" t="s">
        <v>936</v>
      </c>
      <c r="E544" t="str">
        <f t="shared" si="73"/>
        <v>22 DISTRISEGURIDAD</v>
      </c>
      <c r="F544" s="2">
        <v>2021130010192</v>
      </c>
      <c r="G544" s="2" t="str">
        <f>+VLOOKUP(F544,Hoja2!$F:$I,2,FALSE)</f>
        <v>10. PILAR: CARTAGENA TRANSPARENTE</v>
      </c>
      <c r="H544" s="2" t="str">
        <f>+VLOOKUP(F544,Hoja2!$F:$I,3,FALSE)</f>
        <v>10.3 LÍNEA ESTRATÉGICA: CONVIVENCIA Y SEGURIDAD PARA LA GOBERNABILIDAD</v>
      </c>
      <c r="I544" s="2" t="str">
        <f>+VLOOKUP(F544,Hoja2!$F:$I,4,FALSE)</f>
        <v>10.3.9 PROGRAMA: OPTIMIZACIÓN DE LA INFRAESTRUCTURA Y MOVILIDAD DE LOS ORGANISMOS DE SEGURIDAD Y SOCORRO</v>
      </c>
      <c r="J544" t="s">
        <v>940</v>
      </c>
      <c r="K544" t="str">
        <f>"037"</f>
        <v>037</v>
      </c>
      <c r="L544" t="s">
        <v>956</v>
      </c>
      <c r="M544" t="s">
        <v>26</v>
      </c>
      <c r="N544" t="s">
        <v>27</v>
      </c>
      <c r="O544" t="s">
        <v>950</v>
      </c>
      <c r="P544" t="str">
        <f t="shared" si="74"/>
        <v>2021130010192 FORTALECIMIENTO LOGISTICO PARA LA SEGURIDAD, CONVIVENCIA, JUSTICIA Y SOCORRO EN  CARTAGENA DE INDIAS  CARTAGENA DE INDIAS</v>
      </c>
      <c r="Q544" t="str">
        <f t="shared" si="71"/>
        <v>06</v>
      </c>
      <c r="R544" t="str">
        <f t="shared" si="72"/>
        <v>00</v>
      </c>
      <c r="S544" s="1">
        <v>767651528</v>
      </c>
      <c r="T544" s="1">
        <v>0</v>
      </c>
      <c r="U544" s="1">
        <v>767651528</v>
      </c>
      <c r="V544" s="1">
        <v>767651518.04999995</v>
      </c>
      <c r="W544" s="1">
        <v>9.9499999999999993</v>
      </c>
      <c r="X544" s="1">
        <v>767651518.04999995</v>
      </c>
      <c r="Y544" s="1">
        <v>100</v>
      </c>
      <c r="Z544" s="1">
        <v>767651518.04999995</v>
      </c>
      <c r="AA544" s="1">
        <v>100</v>
      </c>
      <c r="AB544" s="1">
        <v>9.9499999999999993</v>
      </c>
      <c r="AC544" s="1">
        <v>767651518.04999995</v>
      </c>
    </row>
    <row r="545" spans="1:29" x14ac:dyDescent="0.3">
      <c r="A545">
        <v>2022</v>
      </c>
      <c r="B545">
        <v>100</v>
      </c>
      <c r="C545" t="str">
        <f>"05"</f>
        <v>05</v>
      </c>
      <c r="D545" t="s">
        <v>292</v>
      </c>
      <c r="E545" t="str">
        <f t="shared" si="73"/>
        <v>05 SECRETARIA GENERAL</v>
      </c>
      <c r="F545" s="2">
        <v>2021130010193</v>
      </c>
      <c r="G545" s="2" t="str">
        <f>+VLOOKUP(F545,Hoja2!$F:$I,2,FALSE)</f>
        <v>09. PILAR CARTAGENA CONTINGENTE</v>
      </c>
      <c r="H545" s="2" t="str">
        <f>+VLOOKUP(F545,Hoja2!$F:$I,3,FALSE)</f>
        <v>9.1 LÍNEA ESTRATÉGICA: DESARROLLO ECONÓMICO Y EMPLEABILIDAD</v>
      </c>
      <c r="I545" s="2" t="str">
        <f>+VLOOKUP(F545,Hoja2!$F:$I,4,FALSE)</f>
        <v>9.1.12 PROGRAMA: MAS COOPERACIÓN INTERNACIONAL</v>
      </c>
      <c r="J545" t="s">
        <v>338</v>
      </c>
      <c r="K545" t="str">
        <f>"001"</f>
        <v>001</v>
      </c>
      <c r="L545" t="s">
        <v>25</v>
      </c>
      <c r="M545" t="s">
        <v>26</v>
      </c>
      <c r="N545" t="s">
        <v>27</v>
      </c>
      <c r="O545" t="s">
        <v>339</v>
      </c>
      <c r="P545" t="str">
        <f t="shared" si="74"/>
        <v>2021130010193 FORMULACION PLAN DE INTERNACIONALIZACION DE CARTAGENA DE INDIAS</v>
      </c>
      <c r="Q545" t="str">
        <f t="shared" si="71"/>
        <v>06</v>
      </c>
      <c r="R545" t="str">
        <f t="shared" si="72"/>
        <v>00</v>
      </c>
      <c r="S545" s="1">
        <v>11974651</v>
      </c>
      <c r="T545" s="1">
        <v>0</v>
      </c>
      <c r="U545" s="1">
        <v>11974651</v>
      </c>
      <c r="V545" s="1">
        <v>10000000</v>
      </c>
      <c r="W545" s="1">
        <v>1974651</v>
      </c>
      <c r="X545" s="1">
        <v>0</v>
      </c>
      <c r="Y545" s="1">
        <v>0</v>
      </c>
      <c r="Z545" s="1">
        <v>0</v>
      </c>
      <c r="AA545" s="1">
        <v>0</v>
      </c>
      <c r="AB545" s="1">
        <v>11974651</v>
      </c>
      <c r="AC545" s="1">
        <v>0</v>
      </c>
    </row>
    <row r="546" spans="1:29" x14ac:dyDescent="0.3">
      <c r="A546">
        <v>2022</v>
      </c>
      <c r="B546">
        <v>100</v>
      </c>
      <c r="C546" t="str">
        <f>"09"</f>
        <v>09</v>
      </c>
      <c r="D546" t="s">
        <v>559</v>
      </c>
      <c r="E546" t="str">
        <f t="shared" si="73"/>
        <v>09 SECRETARIA DE PLANEACION</v>
      </c>
      <c r="F546" s="2">
        <v>2021130010194</v>
      </c>
      <c r="G546" s="2" t="str">
        <f>+VLOOKUP(F546,Hoja2!$F:$I,2,FALSE)</f>
        <v>07. PILAR CARTAGENA RESILIENTE</v>
      </c>
      <c r="H546" s="2" t="str">
        <f>+VLOOKUP(F546,Hoja2!$F:$I,3,FALSE)</f>
        <v>7.3 LÍNEA ESTRATÉGICA DESARROLLO URBANO</v>
      </c>
      <c r="I546" s="2" t="str">
        <f>+VLOOKUP(F546,Hoja2!$F:$I,4,FALSE)</f>
        <v>7.3.5 INTEGRAL DE CAÑOS, LAGOS Y CIÉNAGAS DE CARTAGENA DE INDIAS</v>
      </c>
      <c r="J546" t="s">
        <v>580</v>
      </c>
      <c r="K546" t="str">
        <f>"816"</f>
        <v>816</v>
      </c>
      <c r="L546" t="s">
        <v>116</v>
      </c>
      <c r="M546" t="s">
        <v>26</v>
      </c>
      <c r="N546" t="s">
        <v>27</v>
      </c>
      <c r="O546" t="s">
        <v>581</v>
      </c>
      <c r="P546" t="str">
        <f t="shared" si="74"/>
        <v>2021130010194 ASISTENCIA NUEVO PROYECTO DE CA?OS LAGOS LAGUNAS Y CIENAGAS DEL DISTRITO DE  CARTAGENA DE INDIAS</v>
      </c>
      <c r="Q546" t="str">
        <f t="shared" si="71"/>
        <v>06</v>
      </c>
      <c r="R546" t="str">
        <f t="shared" si="72"/>
        <v>00</v>
      </c>
      <c r="S546" s="1">
        <v>0</v>
      </c>
      <c r="T546" s="1">
        <v>0.44</v>
      </c>
      <c r="U546" s="1">
        <v>0.44</v>
      </c>
      <c r="V546" s="1">
        <v>0</v>
      </c>
      <c r="W546" s="1">
        <v>0.44</v>
      </c>
      <c r="X546" s="1">
        <v>0</v>
      </c>
      <c r="Y546" s="1">
        <v>0</v>
      </c>
      <c r="Z546" s="1">
        <v>0</v>
      </c>
      <c r="AA546" s="1">
        <v>0</v>
      </c>
      <c r="AB546" s="1">
        <v>0.44</v>
      </c>
      <c r="AC546" s="1">
        <v>0</v>
      </c>
    </row>
    <row r="547" spans="1:29" x14ac:dyDescent="0.3">
      <c r="A547">
        <v>2022</v>
      </c>
      <c r="B547">
        <v>100</v>
      </c>
      <c r="C547" t="str">
        <f>"09"</f>
        <v>09</v>
      </c>
      <c r="D547" t="s">
        <v>559</v>
      </c>
      <c r="E547" t="str">
        <f t="shared" si="73"/>
        <v>09 SECRETARIA DE PLANEACION</v>
      </c>
      <c r="F547" s="2">
        <v>2021130010194</v>
      </c>
      <c r="G547" s="2" t="str">
        <f>+VLOOKUP(F547,Hoja2!$F:$I,2,FALSE)</f>
        <v>07. PILAR CARTAGENA RESILIENTE</v>
      </c>
      <c r="H547" s="2" t="str">
        <f>+VLOOKUP(F547,Hoja2!$F:$I,3,FALSE)</f>
        <v>7.3 LÍNEA ESTRATÉGICA DESARROLLO URBANO</v>
      </c>
      <c r="I547" s="2" t="str">
        <f>+VLOOKUP(F547,Hoja2!$F:$I,4,FALSE)</f>
        <v>7.3.5 INTEGRAL DE CAÑOS, LAGOS Y CIÉNAGAS DE CARTAGENA DE INDIAS</v>
      </c>
      <c r="J547" t="s">
        <v>580</v>
      </c>
      <c r="K547" t="str">
        <f>"070"</f>
        <v>070</v>
      </c>
      <c r="L547" t="s">
        <v>93</v>
      </c>
      <c r="M547" t="s">
        <v>26</v>
      </c>
      <c r="N547" t="s">
        <v>27</v>
      </c>
      <c r="O547" t="s">
        <v>581</v>
      </c>
      <c r="P547" t="str">
        <f t="shared" si="74"/>
        <v>2021130010194 ASISTENCIA NUEVO PROYECTO DE CA?OS LAGOS LAGUNAS Y CIENAGAS DEL DISTRITO DE  CARTAGENA DE INDIAS</v>
      </c>
      <c r="Q547" t="str">
        <f t="shared" si="71"/>
        <v>06</v>
      </c>
      <c r="R547" t="str">
        <f t="shared" si="72"/>
        <v>00</v>
      </c>
      <c r="S547" s="1">
        <v>5369584259</v>
      </c>
      <c r="T547" s="1">
        <v>-69584258</v>
      </c>
      <c r="U547" s="1">
        <v>5300000001</v>
      </c>
      <c r="V547" s="1">
        <v>2000000000</v>
      </c>
      <c r="W547" s="1">
        <v>3300000001</v>
      </c>
      <c r="X547" s="1">
        <v>2000000000</v>
      </c>
      <c r="Y547" s="1">
        <v>37.74</v>
      </c>
      <c r="Z547" s="1">
        <v>0</v>
      </c>
      <c r="AA547" s="1">
        <v>0</v>
      </c>
      <c r="AB547" s="1">
        <v>3300000001</v>
      </c>
      <c r="AC547" s="1">
        <v>0</v>
      </c>
    </row>
    <row r="548" spans="1:29" x14ac:dyDescent="0.3">
      <c r="A548">
        <v>2022</v>
      </c>
      <c r="B548">
        <v>100</v>
      </c>
      <c r="C548" t="str">
        <f>"09"</f>
        <v>09</v>
      </c>
      <c r="D548" t="s">
        <v>559</v>
      </c>
      <c r="E548" t="str">
        <f t="shared" si="73"/>
        <v>09 SECRETARIA DE PLANEACION</v>
      </c>
      <c r="F548" s="2">
        <v>2021130010194</v>
      </c>
      <c r="G548" s="2" t="str">
        <f>+VLOOKUP(F548,Hoja2!$F:$I,2,FALSE)</f>
        <v>07. PILAR CARTAGENA RESILIENTE</v>
      </c>
      <c r="H548" s="2" t="str">
        <f>+VLOOKUP(F548,Hoja2!$F:$I,3,FALSE)</f>
        <v>7.3 LÍNEA ESTRATÉGICA DESARROLLO URBANO</v>
      </c>
      <c r="I548" s="2" t="str">
        <f>+VLOOKUP(F548,Hoja2!$F:$I,4,FALSE)</f>
        <v>7.3.5 INTEGRAL DE CAÑOS, LAGOS Y CIÉNAGAS DE CARTAGENA DE INDIAS</v>
      </c>
      <c r="J548" t="s">
        <v>580</v>
      </c>
      <c r="K548" t="str">
        <f>"001"</f>
        <v>001</v>
      </c>
      <c r="L548" t="s">
        <v>25</v>
      </c>
      <c r="M548" t="s">
        <v>26</v>
      </c>
      <c r="N548" t="s">
        <v>27</v>
      </c>
      <c r="O548" t="s">
        <v>581</v>
      </c>
      <c r="P548" t="str">
        <f t="shared" si="74"/>
        <v>2021130010194 ASISTENCIA NUEVO PROYECTO DE CA?OS LAGOS LAGUNAS Y CIENAGAS DEL DISTRITO DE  CARTAGENA DE INDIAS</v>
      </c>
      <c r="Q548" t="str">
        <f t="shared" si="71"/>
        <v>06</v>
      </c>
      <c r="R548" t="str">
        <f t="shared" si="72"/>
        <v>00</v>
      </c>
      <c r="S548" s="1">
        <v>2086215741</v>
      </c>
      <c r="T548" s="1">
        <v>-1850815741</v>
      </c>
      <c r="U548" s="1">
        <v>235400000</v>
      </c>
      <c r="V548" s="1">
        <v>194200000</v>
      </c>
      <c r="W548" s="1">
        <v>41200000</v>
      </c>
      <c r="X548" s="1">
        <v>194200000</v>
      </c>
      <c r="Y548" s="1">
        <v>82.5</v>
      </c>
      <c r="Z548" s="1">
        <v>188400000</v>
      </c>
      <c r="AA548" s="1">
        <v>80.03</v>
      </c>
      <c r="AB548" s="1">
        <v>41200000</v>
      </c>
      <c r="AC548" s="1">
        <v>176800000</v>
      </c>
    </row>
    <row r="549" spans="1:29" x14ac:dyDescent="0.3">
      <c r="A549">
        <v>2022</v>
      </c>
      <c r="B549">
        <v>100</v>
      </c>
      <c r="C549" t="str">
        <f t="shared" ref="C549:C560" si="78">"05"</f>
        <v>05</v>
      </c>
      <c r="D549" t="s">
        <v>292</v>
      </c>
      <c r="E549" t="str">
        <f t="shared" si="73"/>
        <v>05 SECRETARIA GENERAL</v>
      </c>
      <c r="F549" s="2">
        <v>2021130010195</v>
      </c>
      <c r="G549" s="2" t="str">
        <f>+VLOOKUP(F549,Hoja2!$F:$I,2,FALSE)</f>
        <v>07. PILAR CARTAGENA RESILIENTE</v>
      </c>
      <c r="H549" s="2" t="str">
        <f>+VLOOKUP(F549,Hoja2!$F:$I,3,FALSE)</f>
        <v>7.6 LÍNEA ESTRATÉGICA SERVICIOS PÚBLICOS BÁSICOS DEL DISTRITO DE CARTAGENA DE INDIAS: “TODOS CON TODO”</v>
      </c>
      <c r="I549" s="2" t="str">
        <f>+VLOOKUP(F549,Hoja2!$F:$I,4,FALSE)</f>
        <v>7.6.2 ENERGÍA ASEQUIBLE, CONFIABLE SOSTENIBLE Y MODERNA PARA TODOS.</v>
      </c>
      <c r="J549" t="s">
        <v>311</v>
      </c>
      <c r="K549" t="str">
        <f>"162"</f>
        <v>162</v>
      </c>
      <c r="L549" t="s">
        <v>312</v>
      </c>
      <c r="M549" t="s">
        <v>26</v>
      </c>
      <c r="N549" t="s">
        <v>27</v>
      </c>
      <c r="O549" t="s">
        <v>313</v>
      </c>
      <c r="P549" t="str">
        <f t="shared" si="74"/>
        <v>2021130010195 IMPLEMENTACION DE LA OPTIMIZACION DEL SERVICIO DE ALUMBRADO PUBLICO Y EL SUMINISTRO DE ENERGIA PARA EL SISTEMA, EN EL DISTRITO DE CARTAGENA DE INDIAS</v>
      </c>
      <c r="Q549" t="str">
        <f t="shared" si="71"/>
        <v>06</v>
      </c>
      <c r="R549" t="str">
        <f t="shared" si="72"/>
        <v>00</v>
      </c>
      <c r="S549" s="1">
        <v>1</v>
      </c>
      <c r="T549" s="1">
        <v>0</v>
      </c>
      <c r="U549" s="1">
        <v>1</v>
      </c>
      <c r="V549" s="1">
        <v>0</v>
      </c>
      <c r="W549" s="1">
        <v>1</v>
      </c>
      <c r="X549" s="1">
        <v>0</v>
      </c>
      <c r="Y549" s="1">
        <v>0</v>
      </c>
      <c r="Z549" s="1">
        <v>0</v>
      </c>
      <c r="AA549" s="1">
        <v>0</v>
      </c>
      <c r="AB549" s="1">
        <v>1</v>
      </c>
      <c r="AC549" s="1">
        <v>0</v>
      </c>
    </row>
    <row r="550" spans="1:29" x14ac:dyDescent="0.3">
      <c r="A550">
        <v>2022</v>
      </c>
      <c r="B550">
        <v>100</v>
      </c>
      <c r="C550" t="str">
        <f t="shared" si="78"/>
        <v>05</v>
      </c>
      <c r="D550" t="s">
        <v>292</v>
      </c>
      <c r="E550" t="str">
        <f t="shared" si="73"/>
        <v>05 SECRETARIA GENERAL</v>
      </c>
      <c r="F550" s="2">
        <v>2021130010195</v>
      </c>
      <c r="G550" s="2" t="str">
        <f>+VLOOKUP(F550,Hoja2!$F:$I,2,FALSE)</f>
        <v>07. PILAR CARTAGENA RESILIENTE</v>
      </c>
      <c r="H550" s="2" t="str">
        <f>+VLOOKUP(F550,Hoja2!$F:$I,3,FALSE)</f>
        <v>7.6 LÍNEA ESTRATÉGICA SERVICIOS PÚBLICOS BÁSICOS DEL DISTRITO DE CARTAGENA DE INDIAS: “TODOS CON TODO”</v>
      </c>
      <c r="I550" s="2" t="str">
        <f>+VLOOKUP(F550,Hoja2!$F:$I,4,FALSE)</f>
        <v>7.6.2 ENERGÍA ASEQUIBLE, CONFIABLE SOSTENIBLE Y MODERNA PARA TODOS.</v>
      </c>
      <c r="J550" t="s">
        <v>311</v>
      </c>
      <c r="K550" t="str">
        <f>"900"</f>
        <v>900</v>
      </c>
      <c r="L550" t="s">
        <v>317</v>
      </c>
      <c r="M550" t="s">
        <v>26</v>
      </c>
      <c r="N550" t="s">
        <v>27</v>
      </c>
      <c r="O550" t="s">
        <v>318</v>
      </c>
      <c r="P550" t="str">
        <f t="shared" si="74"/>
        <v xml:space="preserve">2021130010195 IMPLEMENTACION DE LA OPTIMIZACION DEL SERVICIO DE ALUMBRADO PUBLICO Y EL SUMINISTRO DE ENERGIA PARA EL SISTEMA, EN EL DISTRITO DE CARTAGENA DE INDIAS </v>
      </c>
      <c r="Q550" t="str">
        <f t="shared" si="71"/>
        <v>06</v>
      </c>
      <c r="R550" t="str">
        <f t="shared" si="72"/>
        <v>00</v>
      </c>
      <c r="S550" s="1">
        <v>0</v>
      </c>
      <c r="T550" s="1">
        <v>8628392708.4300003</v>
      </c>
      <c r="U550" s="1">
        <v>8628392708.4300003</v>
      </c>
      <c r="V550" s="1">
        <v>8628392708.2600002</v>
      </c>
      <c r="W550" s="1">
        <v>0.17</v>
      </c>
      <c r="X550" s="1">
        <v>8628392708.2600002</v>
      </c>
      <c r="Y550" s="1">
        <v>100</v>
      </c>
      <c r="Z550" s="1">
        <v>5072959648.2600002</v>
      </c>
      <c r="AA550" s="1">
        <v>58.79</v>
      </c>
      <c r="AB550" s="1">
        <v>0.17</v>
      </c>
      <c r="AC550" s="1">
        <v>5072959648.2600002</v>
      </c>
    </row>
    <row r="551" spans="1:29" x14ac:dyDescent="0.3">
      <c r="A551">
        <v>2022</v>
      </c>
      <c r="B551">
        <v>100</v>
      </c>
      <c r="C551" t="str">
        <f t="shared" si="78"/>
        <v>05</v>
      </c>
      <c r="D551" t="s">
        <v>292</v>
      </c>
      <c r="E551" t="str">
        <f t="shared" si="73"/>
        <v>05 SECRETARIA GENERAL</v>
      </c>
      <c r="F551" s="2">
        <v>2021130010195</v>
      </c>
      <c r="G551" s="2" t="str">
        <f>+VLOOKUP(F551,Hoja2!$F:$I,2,FALSE)</f>
        <v>07. PILAR CARTAGENA RESILIENTE</v>
      </c>
      <c r="H551" s="2" t="str">
        <f>+VLOOKUP(F551,Hoja2!$F:$I,3,FALSE)</f>
        <v>7.6 LÍNEA ESTRATÉGICA SERVICIOS PÚBLICOS BÁSICOS DEL DISTRITO DE CARTAGENA DE INDIAS: “TODOS CON TODO”</v>
      </c>
      <c r="I551" s="2" t="str">
        <f>+VLOOKUP(F551,Hoja2!$F:$I,4,FALSE)</f>
        <v>7.6.2 ENERGÍA ASEQUIBLE, CONFIABLE SOSTENIBLE Y MODERNA PARA TODOS.</v>
      </c>
      <c r="J551" t="s">
        <v>311</v>
      </c>
      <c r="K551" t="str">
        <f>"121"</f>
        <v>121</v>
      </c>
      <c r="L551" t="s">
        <v>328</v>
      </c>
      <c r="M551" t="s">
        <v>26</v>
      </c>
      <c r="N551" t="s">
        <v>27</v>
      </c>
      <c r="O551" t="s">
        <v>313</v>
      </c>
      <c r="P551" t="str">
        <f t="shared" si="74"/>
        <v>2021130010195 IMPLEMENTACION DE LA OPTIMIZACION DEL SERVICIO DE ALUMBRADO PUBLICO Y EL SUMINISTRO DE ENERGIA PARA EL SISTEMA, EN EL DISTRITO DE CARTAGENA DE INDIAS</v>
      </c>
      <c r="Q551" t="str">
        <f t="shared" si="71"/>
        <v>06</v>
      </c>
      <c r="R551" t="str">
        <f t="shared" si="72"/>
        <v>00</v>
      </c>
      <c r="S551" s="1">
        <v>42938198436</v>
      </c>
      <c r="T551" s="1">
        <v>22641269780</v>
      </c>
      <c r="U551" s="1">
        <v>65579468216</v>
      </c>
      <c r="V551" s="1">
        <v>52860936876</v>
      </c>
      <c r="W551" s="1">
        <v>12718531340</v>
      </c>
      <c r="X551" s="1">
        <v>52796742504.739998</v>
      </c>
      <c r="Y551" s="1">
        <v>80.510000000000005</v>
      </c>
      <c r="Z551" s="1">
        <v>45448250211.739998</v>
      </c>
      <c r="AA551" s="1">
        <v>69.3</v>
      </c>
      <c r="AB551" s="1">
        <v>12782725711.26</v>
      </c>
      <c r="AC551" s="1">
        <v>40299757918.739998</v>
      </c>
    </row>
    <row r="552" spans="1:29" x14ac:dyDescent="0.3">
      <c r="A552">
        <v>2022</v>
      </c>
      <c r="B552">
        <v>100</v>
      </c>
      <c r="C552" t="str">
        <f t="shared" si="78"/>
        <v>05</v>
      </c>
      <c r="D552" t="s">
        <v>292</v>
      </c>
      <c r="E552" t="str">
        <f t="shared" si="73"/>
        <v>05 SECRETARIA GENERAL</v>
      </c>
      <c r="F552" s="2">
        <v>2021130010196</v>
      </c>
      <c r="G552" s="2" t="str">
        <f>+VLOOKUP(F552,Hoja2!$F:$I,2,FALSE)</f>
        <v>07. PILAR CARTAGENA RESILIENTE</v>
      </c>
      <c r="H552" s="2" t="str">
        <f>+VLOOKUP(F552,Hoja2!$F:$I,3,FALSE)</f>
        <v>7.6 LÍNEA ESTRATÉGICA SERVICIOS PÚBLICOS BÁSICOS DEL DISTRITO DE CARTAGENA DE INDIAS: “TODOS CON TODO”</v>
      </c>
      <c r="I552" s="2" t="str">
        <f>+VLOOKUP(F552,Hoja2!$F:$I,4,FALSE)</f>
        <v>7.6.1 DE AHORRO Y USO EFICIENTE DE LOS SERVICIOS PÚBLICOS, "AGUA Y SANEAMIENTO BÁSICO PARA TODOS"</v>
      </c>
      <c r="J552" t="s">
        <v>314</v>
      </c>
      <c r="K552" t="str">
        <f>"180"</f>
        <v>180</v>
      </c>
      <c r="L552" t="s">
        <v>315</v>
      </c>
      <c r="M552" t="s">
        <v>26</v>
      </c>
      <c r="N552" t="s">
        <v>27</v>
      </c>
      <c r="O552" t="s">
        <v>316</v>
      </c>
      <c r="P552" t="str">
        <f t="shared" si="74"/>
        <v>2021130010196 ADMINISTRACION DEL FONDO DE SOLIDARIDAD Y REDISTRIBUCION DEL INGRESOS PARA LOS SERVICIOS PUBLICOS DOMICILIARIOS DE ACUEDUCTO, ALCANTARILLADO Y ASEO EN EL DISTRITO DE CARTAGENA DE INDIAS</v>
      </c>
      <c r="Q552" t="str">
        <f t="shared" si="71"/>
        <v>06</v>
      </c>
      <c r="R552" t="str">
        <f t="shared" si="72"/>
        <v>00</v>
      </c>
      <c r="S552" s="1">
        <v>71585470658</v>
      </c>
      <c r="T552" s="1">
        <v>0</v>
      </c>
      <c r="U552" s="1">
        <v>71585470658</v>
      </c>
      <c r="V552" s="1">
        <v>71585470657.259995</v>
      </c>
      <c r="W552" s="1">
        <v>0.74</v>
      </c>
      <c r="X552" s="1">
        <v>71585470656.350006</v>
      </c>
      <c r="Y552" s="1">
        <v>100</v>
      </c>
      <c r="Z552" s="1">
        <v>61669298108.639999</v>
      </c>
      <c r="AA552" s="1">
        <v>86.15</v>
      </c>
      <c r="AB552" s="1">
        <v>1.65</v>
      </c>
      <c r="AC552" s="1">
        <v>61669298108.639999</v>
      </c>
    </row>
    <row r="553" spans="1:29" x14ac:dyDescent="0.3">
      <c r="A553">
        <v>2022</v>
      </c>
      <c r="B553">
        <v>100</v>
      </c>
      <c r="C553" t="str">
        <f t="shared" si="78"/>
        <v>05</v>
      </c>
      <c r="D553" t="s">
        <v>292</v>
      </c>
      <c r="E553" t="str">
        <f t="shared" si="73"/>
        <v>05 SECRETARIA GENERAL</v>
      </c>
      <c r="F553" s="2">
        <v>2021130010196</v>
      </c>
      <c r="G553" s="2" t="str">
        <f>+VLOOKUP(F553,Hoja2!$F:$I,2,FALSE)</f>
        <v>07. PILAR CARTAGENA RESILIENTE</v>
      </c>
      <c r="H553" s="2" t="str">
        <f>+VLOOKUP(F553,Hoja2!$F:$I,3,FALSE)</f>
        <v>7.6 LÍNEA ESTRATÉGICA SERVICIOS PÚBLICOS BÁSICOS DEL DISTRITO DE CARTAGENA DE INDIAS: “TODOS CON TODO”</v>
      </c>
      <c r="I553" s="2" t="str">
        <f>+VLOOKUP(F553,Hoja2!$F:$I,4,FALSE)</f>
        <v>7.6.1 DE AHORRO Y USO EFICIENTE DE LOS SERVICIOS PÚBLICOS, "AGUA Y SANEAMIENTO BÁSICO PARA TODOS"</v>
      </c>
      <c r="J553" t="s">
        <v>314</v>
      </c>
      <c r="K553" t="str">
        <f>"804"</f>
        <v>804</v>
      </c>
      <c r="L553" t="s">
        <v>194</v>
      </c>
      <c r="M553" t="s">
        <v>26</v>
      </c>
      <c r="N553" t="s">
        <v>27</v>
      </c>
      <c r="O553" t="s">
        <v>316</v>
      </c>
      <c r="P553" t="str">
        <f t="shared" si="74"/>
        <v>2021130010196 ADMINISTRACION DEL FONDO DE SOLIDARIDAD Y REDISTRIBUCION DEL INGRESOS PARA LOS SERVICIOS PUBLICOS DOMICILIARIOS DE ACUEDUCTO, ALCANTARILLADO Y ASEO EN EL DISTRITO DE CARTAGENA DE INDIAS</v>
      </c>
      <c r="Q553" t="str">
        <f t="shared" si="71"/>
        <v>06</v>
      </c>
      <c r="R553" t="str">
        <f t="shared" si="72"/>
        <v>00</v>
      </c>
      <c r="S553" s="1">
        <v>0</v>
      </c>
      <c r="T553" s="1">
        <v>8609950282</v>
      </c>
      <c r="U553" s="1">
        <v>8609950282</v>
      </c>
      <c r="V553" s="1">
        <v>8609950282</v>
      </c>
      <c r="W553" s="1">
        <v>0</v>
      </c>
      <c r="X553" s="1">
        <v>8609950282</v>
      </c>
      <c r="Y553" s="1">
        <v>100</v>
      </c>
      <c r="Z553" s="1">
        <v>8609950282</v>
      </c>
      <c r="AA553" s="1">
        <v>100</v>
      </c>
      <c r="AB553" s="1">
        <v>0</v>
      </c>
      <c r="AC553" s="1">
        <v>8609950282</v>
      </c>
    </row>
    <row r="554" spans="1:29" x14ac:dyDescent="0.3">
      <c r="A554">
        <v>2022</v>
      </c>
      <c r="B554">
        <v>100</v>
      </c>
      <c r="C554" t="str">
        <f t="shared" si="78"/>
        <v>05</v>
      </c>
      <c r="D554" t="s">
        <v>292</v>
      </c>
      <c r="E554" t="str">
        <f t="shared" si="73"/>
        <v>05 SECRETARIA GENERAL</v>
      </c>
      <c r="F554" s="2">
        <v>2021130010196</v>
      </c>
      <c r="G554" s="2" t="str">
        <f>+VLOOKUP(F554,Hoja2!$F:$I,2,FALSE)</f>
        <v>07. PILAR CARTAGENA RESILIENTE</v>
      </c>
      <c r="H554" s="2" t="str">
        <f>+VLOOKUP(F554,Hoja2!$F:$I,3,FALSE)</f>
        <v>7.6 LÍNEA ESTRATÉGICA SERVICIOS PÚBLICOS BÁSICOS DEL DISTRITO DE CARTAGENA DE INDIAS: “TODOS CON TODO”</v>
      </c>
      <c r="I554" s="2" t="str">
        <f>+VLOOKUP(F554,Hoja2!$F:$I,4,FALSE)</f>
        <v>7.6.1 DE AHORRO Y USO EFICIENTE DE LOS SERVICIOS PÚBLICOS, "AGUA Y SANEAMIENTO BÁSICO PARA TODOS"</v>
      </c>
      <c r="J554" t="s">
        <v>314</v>
      </c>
      <c r="K554" t="str">
        <f>"805"</f>
        <v>805</v>
      </c>
      <c r="L554" t="s">
        <v>319</v>
      </c>
      <c r="M554" t="s">
        <v>26</v>
      </c>
      <c r="N554" t="s">
        <v>27</v>
      </c>
      <c r="O554" t="s">
        <v>316</v>
      </c>
      <c r="P554" t="str">
        <f t="shared" si="74"/>
        <v>2021130010196 ADMINISTRACION DEL FONDO DE SOLIDARIDAD Y REDISTRIBUCION DEL INGRESOS PARA LOS SERVICIOS PUBLICOS DOMICILIARIOS DE ACUEDUCTO, ALCANTARILLADO Y ASEO EN EL DISTRITO DE CARTAGENA DE INDIAS</v>
      </c>
      <c r="Q554" t="str">
        <f t="shared" si="71"/>
        <v>06</v>
      </c>
      <c r="R554" t="str">
        <f t="shared" si="72"/>
        <v>00</v>
      </c>
      <c r="S554" s="1">
        <v>0</v>
      </c>
      <c r="T554" s="1">
        <v>8470702815.7600002</v>
      </c>
      <c r="U554" s="1">
        <v>8470702815.7600002</v>
      </c>
      <c r="V554" s="1">
        <v>8470702815.7600002</v>
      </c>
      <c r="W554" s="1">
        <v>0</v>
      </c>
      <c r="X554" s="1">
        <v>8470702815.7600002</v>
      </c>
      <c r="Y554" s="1">
        <v>100</v>
      </c>
      <c r="Z554" s="1">
        <v>8470702815.7600002</v>
      </c>
      <c r="AA554" s="1">
        <v>100</v>
      </c>
      <c r="AB554" s="1">
        <v>0</v>
      </c>
      <c r="AC554" s="1">
        <v>8470702815.7600002</v>
      </c>
    </row>
    <row r="555" spans="1:29" x14ac:dyDescent="0.3">
      <c r="A555">
        <v>2022</v>
      </c>
      <c r="B555">
        <v>100</v>
      </c>
      <c r="C555" t="str">
        <f t="shared" si="78"/>
        <v>05</v>
      </c>
      <c r="D555" t="s">
        <v>292</v>
      </c>
      <c r="E555" t="str">
        <f t="shared" si="73"/>
        <v>05 SECRETARIA GENERAL</v>
      </c>
      <c r="F555" s="2">
        <v>2021130010196</v>
      </c>
      <c r="G555" s="2" t="str">
        <f>+VLOOKUP(F555,Hoja2!$F:$I,2,FALSE)</f>
        <v>07. PILAR CARTAGENA RESILIENTE</v>
      </c>
      <c r="H555" s="2" t="str">
        <f>+VLOOKUP(F555,Hoja2!$F:$I,3,FALSE)</f>
        <v>7.6 LÍNEA ESTRATÉGICA SERVICIOS PÚBLICOS BÁSICOS DEL DISTRITO DE CARTAGENA DE INDIAS: “TODOS CON TODO”</v>
      </c>
      <c r="I555" s="2" t="str">
        <f>+VLOOKUP(F555,Hoja2!$F:$I,4,FALSE)</f>
        <v>7.6.1 DE AHORRO Y USO EFICIENTE DE LOS SERVICIOS PÚBLICOS, "AGUA Y SANEAMIENTO BÁSICO PARA TODOS"</v>
      </c>
      <c r="J555" t="s">
        <v>314</v>
      </c>
      <c r="K555" t="str">
        <f>"808"</f>
        <v>808</v>
      </c>
      <c r="L555" t="s">
        <v>320</v>
      </c>
      <c r="M555" t="s">
        <v>26</v>
      </c>
      <c r="N555" t="s">
        <v>27</v>
      </c>
      <c r="O555" t="s">
        <v>316</v>
      </c>
      <c r="P555" t="str">
        <f t="shared" si="74"/>
        <v>2021130010196 ADMINISTRACION DEL FONDO DE SOLIDARIDAD Y REDISTRIBUCION DEL INGRESOS PARA LOS SERVICIOS PUBLICOS DOMICILIARIOS DE ACUEDUCTO, ALCANTARILLADO Y ASEO EN EL DISTRITO DE CARTAGENA DE INDIAS</v>
      </c>
      <c r="Q555" t="str">
        <f t="shared" si="71"/>
        <v>06</v>
      </c>
      <c r="R555" t="str">
        <f t="shared" si="72"/>
        <v>00</v>
      </c>
      <c r="S555" s="1">
        <v>0</v>
      </c>
      <c r="T555" s="1">
        <v>1959270324.03</v>
      </c>
      <c r="U555" s="1">
        <v>1959270324.03</v>
      </c>
      <c r="V555" s="1">
        <v>1959270324</v>
      </c>
      <c r="W555" s="1">
        <v>0.03</v>
      </c>
      <c r="X555" s="1">
        <v>1959270324</v>
      </c>
      <c r="Y555" s="1">
        <v>100</v>
      </c>
      <c r="Z555" s="1">
        <v>1959270324</v>
      </c>
      <c r="AA555" s="1">
        <v>100</v>
      </c>
      <c r="AB555" s="1">
        <v>0.03</v>
      </c>
      <c r="AC555" s="1">
        <v>1959270324</v>
      </c>
    </row>
    <row r="556" spans="1:29" x14ac:dyDescent="0.3">
      <c r="A556">
        <v>2022</v>
      </c>
      <c r="B556">
        <v>100</v>
      </c>
      <c r="C556" t="str">
        <f t="shared" si="78"/>
        <v>05</v>
      </c>
      <c r="D556" t="s">
        <v>292</v>
      </c>
      <c r="E556" t="str">
        <f t="shared" si="73"/>
        <v>05 SECRETARIA GENERAL</v>
      </c>
      <c r="F556" s="2">
        <v>2021130010196</v>
      </c>
      <c r="G556" s="2" t="str">
        <f>+VLOOKUP(F556,Hoja2!$F:$I,2,FALSE)</f>
        <v>07. PILAR CARTAGENA RESILIENTE</v>
      </c>
      <c r="H556" s="2" t="str">
        <f>+VLOOKUP(F556,Hoja2!$F:$I,3,FALSE)</f>
        <v>7.6 LÍNEA ESTRATÉGICA SERVICIOS PÚBLICOS BÁSICOS DEL DISTRITO DE CARTAGENA DE INDIAS: “TODOS CON TODO”</v>
      </c>
      <c r="I556" s="2" t="str">
        <f>+VLOOKUP(F556,Hoja2!$F:$I,4,FALSE)</f>
        <v>7.6.1 DE AHORRO Y USO EFICIENTE DE LOS SERVICIOS PÚBLICOS, "AGUA Y SANEAMIENTO BÁSICO PARA TODOS"</v>
      </c>
      <c r="J556" t="s">
        <v>314</v>
      </c>
      <c r="K556" t="str">
        <f>"809"</f>
        <v>809</v>
      </c>
      <c r="L556" t="s">
        <v>321</v>
      </c>
      <c r="M556" t="s">
        <v>26</v>
      </c>
      <c r="N556" t="s">
        <v>27</v>
      </c>
      <c r="O556" t="s">
        <v>316</v>
      </c>
      <c r="P556" t="str">
        <f t="shared" si="74"/>
        <v>2021130010196 ADMINISTRACION DEL FONDO DE SOLIDARIDAD Y REDISTRIBUCION DEL INGRESOS PARA LOS SERVICIOS PUBLICOS DOMICILIARIOS DE ACUEDUCTO, ALCANTARILLADO Y ASEO EN EL DISTRITO DE CARTAGENA DE INDIAS</v>
      </c>
      <c r="Q556" t="str">
        <f t="shared" si="71"/>
        <v>06</v>
      </c>
      <c r="R556" t="str">
        <f t="shared" si="72"/>
        <v>00</v>
      </c>
      <c r="S556" s="1">
        <v>0</v>
      </c>
      <c r="T556" s="1">
        <v>70343770</v>
      </c>
      <c r="U556" s="1">
        <v>70343770</v>
      </c>
      <c r="V556" s="1">
        <v>70343770</v>
      </c>
      <c r="W556" s="1">
        <v>0</v>
      </c>
      <c r="X556" s="1">
        <v>70343770</v>
      </c>
      <c r="Y556" s="1">
        <v>100</v>
      </c>
      <c r="Z556" s="1">
        <v>70343770</v>
      </c>
      <c r="AA556" s="1">
        <v>100</v>
      </c>
      <c r="AB556" s="1">
        <v>0</v>
      </c>
      <c r="AC556" s="1">
        <v>70343770</v>
      </c>
    </row>
    <row r="557" spans="1:29" x14ac:dyDescent="0.3">
      <c r="A557">
        <v>2022</v>
      </c>
      <c r="B557">
        <v>100</v>
      </c>
      <c r="C557" t="str">
        <f t="shared" si="78"/>
        <v>05</v>
      </c>
      <c r="D557" t="s">
        <v>292</v>
      </c>
      <c r="E557" t="str">
        <f t="shared" si="73"/>
        <v>05 SECRETARIA GENERAL</v>
      </c>
      <c r="F557" s="2">
        <v>2021130010196</v>
      </c>
      <c r="G557" s="2" t="str">
        <f>+VLOOKUP(F557,Hoja2!$F:$I,2,FALSE)</f>
        <v>07. PILAR CARTAGENA RESILIENTE</v>
      </c>
      <c r="H557" s="2" t="str">
        <f>+VLOOKUP(F557,Hoja2!$F:$I,3,FALSE)</f>
        <v>7.6 LÍNEA ESTRATÉGICA SERVICIOS PÚBLICOS BÁSICOS DEL DISTRITO DE CARTAGENA DE INDIAS: “TODOS CON TODO”</v>
      </c>
      <c r="I557" s="2" t="str">
        <f>+VLOOKUP(F557,Hoja2!$F:$I,4,FALSE)</f>
        <v>7.6.1 DE AHORRO Y USO EFICIENTE DE LOS SERVICIOS PÚBLICOS, "AGUA Y SANEAMIENTO BÁSICO PARA TODOS"</v>
      </c>
      <c r="J557" t="s">
        <v>314</v>
      </c>
      <c r="K557" t="str">
        <f>"055"</f>
        <v>055</v>
      </c>
      <c r="L557" t="s">
        <v>324</v>
      </c>
      <c r="M557" t="s">
        <v>26</v>
      </c>
      <c r="N557" t="s">
        <v>27</v>
      </c>
      <c r="O557" t="s">
        <v>316</v>
      </c>
      <c r="P557" t="str">
        <f t="shared" si="74"/>
        <v>2021130010196 ADMINISTRACION DEL FONDO DE SOLIDARIDAD Y REDISTRIBUCION DEL INGRESOS PARA LOS SERVICIOS PUBLICOS DOMICILIARIOS DE ACUEDUCTO, ALCANTARILLADO Y ASEO EN EL DISTRITO DE CARTAGENA DE INDIAS</v>
      </c>
      <c r="Q557" t="str">
        <f t="shared" si="71"/>
        <v>06</v>
      </c>
      <c r="R557" t="str">
        <f t="shared" si="72"/>
        <v>00</v>
      </c>
      <c r="S557" s="1">
        <v>30872593416</v>
      </c>
      <c r="T557" s="1">
        <v>-169445132</v>
      </c>
      <c r="U557" s="1">
        <v>30703148284</v>
      </c>
      <c r="V557" s="1">
        <v>28000674983</v>
      </c>
      <c r="W557" s="1">
        <v>2702473301</v>
      </c>
      <c r="X557" s="1">
        <v>27313076879</v>
      </c>
      <c r="Y557" s="1">
        <v>88.96</v>
      </c>
      <c r="Z557" s="1">
        <v>23926330089</v>
      </c>
      <c r="AA557" s="1">
        <v>77.930000000000007</v>
      </c>
      <c r="AB557" s="1">
        <v>3390071405</v>
      </c>
      <c r="AC557" s="1">
        <v>22434230074</v>
      </c>
    </row>
    <row r="558" spans="1:29" x14ac:dyDescent="0.3">
      <c r="A558">
        <v>2022</v>
      </c>
      <c r="B558">
        <v>100</v>
      </c>
      <c r="C558" t="str">
        <f t="shared" si="78"/>
        <v>05</v>
      </c>
      <c r="D558" t="s">
        <v>292</v>
      </c>
      <c r="E558" t="str">
        <f t="shared" si="73"/>
        <v>05 SECRETARIA GENERAL</v>
      </c>
      <c r="F558" s="2">
        <v>2021130010196</v>
      </c>
      <c r="G558" s="2" t="str">
        <f>+VLOOKUP(F558,Hoja2!$F:$I,2,FALSE)</f>
        <v>07. PILAR CARTAGENA RESILIENTE</v>
      </c>
      <c r="H558" s="2" t="str">
        <f>+VLOOKUP(F558,Hoja2!$F:$I,3,FALSE)</f>
        <v>7.6 LÍNEA ESTRATÉGICA SERVICIOS PÚBLICOS BÁSICOS DEL DISTRITO DE CARTAGENA DE INDIAS: “TODOS CON TODO”</v>
      </c>
      <c r="I558" s="2" t="str">
        <f>+VLOOKUP(F558,Hoja2!$F:$I,4,FALSE)</f>
        <v>7.6.1 DE AHORRO Y USO EFICIENTE DE LOS SERVICIOS PÚBLICOS, "AGUA Y SANEAMIENTO BÁSICO PARA TODOS"</v>
      </c>
      <c r="J558" t="s">
        <v>314</v>
      </c>
      <c r="K558" t="str">
        <f>"062"</f>
        <v>062</v>
      </c>
      <c r="L558" t="s">
        <v>326</v>
      </c>
      <c r="M558" t="s">
        <v>26</v>
      </c>
      <c r="N558" t="s">
        <v>27</v>
      </c>
      <c r="O558" t="s">
        <v>316</v>
      </c>
      <c r="P558" t="str">
        <f t="shared" si="74"/>
        <v>2021130010196 ADMINISTRACION DEL FONDO DE SOLIDARIDAD Y REDISTRIBUCION DEL INGRESOS PARA LOS SERVICIOS PUBLICOS DOMICILIARIOS DE ACUEDUCTO, ALCANTARILLADO Y ASEO EN EL DISTRITO DE CARTAGENA DE INDIAS</v>
      </c>
      <c r="Q558" t="str">
        <f t="shared" si="71"/>
        <v>06</v>
      </c>
      <c r="R558" t="str">
        <f t="shared" si="72"/>
        <v>00</v>
      </c>
      <c r="S558" s="1">
        <v>8662789238</v>
      </c>
      <c r="T558" s="1">
        <v>0</v>
      </c>
      <c r="U558" s="1">
        <v>8662789238</v>
      </c>
      <c r="V558" s="1">
        <v>8487891697</v>
      </c>
      <c r="W558" s="1">
        <v>174897541</v>
      </c>
      <c r="X558" s="1">
        <v>8487891697</v>
      </c>
      <c r="Y558" s="1">
        <v>97.98</v>
      </c>
      <c r="Z558" s="1">
        <v>8487891697</v>
      </c>
      <c r="AA558" s="1">
        <v>97.98</v>
      </c>
      <c r="AB558" s="1">
        <v>174897541</v>
      </c>
      <c r="AC558" s="1">
        <v>8074088656</v>
      </c>
    </row>
    <row r="559" spans="1:29" x14ac:dyDescent="0.3">
      <c r="A559">
        <v>2022</v>
      </c>
      <c r="B559">
        <v>100</v>
      </c>
      <c r="C559" t="str">
        <f t="shared" si="78"/>
        <v>05</v>
      </c>
      <c r="D559" t="s">
        <v>292</v>
      </c>
      <c r="E559" t="str">
        <f t="shared" si="73"/>
        <v>05 SECRETARIA GENERAL</v>
      </c>
      <c r="F559" s="2">
        <v>2021130010196</v>
      </c>
      <c r="G559" s="2" t="str">
        <f>+VLOOKUP(F559,Hoja2!$F:$I,2,FALSE)</f>
        <v>07. PILAR CARTAGENA RESILIENTE</v>
      </c>
      <c r="H559" s="2" t="str">
        <f>+VLOOKUP(F559,Hoja2!$F:$I,3,FALSE)</f>
        <v>7.6 LÍNEA ESTRATÉGICA SERVICIOS PÚBLICOS BÁSICOS DEL DISTRITO DE CARTAGENA DE INDIAS: “TODOS CON TODO”</v>
      </c>
      <c r="I559" s="2" t="str">
        <f>+VLOOKUP(F559,Hoja2!$F:$I,4,FALSE)</f>
        <v>7.6.1 DE AHORRO Y USO EFICIENTE DE LOS SERVICIOS PÚBLICOS, "AGUA Y SANEAMIENTO BÁSICO PARA TODOS"</v>
      </c>
      <c r="J559" t="s">
        <v>314</v>
      </c>
      <c r="K559" t="str">
        <f>"111"</f>
        <v>111</v>
      </c>
      <c r="L559" t="s">
        <v>327</v>
      </c>
      <c r="M559" t="s">
        <v>26</v>
      </c>
      <c r="N559" t="s">
        <v>27</v>
      </c>
      <c r="O559" t="s">
        <v>316</v>
      </c>
      <c r="P559" t="str">
        <f t="shared" si="74"/>
        <v>2021130010196 ADMINISTRACION DEL FONDO DE SOLIDARIDAD Y REDISTRIBUCION DEL INGRESOS PARA LOS SERVICIOS PUBLICOS DOMICILIARIOS DE ACUEDUCTO, ALCANTARILLADO Y ASEO EN EL DISTRITO DE CARTAGENA DE INDIAS</v>
      </c>
      <c r="Q559" t="str">
        <f t="shared" si="71"/>
        <v>06</v>
      </c>
      <c r="R559" t="str">
        <f t="shared" si="72"/>
        <v>00</v>
      </c>
      <c r="S559" s="1">
        <v>89171393</v>
      </c>
      <c r="T559" s="1">
        <v>0</v>
      </c>
      <c r="U559" s="1">
        <v>89171393</v>
      </c>
      <c r="V559" s="1">
        <v>0</v>
      </c>
      <c r="W559" s="1">
        <v>89171393</v>
      </c>
      <c r="X559" s="1">
        <v>0</v>
      </c>
      <c r="Y559" s="1">
        <v>0</v>
      </c>
      <c r="Z559" s="1">
        <v>0</v>
      </c>
      <c r="AA559" s="1">
        <v>0</v>
      </c>
      <c r="AB559" s="1">
        <v>89171393</v>
      </c>
      <c r="AC559" s="1">
        <v>0</v>
      </c>
    </row>
    <row r="560" spans="1:29" x14ac:dyDescent="0.3">
      <c r="A560">
        <v>2022</v>
      </c>
      <c r="B560">
        <v>100</v>
      </c>
      <c r="C560" t="str">
        <f t="shared" si="78"/>
        <v>05</v>
      </c>
      <c r="D560" t="s">
        <v>292</v>
      </c>
      <c r="E560" t="str">
        <f t="shared" si="73"/>
        <v>05 SECRETARIA GENERAL</v>
      </c>
      <c r="F560" s="2">
        <v>2021130010196</v>
      </c>
      <c r="G560" s="2" t="str">
        <f>+VLOOKUP(F560,Hoja2!$F:$I,2,FALSE)</f>
        <v>07. PILAR CARTAGENA RESILIENTE</v>
      </c>
      <c r="H560" s="2" t="str">
        <f>+VLOOKUP(F560,Hoja2!$F:$I,3,FALSE)</f>
        <v>7.6 LÍNEA ESTRATÉGICA SERVICIOS PÚBLICOS BÁSICOS DEL DISTRITO DE CARTAGENA DE INDIAS: “TODOS CON TODO”</v>
      </c>
      <c r="I560" s="2" t="str">
        <f>+VLOOKUP(F560,Hoja2!$F:$I,4,FALSE)</f>
        <v>7.6.1 DE AHORRO Y USO EFICIENTE DE LOS SERVICIOS PÚBLICOS, "AGUA Y SANEAMIENTO BÁSICO PARA TODOS"</v>
      </c>
      <c r="J560" t="s">
        <v>314</v>
      </c>
      <c r="K560" t="str">
        <f>"001"</f>
        <v>001</v>
      </c>
      <c r="L560" t="s">
        <v>25</v>
      </c>
      <c r="M560" t="s">
        <v>26</v>
      </c>
      <c r="N560" t="s">
        <v>27</v>
      </c>
      <c r="O560" t="s">
        <v>316</v>
      </c>
      <c r="P560" t="str">
        <f t="shared" si="74"/>
        <v>2021130010196 ADMINISTRACION DEL FONDO DE SOLIDARIDAD Y REDISTRIBUCION DEL INGRESOS PARA LOS SERVICIOS PUBLICOS DOMICILIARIOS DE ACUEDUCTO, ALCANTARILLADO Y ASEO EN EL DISTRITO DE CARTAGENA DE INDIAS</v>
      </c>
      <c r="Q560" t="str">
        <f t="shared" si="71"/>
        <v>06</v>
      </c>
      <c r="R560" t="str">
        <f t="shared" si="72"/>
        <v>00</v>
      </c>
      <c r="S560" s="1">
        <v>4196469199</v>
      </c>
      <c r="T560" s="1">
        <v>14977479880.32</v>
      </c>
      <c r="U560" s="1">
        <v>19173949079.32</v>
      </c>
      <c r="V560" s="1">
        <v>19173949079.32</v>
      </c>
      <c r="W560" s="1">
        <v>0</v>
      </c>
      <c r="X560" s="1">
        <v>19173949079.32</v>
      </c>
      <c r="Y560" s="1">
        <v>100</v>
      </c>
      <c r="Z560" s="1">
        <v>13964053695.27</v>
      </c>
      <c r="AA560" s="1">
        <v>72.83</v>
      </c>
      <c r="AB560" s="1">
        <v>0</v>
      </c>
      <c r="AC560" s="1">
        <v>13964053695.27</v>
      </c>
    </row>
    <row r="561" spans="1:29" x14ac:dyDescent="0.3">
      <c r="A561">
        <v>2022</v>
      </c>
      <c r="B561">
        <v>100</v>
      </c>
      <c r="C561" t="str">
        <f t="shared" ref="C561:C566" si="79">"21"</f>
        <v>21</v>
      </c>
      <c r="D561" t="s">
        <v>893</v>
      </c>
      <c r="E561" t="str">
        <f t="shared" si="73"/>
        <v>21 ESTABLECIMIENTO PUBLICO AMBIENTAL-EPA</v>
      </c>
      <c r="F561" s="2">
        <v>2021130010197</v>
      </c>
      <c r="G561" s="2" t="str">
        <f>+VLOOKUP(F561,Hoja2!$F:$I,2,FALSE)</f>
        <v>07. PILAR CARTAGENA RESILIENTE</v>
      </c>
      <c r="H561" s="2" t="str">
        <f>+VLOOKUP(F561,Hoja2!$F:$I,3,FALSE)</f>
        <v>7.1 LÍNEA ESTRATÉGICA: “SALVEMOS JUNTOS NUESTRO PATRIMONIO NATURAL”</v>
      </c>
      <c r="I561" s="2" t="str">
        <f>+VLOOKUP(F561,Hoja2!$F:$I,4,FALSE)</f>
        <v>7.1.1 RECUPERAR Y RESTAURAR NUESTRAS ÁREAS NATURALES (BOSQUES Y BIODIVERSIDAD Y SERVICIOS ECO SISTÉMICOS)</v>
      </c>
      <c r="J561" t="s">
        <v>899</v>
      </c>
      <c r="K561" t="str">
        <f>"935"</f>
        <v>935</v>
      </c>
      <c r="L561" t="s">
        <v>895</v>
      </c>
      <c r="M561" t="s">
        <v>26</v>
      </c>
      <c r="N561" t="s">
        <v>27</v>
      </c>
      <c r="O561" t="s">
        <v>900</v>
      </c>
      <c r="P561" t="str">
        <f t="shared" si="74"/>
        <v>2021130010197 RECUPERACION DE AREAS AMBIENTALES DEGRADADAS CARTAGENA DE INDIAS</v>
      </c>
      <c r="Q561" t="str">
        <f t="shared" si="71"/>
        <v>06</v>
      </c>
      <c r="R561" t="str">
        <f t="shared" si="72"/>
        <v>00</v>
      </c>
      <c r="S561" s="1">
        <v>0</v>
      </c>
      <c r="T561" s="1">
        <v>40000000</v>
      </c>
      <c r="U561" s="1">
        <v>40000000</v>
      </c>
      <c r="V561" s="1">
        <v>0</v>
      </c>
      <c r="W561" s="1">
        <v>40000000</v>
      </c>
      <c r="X561" s="1">
        <v>0</v>
      </c>
      <c r="Y561" s="1">
        <v>0</v>
      </c>
      <c r="Z561" s="1">
        <v>0</v>
      </c>
      <c r="AA561" s="1">
        <v>0</v>
      </c>
      <c r="AB561" s="1">
        <v>40000000</v>
      </c>
      <c r="AC561" s="1">
        <v>0</v>
      </c>
    </row>
    <row r="562" spans="1:29" x14ac:dyDescent="0.3">
      <c r="A562">
        <v>2022</v>
      </c>
      <c r="B562">
        <v>100</v>
      </c>
      <c r="C562" t="str">
        <f t="shared" si="79"/>
        <v>21</v>
      </c>
      <c r="D562" t="s">
        <v>893</v>
      </c>
      <c r="E562" t="str">
        <f t="shared" si="73"/>
        <v>21 ESTABLECIMIENTO PUBLICO AMBIENTAL-EPA</v>
      </c>
      <c r="F562" s="2">
        <v>2021130010197</v>
      </c>
      <c r="G562" s="2" t="str">
        <f>+VLOOKUP(F562,Hoja2!$F:$I,2,FALSE)</f>
        <v>07. PILAR CARTAGENA RESILIENTE</v>
      </c>
      <c r="H562" s="2" t="str">
        <f>+VLOOKUP(F562,Hoja2!$F:$I,3,FALSE)</f>
        <v>7.1 LÍNEA ESTRATÉGICA: “SALVEMOS JUNTOS NUESTRO PATRIMONIO NATURAL”</v>
      </c>
      <c r="I562" s="2" t="str">
        <f>+VLOOKUP(F562,Hoja2!$F:$I,4,FALSE)</f>
        <v>7.1.1 RECUPERAR Y RESTAURAR NUESTRAS ÁREAS NATURALES (BOSQUES Y BIODIVERSIDAD Y SERVICIOS ECO SISTÉMICOS)</v>
      </c>
      <c r="J562" t="s">
        <v>899</v>
      </c>
      <c r="K562" t="str">
        <f>"001"</f>
        <v>001</v>
      </c>
      <c r="L562" t="s">
        <v>25</v>
      </c>
      <c r="M562" t="s">
        <v>26</v>
      </c>
      <c r="N562" t="s">
        <v>27</v>
      </c>
      <c r="O562" t="s">
        <v>915</v>
      </c>
      <c r="P562" t="str">
        <f t="shared" si="74"/>
        <v>2021130010197 RECUPERACION DE AREAS AMBIENTALMENTE DEGRADADAS  CARTAGENA DE INDIAS</v>
      </c>
      <c r="Q562" t="str">
        <f t="shared" si="71"/>
        <v>06</v>
      </c>
      <c r="R562" t="str">
        <f t="shared" si="72"/>
        <v>00</v>
      </c>
      <c r="S562" s="1">
        <v>1000000000</v>
      </c>
      <c r="T562" s="1">
        <v>0</v>
      </c>
      <c r="U562" s="1">
        <v>1000000000</v>
      </c>
      <c r="V562" s="1">
        <v>1000000000</v>
      </c>
      <c r="W562" s="1">
        <v>0</v>
      </c>
      <c r="X562" s="1">
        <v>1000000000</v>
      </c>
      <c r="Y562" s="1">
        <v>100</v>
      </c>
      <c r="Z562" s="1">
        <v>1000000000</v>
      </c>
      <c r="AA562" s="1">
        <v>100</v>
      </c>
      <c r="AB562" s="1">
        <v>0</v>
      </c>
      <c r="AC562" s="1">
        <v>1000000000</v>
      </c>
    </row>
    <row r="563" spans="1:29" x14ac:dyDescent="0.3">
      <c r="A563">
        <v>2022</v>
      </c>
      <c r="B563">
        <v>100</v>
      </c>
      <c r="C563" t="str">
        <f t="shared" si="79"/>
        <v>21</v>
      </c>
      <c r="D563" t="s">
        <v>893</v>
      </c>
      <c r="E563" t="str">
        <f t="shared" si="73"/>
        <v>21 ESTABLECIMIENTO PUBLICO AMBIENTAL-EPA</v>
      </c>
      <c r="F563" s="2">
        <v>2021130010198</v>
      </c>
      <c r="G563" s="2" t="str">
        <f>+VLOOKUP(F563,Hoja2!$F:$I,2,FALSE)</f>
        <v>07. PILAR CARTAGENA RESILIENTE</v>
      </c>
      <c r="H563" s="2" t="str">
        <f>+VLOOKUP(F563,Hoja2!$F:$I,3,FALSE)</f>
        <v>7.1 LÍNEA ESTRATÉGICA: “SALVEMOS JUNTOS NUESTRO PATRIMONIO NATURAL”</v>
      </c>
      <c r="I563" s="2" t="str">
        <f>+VLOOKUP(F563,Hoja2!$F:$I,4,FALSE)</f>
        <v>7.1.5 SALVEMOS JUNTOS NUESTRO RECURSO HÍDRICO (GESTION INTEGRAL RECURSOS HÍDRICOS)</v>
      </c>
      <c r="J563" t="s">
        <v>901</v>
      </c>
      <c r="K563" t="str">
        <f>"935"</f>
        <v>935</v>
      </c>
      <c r="L563" t="s">
        <v>895</v>
      </c>
      <c r="M563" t="s">
        <v>26</v>
      </c>
      <c r="N563" t="s">
        <v>27</v>
      </c>
      <c r="O563" t="s">
        <v>902</v>
      </c>
      <c r="P563" t="str">
        <f t="shared" si="74"/>
        <v>2021130010198 IMPLEMENTACION DE LA GESTION INTEGRAL DEL RECUSROS HIDRICO CARTAGENA DE INDIAS</v>
      </c>
      <c r="Q563" t="str">
        <f t="shared" si="71"/>
        <v>06</v>
      </c>
      <c r="R563" t="str">
        <f t="shared" si="72"/>
        <v>00</v>
      </c>
      <c r="S563" s="1">
        <v>0</v>
      </c>
      <c r="T563" s="1">
        <v>1171112281.8499999</v>
      </c>
      <c r="U563" s="1">
        <v>1171112281.8499999</v>
      </c>
      <c r="V563" s="1">
        <v>0</v>
      </c>
      <c r="W563" s="1">
        <v>1171112281.8499999</v>
      </c>
      <c r="X563" s="1">
        <v>0</v>
      </c>
      <c r="Y563" s="1">
        <v>0</v>
      </c>
      <c r="Z563" s="1">
        <v>0</v>
      </c>
      <c r="AA563" s="1">
        <v>0</v>
      </c>
      <c r="AB563" s="1">
        <v>1171112281.8499999</v>
      </c>
      <c r="AC563" s="1">
        <v>0</v>
      </c>
    </row>
    <row r="564" spans="1:29" x14ac:dyDescent="0.3">
      <c r="A564">
        <v>2022</v>
      </c>
      <c r="B564">
        <v>100</v>
      </c>
      <c r="C564" t="str">
        <f t="shared" si="79"/>
        <v>21</v>
      </c>
      <c r="D564" t="s">
        <v>893</v>
      </c>
      <c r="E564" t="str">
        <f t="shared" si="73"/>
        <v>21 ESTABLECIMIENTO PUBLICO AMBIENTAL-EPA</v>
      </c>
      <c r="F564" s="2">
        <v>2021130010198</v>
      </c>
      <c r="G564" s="2" t="str">
        <f>+VLOOKUP(F564,Hoja2!$F:$I,2,FALSE)</f>
        <v>07. PILAR CARTAGENA RESILIENTE</v>
      </c>
      <c r="H564" s="2" t="str">
        <f>+VLOOKUP(F564,Hoja2!$F:$I,3,FALSE)</f>
        <v>7.1 LÍNEA ESTRATÉGICA: “SALVEMOS JUNTOS NUESTRO PATRIMONIO NATURAL”</v>
      </c>
      <c r="I564" s="2" t="str">
        <f>+VLOOKUP(F564,Hoja2!$F:$I,4,FALSE)</f>
        <v>7.1.5 SALVEMOS JUNTOS NUESTRO RECURSO HÍDRICO (GESTION INTEGRAL RECURSOS HÍDRICOS)</v>
      </c>
      <c r="J564" t="s">
        <v>901</v>
      </c>
      <c r="K564" t="str">
        <f>"014"</f>
        <v>014</v>
      </c>
      <c r="L564" t="s">
        <v>922</v>
      </c>
      <c r="M564" t="s">
        <v>26</v>
      </c>
      <c r="N564" t="s">
        <v>27</v>
      </c>
      <c r="O564" t="s">
        <v>923</v>
      </c>
      <c r="P564" t="str">
        <f t="shared" si="74"/>
        <v>2021130010198 IMPLEMENTACION DE LA GESTION INTEGRAL DEL RECURSO HIDRICO  CARTAGENA DE INDIAS</v>
      </c>
      <c r="Q564" t="str">
        <f t="shared" si="71"/>
        <v>06</v>
      </c>
      <c r="R564" t="str">
        <f t="shared" si="72"/>
        <v>00</v>
      </c>
      <c r="S564" s="1">
        <v>1</v>
      </c>
      <c r="T564" s="1">
        <v>0</v>
      </c>
      <c r="U564" s="1">
        <v>1</v>
      </c>
      <c r="V564" s="1">
        <v>0</v>
      </c>
      <c r="W564" s="1">
        <v>1</v>
      </c>
      <c r="X564" s="1">
        <v>0</v>
      </c>
      <c r="Y564" s="1">
        <v>0</v>
      </c>
      <c r="Z564" s="1">
        <v>0</v>
      </c>
      <c r="AA564" s="1">
        <v>0</v>
      </c>
      <c r="AB564" s="1">
        <v>1</v>
      </c>
      <c r="AC564" s="1">
        <v>0</v>
      </c>
    </row>
    <row r="565" spans="1:29" x14ac:dyDescent="0.3">
      <c r="A565">
        <v>2022</v>
      </c>
      <c r="B565">
        <v>100</v>
      </c>
      <c r="C565" t="str">
        <f t="shared" si="79"/>
        <v>21</v>
      </c>
      <c r="D565" t="s">
        <v>893</v>
      </c>
      <c r="E565" t="str">
        <f t="shared" si="73"/>
        <v>21 ESTABLECIMIENTO PUBLICO AMBIENTAL-EPA</v>
      </c>
      <c r="F565" s="2">
        <v>2021130010198</v>
      </c>
      <c r="G565" s="2" t="str">
        <f>+VLOOKUP(F565,Hoja2!$F:$I,2,FALSE)</f>
        <v>07. PILAR CARTAGENA RESILIENTE</v>
      </c>
      <c r="H565" s="2" t="str">
        <f>+VLOOKUP(F565,Hoja2!$F:$I,3,FALSE)</f>
        <v>7.1 LÍNEA ESTRATÉGICA: “SALVEMOS JUNTOS NUESTRO PATRIMONIO NATURAL”</v>
      </c>
      <c r="I565" s="2" t="str">
        <f>+VLOOKUP(F565,Hoja2!$F:$I,4,FALSE)</f>
        <v>7.1.5 SALVEMOS JUNTOS NUESTRO RECURSO HÍDRICO (GESTION INTEGRAL RECURSOS HÍDRICOS)</v>
      </c>
      <c r="J565" t="s">
        <v>901</v>
      </c>
      <c r="K565" t="str">
        <f>"031"</f>
        <v>031</v>
      </c>
      <c r="L565" t="s">
        <v>924</v>
      </c>
      <c r="M565" t="s">
        <v>26</v>
      </c>
      <c r="N565" t="s">
        <v>27</v>
      </c>
      <c r="O565" t="s">
        <v>923</v>
      </c>
      <c r="P565" t="str">
        <f t="shared" si="74"/>
        <v>2021130010198 IMPLEMENTACION DE LA GESTION INTEGRAL DEL RECURSO HIDRICO  CARTAGENA DE INDIAS</v>
      </c>
      <c r="Q565" t="str">
        <f t="shared" si="71"/>
        <v>06</v>
      </c>
      <c r="R565" t="str">
        <f t="shared" si="72"/>
        <v>00</v>
      </c>
      <c r="S565" s="1">
        <v>900000000</v>
      </c>
      <c r="T565" s="1">
        <v>0</v>
      </c>
      <c r="U565" s="1">
        <v>900000000</v>
      </c>
      <c r="V565" s="1">
        <v>0</v>
      </c>
      <c r="W565" s="1">
        <v>900000000</v>
      </c>
      <c r="X565" s="1">
        <v>0</v>
      </c>
      <c r="Y565" s="1">
        <v>0</v>
      </c>
      <c r="Z565" s="1">
        <v>0</v>
      </c>
      <c r="AA565" s="1">
        <v>0</v>
      </c>
      <c r="AB565" s="1">
        <v>900000000</v>
      </c>
      <c r="AC565" s="1">
        <v>0</v>
      </c>
    </row>
    <row r="566" spans="1:29" x14ac:dyDescent="0.3">
      <c r="A566">
        <v>2022</v>
      </c>
      <c r="B566">
        <v>100</v>
      </c>
      <c r="C566" t="str">
        <f t="shared" si="79"/>
        <v>21</v>
      </c>
      <c r="D566" t="s">
        <v>893</v>
      </c>
      <c r="E566" t="str">
        <f t="shared" si="73"/>
        <v>21 ESTABLECIMIENTO PUBLICO AMBIENTAL-EPA</v>
      </c>
      <c r="F566" s="2">
        <v>2021130010198</v>
      </c>
      <c r="G566" s="2" t="str">
        <f>+VLOOKUP(F566,Hoja2!$F:$I,2,FALSE)</f>
        <v>07. PILAR CARTAGENA RESILIENTE</v>
      </c>
      <c r="H566" s="2" t="str">
        <f>+VLOOKUP(F566,Hoja2!$F:$I,3,FALSE)</f>
        <v>7.1 LÍNEA ESTRATÉGICA: “SALVEMOS JUNTOS NUESTRO PATRIMONIO NATURAL”</v>
      </c>
      <c r="I566" s="2" t="str">
        <f>+VLOOKUP(F566,Hoja2!$F:$I,4,FALSE)</f>
        <v>7.1.5 SALVEMOS JUNTOS NUESTRO RECURSO HÍDRICO (GESTION INTEGRAL RECURSOS HÍDRICOS)</v>
      </c>
      <c r="J566" t="s">
        <v>901</v>
      </c>
      <c r="K566" t="str">
        <f>"094"</f>
        <v>094</v>
      </c>
      <c r="L566" t="s">
        <v>930</v>
      </c>
      <c r="M566" t="s">
        <v>26</v>
      </c>
      <c r="N566" t="s">
        <v>27</v>
      </c>
      <c r="O566" t="s">
        <v>923</v>
      </c>
      <c r="P566" t="str">
        <f t="shared" si="74"/>
        <v>2021130010198 IMPLEMENTACION DE LA GESTION INTEGRAL DEL RECURSO HIDRICO  CARTAGENA DE INDIAS</v>
      </c>
      <c r="Q566" t="str">
        <f t="shared" si="71"/>
        <v>06</v>
      </c>
      <c r="R566" t="str">
        <f t="shared" si="72"/>
        <v>00</v>
      </c>
      <c r="S566" s="1">
        <v>500000000</v>
      </c>
      <c r="T566" s="1">
        <v>0</v>
      </c>
      <c r="U566" s="1">
        <v>500000000</v>
      </c>
      <c r="V566" s="1">
        <v>0</v>
      </c>
      <c r="W566" s="1">
        <v>500000000</v>
      </c>
      <c r="X566" s="1">
        <v>0</v>
      </c>
      <c r="Y566" s="1">
        <v>0</v>
      </c>
      <c r="Z566" s="1">
        <v>0</v>
      </c>
      <c r="AA566" s="1">
        <v>0</v>
      </c>
      <c r="AB566" s="1">
        <v>500000000</v>
      </c>
      <c r="AC566" s="1">
        <v>0</v>
      </c>
    </row>
    <row r="567" spans="1:29" x14ac:dyDescent="0.3">
      <c r="A567">
        <v>2022</v>
      </c>
      <c r="B567">
        <v>100</v>
      </c>
      <c r="C567" t="str">
        <f>"05"</f>
        <v>05</v>
      </c>
      <c r="D567" t="s">
        <v>292</v>
      </c>
      <c r="E567" t="str">
        <f t="shared" si="73"/>
        <v>05 SECRETARIA GENERAL</v>
      </c>
      <c r="F567" s="2">
        <v>2021130010199</v>
      </c>
      <c r="G567" s="2" t="str">
        <f>+VLOOKUP(F567,Hoja2!$F:$I,2,FALSE)</f>
        <v>10. PILAR: CARTAGENA TRANSPARENTE</v>
      </c>
      <c r="H567" s="2" t="str">
        <f>+VLOOKUP(F567,Hoja2!$F:$I,3,FALSE)</f>
        <v>10.2 LÍNEA ESTRATÉGICA: CARTAGENA INTELIGENTE CON TODOS Y PARA TODOS</v>
      </c>
      <c r="I567" s="2" t="str">
        <f>+VLOOKUP(F567,Hoja2!$F:$I,4,FALSE)</f>
        <v>10.2.3 PROGRAMA: CARTAGENA HACIA LA MODERNIDAD</v>
      </c>
      <c r="J567" t="s">
        <v>340</v>
      </c>
      <c r="K567" t="str">
        <f t="shared" ref="K567:K573" si="80">"001"</f>
        <v>001</v>
      </c>
      <c r="L567" t="s">
        <v>25</v>
      </c>
      <c r="M567" t="s">
        <v>26</v>
      </c>
      <c r="N567" t="s">
        <v>27</v>
      </c>
      <c r="O567" t="s">
        <v>341</v>
      </c>
      <c r="P567" t="str">
        <f t="shared" si="74"/>
        <v>2021130010199 MODERNIZACION CARTAGENA HACIA LA MODERNIDAD  CARTAGENA DE INDIAS</v>
      </c>
      <c r="Q567" t="str">
        <f t="shared" si="71"/>
        <v>06</v>
      </c>
      <c r="R567" t="str">
        <f t="shared" si="72"/>
        <v>00</v>
      </c>
      <c r="S567" s="1">
        <v>640000000</v>
      </c>
      <c r="T567" s="1">
        <v>-46000000</v>
      </c>
      <c r="U567" s="1">
        <v>594000000</v>
      </c>
      <c r="V567" s="1">
        <v>594000000</v>
      </c>
      <c r="W567" s="1">
        <v>0</v>
      </c>
      <c r="X567" s="1">
        <v>593866668</v>
      </c>
      <c r="Y567" s="1">
        <v>99.98</v>
      </c>
      <c r="Z567" s="1">
        <v>593866668</v>
      </c>
      <c r="AA567" s="1">
        <v>99.98</v>
      </c>
      <c r="AB567" s="1">
        <v>133332</v>
      </c>
      <c r="AC567" s="1">
        <v>575366668</v>
      </c>
    </row>
    <row r="568" spans="1:29" x14ac:dyDescent="0.3">
      <c r="A568">
        <v>2022</v>
      </c>
      <c r="B568">
        <v>100</v>
      </c>
      <c r="C568" t="str">
        <f>"21"</f>
        <v>21</v>
      </c>
      <c r="D568" t="s">
        <v>893</v>
      </c>
      <c r="E568" t="str">
        <f t="shared" si="73"/>
        <v>21 ESTABLECIMIENTO PUBLICO AMBIENTAL-EPA</v>
      </c>
      <c r="F568" s="2">
        <v>2021130010200</v>
      </c>
      <c r="G568" s="2" t="str">
        <f>+VLOOKUP(F568,Hoja2!$F:$I,2,FALSE)</f>
        <v>07. PILAR CARTAGENA RESILIENTE</v>
      </c>
      <c r="H568" s="2" t="str">
        <f>+VLOOKUP(F568,Hoja2!$F:$I,3,FALSE)</f>
        <v>7.1 LÍNEA ESTRATÉGICA: “SALVEMOS JUNTOS NUESTRO PATRIMONIO NATURAL”</v>
      </c>
      <c r="I568" s="2" t="str">
        <f>+VLOOKUP(F568,Hoja2!$F:$I,4,FALSE)</f>
        <v>7.1.2 ORDENAMIENTO AMBIENTAL Y ADAPTACIÓN AL CAMBIO CLIMÁTICO PARA LA SOSTENIBILIDAD AMBIENTAL. (MITIGACIÓN Y GESTIÓN DEL RIESGO AMBIENTAL)</v>
      </c>
      <c r="J568" t="s">
        <v>916</v>
      </c>
      <c r="K568" t="str">
        <f t="shared" si="80"/>
        <v>001</v>
      </c>
      <c r="L568" t="s">
        <v>25</v>
      </c>
      <c r="M568" t="s">
        <v>26</v>
      </c>
      <c r="N568" t="s">
        <v>27</v>
      </c>
      <c r="O568" t="s">
        <v>917</v>
      </c>
      <c r="P568" t="str">
        <f t="shared" si="74"/>
        <v>2021130010200 IMPLEMENTACION DE UN ORDENAMIENTO PARA EL DESARROLLO AMBIENTAL EN EL AREA DE JURISDICCION DEL ESTABLECIMIENTO PUBLICO AMBIENTAL DE   CARTAGENA DE INDIAS</v>
      </c>
      <c r="Q568" t="str">
        <f t="shared" si="71"/>
        <v>06</v>
      </c>
      <c r="R568" t="str">
        <f t="shared" si="72"/>
        <v>00</v>
      </c>
      <c r="S568" s="1">
        <v>250000000</v>
      </c>
      <c r="T568" s="1">
        <v>0</v>
      </c>
      <c r="U568" s="1">
        <v>250000000</v>
      </c>
      <c r="V568" s="1">
        <v>183000000</v>
      </c>
      <c r="W568" s="1">
        <v>67000000</v>
      </c>
      <c r="X568" s="1">
        <v>183000000</v>
      </c>
      <c r="Y568" s="1">
        <v>73.2</v>
      </c>
      <c r="Z568" s="1">
        <v>183000000</v>
      </c>
      <c r="AA568" s="1">
        <v>73.2</v>
      </c>
      <c r="AB568" s="1">
        <v>67000000</v>
      </c>
      <c r="AC568" s="1">
        <v>183000000</v>
      </c>
    </row>
    <row r="569" spans="1:29" x14ac:dyDescent="0.3">
      <c r="A569">
        <v>2022</v>
      </c>
      <c r="B569">
        <v>100</v>
      </c>
      <c r="C569" t="str">
        <f>"21"</f>
        <v>21</v>
      </c>
      <c r="D569" t="s">
        <v>893</v>
      </c>
      <c r="E569" t="str">
        <f t="shared" si="73"/>
        <v>21 ESTABLECIMIENTO PUBLICO AMBIENTAL-EPA</v>
      </c>
      <c r="F569" s="2">
        <v>2021130010201</v>
      </c>
      <c r="G569" s="2" t="str">
        <f>+VLOOKUP(F569,Hoja2!$F:$I,2,FALSE)</f>
        <v>07. PILAR CARTAGENA RESILIENTE</v>
      </c>
      <c r="H569" s="2" t="str">
        <f>+VLOOKUP(F569,Hoja2!$F:$I,3,FALSE)</f>
        <v>7.1 LÍNEA ESTRATÉGICA: “SALVEMOS JUNTOS NUESTRO PATRIMONIO NATURAL”</v>
      </c>
      <c r="I569" s="2" t="str">
        <f>+VLOOKUP(F569,Hoja2!$F:$I,4,FALSE)</f>
        <v>7.1.2 ORDENAMIENTO AMBIENTAL Y ADAPTACIÓN AL CAMBIO CLIMÁTICO PARA LA SOSTENIBILIDAD AMBIENTAL. (MITIGACIÓN Y GESTIÓN DEL RIESGO AMBIENTAL)</v>
      </c>
      <c r="J569" t="s">
        <v>919</v>
      </c>
      <c r="K569" t="str">
        <f t="shared" si="80"/>
        <v>001</v>
      </c>
      <c r="L569" t="s">
        <v>25</v>
      </c>
      <c r="M569" t="s">
        <v>26</v>
      </c>
      <c r="N569" t="s">
        <v>27</v>
      </c>
      <c r="O569" t="s">
        <v>920</v>
      </c>
      <c r="P569" t="str">
        <f t="shared" si="74"/>
        <v>2021130010201 FORMULACION Y ADOPCION DEL PLAN INTEGRAL DE GESTION DEL CAMBIO CLIMATICO PIACC DEL DISTRITO DE CARTAGENA DE INDIAS EN EL MARCO DE LO DISPUESTO POR LA LEY 1931 DEL 2018 BOLIVAR</v>
      </c>
      <c r="Q569" t="str">
        <f t="shared" si="71"/>
        <v>06</v>
      </c>
      <c r="R569" t="str">
        <f t="shared" si="72"/>
        <v>00</v>
      </c>
      <c r="S569" s="1">
        <v>178834818</v>
      </c>
      <c r="T569" s="1">
        <v>0</v>
      </c>
      <c r="U569" s="1">
        <v>178834818</v>
      </c>
      <c r="V569" s="1">
        <v>178834818</v>
      </c>
      <c r="W569" s="1">
        <v>0</v>
      </c>
      <c r="X569" s="1">
        <v>178834818</v>
      </c>
      <c r="Y569" s="1">
        <v>100</v>
      </c>
      <c r="Z569" s="1">
        <v>178834818</v>
      </c>
      <c r="AA569" s="1">
        <v>100</v>
      </c>
      <c r="AB569" s="1">
        <v>0</v>
      </c>
      <c r="AC569" s="1">
        <v>178834818</v>
      </c>
    </row>
    <row r="570" spans="1:29" x14ac:dyDescent="0.3">
      <c r="A570">
        <v>2022</v>
      </c>
      <c r="B570">
        <v>100</v>
      </c>
      <c r="C570" t="str">
        <f t="shared" ref="C570:C575" si="81">"05"</f>
        <v>05</v>
      </c>
      <c r="D570" t="s">
        <v>292</v>
      </c>
      <c r="E570" t="str">
        <f t="shared" si="73"/>
        <v>05 SECRETARIA GENERAL</v>
      </c>
      <c r="F570" s="2">
        <v>2021130010202</v>
      </c>
      <c r="G570" s="2" t="str">
        <f>+VLOOKUP(F570,Hoja2!$F:$I,2,FALSE)</f>
        <v>07. PILAR CARTAGENA RESILIENTE</v>
      </c>
      <c r="H570" s="2" t="str">
        <f>+VLOOKUP(F570,Hoja2!$F:$I,3,FALSE)</f>
        <v>7.6 LÍNEA ESTRATÉGICA SERVICIOS PÚBLICOS BÁSICOS DEL DISTRITO DE CARTAGENA DE INDIAS: “TODOS CON TODO”</v>
      </c>
      <c r="I570" s="2" t="str">
        <f>+VLOOKUP(F570,Hoja2!$F:$I,4,FALSE)</f>
        <v>7.6.2 ENERGÍA ASEQUIBLE, CONFIABLE SOSTENIBLE Y MODERNA PARA TODOS.</v>
      </c>
      <c r="J570" t="s">
        <v>369</v>
      </c>
      <c r="K570" t="str">
        <f t="shared" si="80"/>
        <v>001</v>
      </c>
      <c r="L570" t="s">
        <v>25</v>
      </c>
      <c r="M570" t="s">
        <v>26</v>
      </c>
      <c r="N570" t="s">
        <v>27</v>
      </c>
      <c r="O570" t="s">
        <v>370</v>
      </c>
      <c r="P570" t="str">
        <f t="shared" si="74"/>
        <v>2021130010202 IMPLEMENTACION DE LA GARANTIA AL ACCESO A UNA ENERGIA LIMPIA, ASEQUIBLE, SEGURA, SOSTENIBLE, MODERNA Y EFICIENTE PARA LAS ZONAS RURAL E INSULAR DE CARTAGENA DE INDIAS</v>
      </c>
      <c r="Q570" t="str">
        <f t="shared" si="71"/>
        <v>06</v>
      </c>
      <c r="R570" t="str">
        <f t="shared" si="72"/>
        <v>00</v>
      </c>
      <c r="S570" s="1">
        <v>200000000</v>
      </c>
      <c r="T570" s="1">
        <v>-200000000</v>
      </c>
      <c r="U570" s="1">
        <v>0</v>
      </c>
      <c r="V570" s="1">
        <v>0</v>
      </c>
      <c r="W570" s="1">
        <v>0</v>
      </c>
      <c r="X570" s="1">
        <v>0</v>
      </c>
      <c r="Y570" s="1">
        <v>0</v>
      </c>
      <c r="Z570" s="1">
        <v>0</v>
      </c>
      <c r="AA570" s="1">
        <v>0</v>
      </c>
      <c r="AB570" s="1">
        <v>0</v>
      </c>
      <c r="AC570" s="1">
        <v>0</v>
      </c>
    </row>
    <row r="571" spans="1:29" x14ac:dyDescent="0.3">
      <c r="A571">
        <v>2022</v>
      </c>
      <c r="B571">
        <v>100</v>
      </c>
      <c r="C571" t="str">
        <f t="shared" si="81"/>
        <v>05</v>
      </c>
      <c r="D571" t="s">
        <v>292</v>
      </c>
      <c r="E571" t="str">
        <f t="shared" si="73"/>
        <v>05 SECRETARIA GENERAL</v>
      </c>
      <c r="F571" s="2">
        <v>2021130010203</v>
      </c>
      <c r="G571" s="2" t="str">
        <f>+VLOOKUP(F571,Hoja2!$F:$I,2,FALSE)</f>
        <v>09. PILAR CARTAGENA CONTINGENTE</v>
      </c>
      <c r="H571" s="2" t="str">
        <f>+VLOOKUP(F571,Hoja2!$F:$I,3,FALSE)</f>
        <v>9.3 LÍNEA ESTRATÉGICA: TURISMO, MOTOR DE REACTIVACIÓN ECONÓMICA PARA CARTAGENA DE INDIAS</v>
      </c>
      <c r="I571" s="2" t="str">
        <f>+VLOOKUP(F571,Hoja2!$F:$I,4,FALSE)</f>
        <v>9.3.3 PROGRAMA: TURISMO COMPETITIVO Y SOSTENIBLE</v>
      </c>
      <c r="J571" t="s">
        <v>358</v>
      </c>
      <c r="K571" t="str">
        <f t="shared" si="80"/>
        <v>001</v>
      </c>
      <c r="L571" t="s">
        <v>25</v>
      </c>
      <c r="M571" t="s">
        <v>26</v>
      </c>
      <c r="N571" t="s">
        <v>27</v>
      </c>
      <c r="O571" t="s">
        <v>359</v>
      </c>
      <c r="P571" t="str">
        <f t="shared" si="74"/>
        <v>2021130010203 DESARROLLO DEL TURISMO COMPETITIVO Y SOSTENIBLE PARA CARTAGENA DE INDIAS</v>
      </c>
      <c r="Q571" t="str">
        <f t="shared" si="71"/>
        <v>06</v>
      </c>
      <c r="R571" t="str">
        <f t="shared" si="72"/>
        <v>00</v>
      </c>
      <c r="S571" s="1">
        <v>102600000</v>
      </c>
      <c r="T571" s="1">
        <v>0</v>
      </c>
      <c r="U571" s="1">
        <v>102600000</v>
      </c>
      <c r="V571" s="1">
        <v>102600000</v>
      </c>
      <c r="W571" s="1">
        <v>0</v>
      </c>
      <c r="X571" s="1">
        <v>102600000</v>
      </c>
      <c r="Y571" s="1">
        <v>100</v>
      </c>
      <c r="Z571" s="1">
        <v>0</v>
      </c>
      <c r="AA571" s="1">
        <v>0</v>
      </c>
      <c r="AB571" s="1">
        <v>0</v>
      </c>
      <c r="AC571" s="1">
        <v>0</v>
      </c>
    </row>
    <row r="572" spans="1:29" x14ac:dyDescent="0.3">
      <c r="A572">
        <v>2022</v>
      </c>
      <c r="B572">
        <v>100</v>
      </c>
      <c r="C572" t="str">
        <f t="shared" si="81"/>
        <v>05</v>
      </c>
      <c r="D572" t="s">
        <v>292</v>
      </c>
      <c r="E572" t="str">
        <f t="shared" si="73"/>
        <v>05 SECRETARIA GENERAL</v>
      </c>
      <c r="F572" s="2">
        <v>2021130010204</v>
      </c>
      <c r="G572" s="2" t="str">
        <f>+VLOOKUP(F572,Hoja2!$F:$I,2,FALSE)</f>
        <v>09. PILAR CARTAGENA CONTINGENTE</v>
      </c>
      <c r="H572" s="2" t="str">
        <f>+VLOOKUP(F572,Hoja2!$F:$I,3,FALSE)</f>
        <v>9.3 LÍNEA ESTRATÉGICA: TURISMO, MOTOR DE REACTIVACIÓN ECONÓMICA PARA CARTAGENA DE INDIAS</v>
      </c>
      <c r="I572" s="2" t="str">
        <f>+VLOOKUP(F572,Hoja2!$F:$I,4,FALSE)</f>
        <v>9.3.1 PROGRAMA: PROMOCIÓN NACIONAL E INTERNACIONAL DE CARTAGENA DE INDIAS</v>
      </c>
      <c r="J572" t="s">
        <v>360</v>
      </c>
      <c r="K572" t="str">
        <f t="shared" si="80"/>
        <v>001</v>
      </c>
      <c r="L572" t="s">
        <v>25</v>
      </c>
      <c r="M572" t="s">
        <v>26</v>
      </c>
      <c r="N572" t="s">
        <v>27</v>
      </c>
      <c r="O572" t="s">
        <v>361</v>
      </c>
      <c r="P572" t="str">
        <f t="shared" si="74"/>
        <v>2021130010204 CONSOLIDACION DE LA CONECTIVIDAD PARA CARTAGENA DE INDIAS</v>
      </c>
      <c r="Q572" t="str">
        <f t="shared" si="71"/>
        <v>06</v>
      </c>
      <c r="R572" t="str">
        <f t="shared" si="72"/>
        <v>00</v>
      </c>
      <c r="S572" s="1">
        <v>51300000</v>
      </c>
      <c r="T572" s="1">
        <v>0</v>
      </c>
      <c r="U572" s="1">
        <v>51300000</v>
      </c>
      <c r="V572" s="1">
        <v>51300000</v>
      </c>
      <c r="W572" s="1">
        <v>0</v>
      </c>
      <c r="X572" s="1">
        <v>51300000</v>
      </c>
      <c r="Y572" s="1">
        <v>100</v>
      </c>
      <c r="Z572" s="1">
        <v>0</v>
      </c>
      <c r="AA572" s="1">
        <v>0</v>
      </c>
      <c r="AB572" s="1">
        <v>0</v>
      </c>
      <c r="AC572" s="1">
        <v>0</v>
      </c>
    </row>
    <row r="573" spans="1:29" x14ac:dyDescent="0.3">
      <c r="A573">
        <v>2022</v>
      </c>
      <c r="B573">
        <v>100</v>
      </c>
      <c r="C573" t="str">
        <f t="shared" si="81"/>
        <v>05</v>
      </c>
      <c r="D573" t="s">
        <v>292</v>
      </c>
      <c r="E573" t="str">
        <f t="shared" si="73"/>
        <v>05 SECRETARIA GENERAL</v>
      </c>
      <c r="F573" s="2">
        <v>2021130010205</v>
      </c>
      <c r="G573" s="2" t="str">
        <f>+VLOOKUP(F573,Hoja2!$F:$I,2,FALSE)</f>
        <v>09. PILAR CARTAGENA CONTINGENTE</v>
      </c>
      <c r="H573" s="2" t="str">
        <f>+VLOOKUP(F573,Hoja2!$F:$I,3,FALSE)</f>
        <v>9.3 LÍNEA ESTRATÉGICA: TURISMO, MOTOR DE REACTIVACIÓN ECONÓMICA PARA CARTAGENA DE INDIAS</v>
      </c>
      <c r="I573" s="2" t="str">
        <f>+VLOOKUP(F573,Hoja2!$F:$I,4,FALSE)</f>
        <v>9.3.2 PROGRAMA: CONECTIVIDAD</v>
      </c>
      <c r="J573" t="s">
        <v>362</v>
      </c>
      <c r="K573" t="str">
        <f t="shared" si="80"/>
        <v>001</v>
      </c>
      <c r="L573" t="s">
        <v>25</v>
      </c>
      <c r="M573" t="s">
        <v>26</v>
      </c>
      <c r="N573" t="s">
        <v>27</v>
      </c>
      <c r="O573" t="s">
        <v>363</v>
      </c>
      <c r="P573" t="str">
        <f t="shared" si="74"/>
        <v>2021130010205 CONSOLIDACION DE LA PROMOCION NACIONAL E INTERNACIONAL DE CARTAGENA DE INDIAS</v>
      </c>
      <c r="Q573" t="str">
        <f t="shared" si="71"/>
        <v>06</v>
      </c>
      <c r="R573" t="str">
        <f t="shared" si="72"/>
        <v>00</v>
      </c>
      <c r="S573" s="1">
        <v>102600000</v>
      </c>
      <c r="T573" s="1">
        <v>0</v>
      </c>
      <c r="U573" s="1">
        <v>102600000</v>
      </c>
      <c r="V573" s="1">
        <v>102600000</v>
      </c>
      <c r="W573" s="1">
        <v>0</v>
      </c>
      <c r="X573" s="1">
        <v>102600000</v>
      </c>
      <c r="Y573" s="1">
        <v>100</v>
      </c>
      <c r="Z573" s="1">
        <v>0</v>
      </c>
      <c r="AA573" s="1">
        <v>0</v>
      </c>
      <c r="AB573" s="1">
        <v>0</v>
      </c>
      <c r="AC573" s="1">
        <v>0</v>
      </c>
    </row>
    <row r="574" spans="1:29" x14ac:dyDescent="0.3">
      <c r="A574">
        <v>2022</v>
      </c>
      <c r="B574">
        <v>100</v>
      </c>
      <c r="C574" t="str">
        <f t="shared" si="81"/>
        <v>05</v>
      </c>
      <c r="D574" t="s">
        <v>292</v>
      </c>
      <c r="E574" t="str">
        <f t="shared" si="73"/>
        <v>05 SECRETARIA GENERAL</v>
      </c>
      <c r="F574" s="2">
        <v>2021130010208</v>
      </c>
      <c r="G574" s="2" t="str">
        <f>+VLOOKUP(F574,Hoja2!$F:$I,2,FALSE)</f>
        <v>07. PILAR CARTAGENA RESILIENTE</v>
      </c>
      <c r="H574" s="2" t="str">
        <f>+VLOOKUP(F574,Hoja2!$F:$I,3,FALSE)</f>
        <v>7.6 LÍNEA ESTRATÉGICA SERVICIOS PÚBLICOS BÁSICOS DEL DISTRITO DE CARTAGENA DE INDIAS: “TODOS CON TODO”</v>
      </c>
      <c r="I574" s="2" t="str">
        <f>+VLOOKUP(F574,Hoja2!$F:$I,4,FALSE)</f>
        <v>7.6.1 DE AHORRO Y USO EFICIENTE DE LOS SERVICIOS PÚBLICOS, "AGUA Y SANEAMIENTO BÁSICO PARA TODOS"</v>
      </c>
      <c r="J574" t="s">
        <v>306</v>
      </c>
      <c r="K574" t="str">
        <f>"816"</f>
        <v>816</v>
      </c>
      <c r="L574" t="s">
        <v>116</v>
      </c>
      <c r="M574" t="s">
        <v>26</v>
      </c>
      <c r="N574" t="s">
        <v>27</v>
      </c>
      <c r="O574" t="s">
        <v>307</v>
      </c>
      <c r="P574" t="str">
        <f t="shared" si="74"/>
        <v>2021130010208  ACTUALIZACION EXTENSION DE REDES DE ACUEDUCTO EN EL DISTRITO DE CARTAGENA  DE INDIAS</v>
      </c>
      <c r="Q574" t="str">
        <f t="shared" si="71"/>
        <v>06</v>
      </c>
      <c r="R574" t="str">
        <f t="shared" si="72"/>
        <v>00</v>
      </c>
      <c r="S574" s="1">
        <v>0</v>
      </c>
      <c r="T574" s="1">
        <v>250000000</v>
      </c>
      <c r="U574" s="1">
        <v>250000000</v>
      </c>
      <c r="V574" s="1">
        <v>0</v>
      </c>
      <c r="W574" s="1">
        <v>250000000</v>
      </c>
      <c r="X574" s="1">
        <v>0</v>
      </c>
      <c r="Y574" s="1">
        <v>0</v>
      </c>
      <c r="Z574" s="1">
        <v>0</v>
      </c>
      <c r="AA574" s="1">
        <v>0</v>
      </c>
      <c r="AB574" s="1">
        <v>250000000</v>
      </c>
      <c r="AC574" s="1">
        <v>0</v>
      </c>
    </row>
    <row r="575" spans="1:29" x14ac:dyDescent="0.3">
      <c r="A575">
        <v>2022</v>
      </c>
      <c r="B575">
        <v>100</v>
      </c>
      <c r="C575" t="str">
        <f t="shared" si="81"/>
        <v>05</v>
      </c>
      <c r="D575" t="s">
        <v>292</v>
      </c>
      <c r="E575" t="str">
        <f t="shared" si="73"/>
        <v>05 SECRETARIA GENERAL</v>
      </c>
      <c r="F575" s="2">
        <v>2021130010208</v>
      </c>
      <c r="G575" s="2" t="str">
        <f>+VLOOKUP(F575,Hoja2!$F:$I,2,FALSE)</f>
        <v>07. PILAR CARTAGENA RESILIENTE</v>
      </c>
      <c r="H575" s="2" t="str">
        <f>+VLOOKUP(F575,Hoja2!$F:$I,3,FALSE)</f>
        <v>7.6 LÍNEA ESTRATÉGICA SERVICIOS PÚBLICOS BÁSICOS DEL DISTRITO DE CARTAGENA DE INDIAS: “TODOS CON TODO”</v>
      </c>
      <c r="I575" s="2" t="str">
        <f>+VLOOKUP(F575,Hoja2!$F:$I,4,FALSE)</f>
        <v>7.6.1 DE AHORRO Y USO EFICIENTE DE LOS SERVICIOS PÚBLICOS, "AGUA Y SANEAMIENTO BÁSICO PARA TODOS"</v>
      </c>
      <c r="J575" t="s">
        <v>306</v>
      </c>
      <c r="K575" t="str">
        <f>"055"</f>
        <v>055</v>
      </c>
      <c r="L575" t="s">
        <v>324</v>
      </c>
      <c r="M575" t="s">
        <v>26</v>
      </c>
      <c r="N575" t="s">
        <v>27</v>
      </c>
      <c r="O575" t="s">
        <v>325</v>
      </c>
      <c r="P575" t="str">
        <f t="shared" si="74"/>
        <v>2021130010208  ACTUALIZACION EXTENSION DE REDES DE ACUEDUCTO EN EL DISTRITO DE CARTAGENA CARTAGENA DE INDIAS</v>
      </c>
      <c r="Q575" t="str">
        <f t="shared" si="71"/>
        <v>06</v>
      </c>
      <c r="R575" t="str">
        <f t="shared" si="72"/>
        <v>00</v>
      </c>
      <c r="S575" s="1">
        <v>567275082</v>
      </c>
      <c r="T575" s="1">
        <v>-467275082</v>
      </c>
      <c r="U575" s="1">
        <v>100000000</v>
      </c>
      <c r="V575" s="1">
        <v>0</v>
      </c>
      <c r="W575" s="1">
        <v>100000000</v>
      </c>
      <c r="X575" s="1">
        <v>0</v>
      </c>
      <c r="Y575" s="1">
        <v>0</v>
      </c>
      <c r="Z575" s="1">
        <v>0</v>
      </c>
      <c r="AA575" s="1">
        <v>0</v>
      </c>
      <c r="AB575" s="1">
        <v>100000000</v>
      </c>
      <c r="AC575" s="1">
        <v>0</v>
      </c>
    </row>
    <row r="576" spans="1:29" x14ac:dyDescent="0.3">
      <c r="A576">
        <v>2022</v>
      </c>
      <c r="B576">
        <v>100</v>
      </c>
      <c r="C576" t="str">
        <f>"08"</f>
        <v>08</v>
      </c>
      <c r="D576" t="s">
        <v>479</v>
      </c>
      <c r="E576" t="str">
        <f t="shared" si="73"/>
        <v>08 SECRETARIA DE PARTICIPACION Y DESARROLLO SOCIAL</v>
      </c>
      <c r="F576" s="2">
        <v>2021130010209</v>
      </c>
      <c r="G576" s="2" t="str">
        <f>+VLOOKUP(F576,Hoja2!$F:$I,2,FALSE)</f>
        <v>11. EJE TRANSVERSAL: CARTAGENA CON ATENCION Y GARANTIA DE DERECHOS A POBLACION DIFERENCIAL.</v>
      </c>
      <c r="H576" s="2" t="str">
        <f>+VLOOKUP(F576,Hoja2!$F:$I,3,FALSE)</f>
        <v>11.6 LÍNEA ESTRATÉGICA: TODOS POR LA PROTECCIÓN SOCIAL DE LAS PERSONAS CON DISCAPACIDAD: “RECONOCIDAS, EMPODERADAS Y RESPETADAS”.</v>
      </c>
      <c r="I576" s="2" t="str">
        <f>+VLOOKUP(F576,Hoja2!$F:$I,4,FALSE)</f>
        <v>11.6.1 PROGRAMA: GESTIÓN SOCIAL INTEGRAL Y ARTICULADORA POR LA PROTECCIÓN DE LAS PERSONAS CON DISCAPACIDAD Y/O SU FAMILIA O CUIDADOR.</v>
      </c>
      <c r="J576" t="s">
        <v>502</v>
      </c>
      <c r="K576" t="str">
        <f>"001"</f>
        <v>001</v>
      </c>
      <c r="L576" t="s">
        <v>25</v>
      </c>
      <c r="M576" t="s">
        <v>26</v>
      </c>
      <c r="N576" t="s">
        <v>27</v>
      </c>
      <c r="O576" t="s">
        <v>503</v>
      </c>
      <c r="P576" t="str">
        <f t="shared" si="74"/>
        <v>2021130010209 ASISTENCIA EN LA GESTION SOCIAL INTEGRAL Y ARTICULADORA POR LA PROTECCION DE LAS PERSONAS CON DISCAPACIDAD Y/O SU FAMILIA O CUIDADOR-0 CARTAGENA DE INDIAS</v>
      </c>
      <c r="Q576" t="str">
        <f t="shared" si="71"/>
        <v>06</v>
      </c>
      <c r="R576" t="str">
        <f t="shared" si="72"/>
        <v>00</v>
      </c>
      <c r="S576" s="1">
        <v>300000000</v>
      </c>
      <c r="T576" s="1">
        <v>0</v>
      </c>
      <c r="U576" s="1">
        <v>300000000</v>
      </c>
      <c r="V576" s="1">
        <v>277015243</v>
      </c>
      <c r="W576" s="1">
        <v>22984757</v>
      </c>
      <c r="X576" s="1">
        <v>254883100.74000001</v>
      </c>
      <c r="Y576" s="1">
        <v>84.96</v>
      </c>
      <c r="Z576" s="1">
        <v>159492600.74000001</v>
      </c>
      <c r="AA576" s="1">
        <v>53.16</v>
      </c>
      <c r="AB576" s="1">
        <v>45116899.259999998</v>
      </c>
      <c r="AC576" s="1">
        <v>124860600.73999999</v>
      </c>
    </row>
    <row r="577" spans="1:29" x14ac:dyDescent="0.3">
      <c r="A577">
        <v>2022</v>
      </c>
      <c r="B577">
        <v>100</v>
      </c>
      <c r="C577" t="str">
        <f>"08"</f>
        <v>08</v>
      </c>
      <c r="D577" t="s">
        <v>479</v>
      </c>
      <c r="E577" t="str">
        <f t="shared" si="73"/>
        <v>08 SECRETARIA DE PARTICIPACION Y DESARROLLO SOCIAL</v>
      </c>
      <c r="F577" s="2">
        <v>2021130010210</v>
      </c>
      <c r="G577" s="2" t="str">
        <f>+VLOOKUP(F577,Hoja2!$F:$I,2,FALSE)</f>
        <v>11. EJE TRANSVERSAL: CARTAGENA CON ATENCION Y GARANTIA DE DERECHOS A POBLACION DIFERENCIAL.</v>
      </c>
      <c r="H577" s="2" t="str">
        <f>+VLOOKUP(F577,Hoja2!$F:$I,3,FALSE)</f>
        <v>11.6 LÍNEA ESTRATÉGICA: TODOS POR LA PROTECCIÓN SOCIAL DE LAS PERSONAS CON DISCAPACIDAD: “RECONOCIDAS, EMPODERADAS Y RESPETADAS”.</v>
      </c>
      <c r="I577" s="2" t="str">
        <f>+VLOOKUP(F577,Hoja2!$F:$I,4,FALSE)</f>
        <v>11.6.3 PROGRAMA: DESARROLLO LOCAL INCLUSIVO DE LAS PERSONAS CON DISCAPACIDAD: RECONOCIMIENTO DE CAPACIDADES, DIFERENCIAS Y DIVERSIDAD.</v>
      </c>
      <c r="J577" t="s">
        <v>510</v>
      </c>
      <c r="K577" t="str">
        <f>"001"</f>
        <v>001</v>
      </c>
      <c r="L577" t="s">
        <v>25</v>
      </c>
      <c r="M577" t="s">
        <v>26</v>
      </c>
      <c r="N577" t="s">
        <v>27</v>
      </c>
      <c r="O577" t="s">
        <v>511</v>
      </c>
      <c r="P577" t="str">
        <f t="shared" si="74"/>
        <v>2021130010210 DESARROLLO LOCAL INCLUSIVO DE LAS PERSONAS CON DISCAPACIDAD: RECONOCIMIENTO DE CAPACIDADES, DIFERENCIAS Y DIVERSIDAD EN CARTAGENA DE INDIAS</v>
      </c>
      <c r="Q577" t="str">
        <f t="shared" si="71"/>
        <v>06</v>
      </c>
      <c r="R577" t="str">
        <f t="shared" si="72"/>
        <v>00</v>
      </c>
      <c r="S577" s="1">
        <v>150000000</v>
      </c>
      <c r="T577" s="1">
        <v>59400000</v>
      </c>
      <c r="U577" s="1">
        <v>209400000</v>
      </c>
      <c r="V577" s="1">
        <v>203100000</v>
      </c>
      <c r="W577" s="1">
        <v>6300000</v>
      </c>
      <c r="X577" s="1">
        <v>197200000</v>
      </c>
      <c r="Y577" s="1">
        <v>94.17</v>
      </c>
      <c r="Z577" s="1">
        <v>87700000</v>
      </c>
      <c r="AA577" s="1">
        <v>41.88</v>
      </c>
      <c r="AB577" s="1">
        <v>12200000</v>
      </c>
      <c r="AC577" s="1">
        <v>87700000</v>
      </c>
    </row>
    <row r="578" spans="1:29" x14ac:dyDescent="0.3">
      <c r="A578">
        <v>2022</v>
      </c>
      <c r="B578">
        <v>100</v>
      </c>
      <c r="C578" t="str">
        <f>"08"</f>
        <v>08</v>
      </c>
      <c r="D578" t="s">
        <v>479</v>
      </c>
      <c r="E578" t="str">
        <f t="shared" si="73"/>
        <v>08 SECRETARIA DE PARTICIPACION Y DESARROLLO SOCIAL</v>
      </c>
      <c r="F578" s="2">
        <v>2021130010211</v>
      </c>
      <c r="G578" s="2" t="str">
        <f>+VLOOKUP(F578,Hoja2!$F:$I,2,FALSE)</f>
        <v>11. EJE TRANSVERSAL: CARTAGENA CON ATENCION Y GARANTIA DE DERECHOS A POBLACION DIFERENCIAL.</v>
      </c>
      <c r="H578" s="2" t="str">
        <f>+VLOOKUP(F578,Hoja2!$F:$I,3,FALSE)</f>
        <v>11.6 LÍNEA ESTRATÉGICA: TODOS POR LA PROTECCIÓN SOCIAL DE LAS PERSONAS CON DISCAPACIDAD: “RECONOCIDAS, EMPODERADAS Y RESPETADAS”.</v>
      </c>
      <c r="I578" s="2" t="str">
        <f>+VLOOKUP(F578,Hoja2!$F:$I,4,FALSE)</f>
        <v>11.6.2 PROGRAMA: PACTO O ALIANZA POR LA INCLUSIÓN SOCIAL Y PRODUCTIVA DE LAS PERSONAS CON DISCAPACIDAD.</v>
      </c>
      <c r="J578" t="s">
        <v>512</v>
      </c>
      <c r="K578" t="str">
        <f>"001"</f>
        <v>001</v>
      </c>
      <c r="L578" t="s">
        <v>25</v>
      </c>
      <c r="M578" t="s">
        <v>26</v>
      </c>
      <c r="N578" t="s">
        <v>27</v>
      </c>
      <c r="O578" t="s">
        <v>513</v>
      </c>
      <c r="P578" t="str">
        <f t="shared" si="74"/>
        <v>2021130010211 CONTRIBUCION PACTO O ALIANZA POR LA INCLUSION SOCIAL Y PRODUCTIVA DE LAS PERSONAS CON DISCAPACIDAD EN CARTAGENA DE INDIA</v>
      </c>
      <c r="Q578" t="str">
        <f t="shared" ref="Q578:Q641" si="82">"06"</f>
        <v>06</v>
      </c>
      <c r="R578" t="str">
        <f t="shared" ref="R578:R641" si="83">"00"</f>
        <v>00</v>
      </c>
      <c r="S578" s="1">
        <v>300000000</v>
      </c>
      <c r="T578" s="1">
        <v>-59400000</v>
      </c>
      <c r="U578" s="1">
        <v>240600000</v>
      </c>
      <c r="V578" s="1">
        <v>219099943</v>
      </c>
      <c r="W578" s="1">
        <v>21500057</v>
      </c>
      <c r="X578" s="1">
        <v>212999943</v>
      </c>
      <c r="Y578" s="1">
        <v>88.53</v>
      </c>
      <c r="Z578" s="1">
        <v>140000000</v>
      </c>
      <c r="AA578" s="1">
        <v>58.19</v>
      </c>
      <c r="AB578" s="1">
        <v>27600057</v>
      </c>
      <c r="AC578" s="1">
        <v>140000000</v>
      </c>
    </row>
    <row r="579" spans="1:29" x14ac:dyDescent="0.3">
      <c r="A579">
        <v>2022</v>
      </c>
      <c r="B579">
        <v>100</v>
      </c>
      <c r="C579" t="str">
        <f>"05"</f>
        <v>05</v>
      </c>
      <c r="D579" t="s">
        <v>292</v>
      </c>
      <c r="E579" t="str">
        <f t="shared" ref="E579:E642" si="84">+CONCATENATE(C579," ",D579)</f>
        <v>05 SECRETARIA GENERAL</v>
      </c>
      <c r="F579" s="2">
        <v>2021130010212</v>
      </c>
      <c r="G579" s="2" t="str">
        <f>+VLOOKUP(F579,Hoja2!$F:$I,2,FALSE)</f>
        <v>07. PILAR CARTAGENA RESILIENTE</v>
      </c>
      <c r="H579" s="2" t="str">
        <f>+VLOOKUP(F579,Hoja2!$F:$I,3,FALSE)</f>
        <v>7.6 LÍNEA ESTRATÉGICA SERVICIOS PÚBLICOS BÁSICOS DEL DISTRITO DE CARTAGENA DE INDIAS: “TODOS CON TODO”</v>
      </c>
      <c r="I579" s="2" t="str">
        <f>+VLOOKUP(F579,Hoja2!$F:$I,4,FALSE)</f>
        <v>7.6.3 GESTIÓN INTEGRAL DE RESIDUOS SÓLIDOS "CULTURA CIUDADANA PARA EL RECICLAJE INCLUSIVO Y LA ECONOMÍA CIRCULAR"</v>
      </c>
      <c r="J579" t="s">
        <v>300</v>
      </c>
      <c r="K579" t="str">
        <f>"B185"</f>
        <v>B185</v>
      </c>
      <c r="L579" t="s">
        <v>301</v>
      </c>
      <c r="M579" t="s">
        <v>26</v>
      </c>
      <c r="N579" t="s">
        <v>27</v>
      </c>
      <c r="O579" t="s">
        <v>302</v>
      </c>
      <c r="P579" t="str">
        <f t="shared" ref="P579:P642" si="85">+CONCATENATE(F579," ",O579)</f>
        <v>2021130010212 ACTUALIZACION IMPLEMENTACION DEL PLAN DE GESTION INTEGRAL DE RESIDUOS SOLIDOS (PGIRS) EN EL DISTRITO DE CARTAGENA DE INDIAS CARTAGENA DE INDIAS</v>
      </c>
      <c r="Q579" t="str">
        <f t="shared" si="82"/>
        <v>06</v>
      </c>
      <c r="R579" t="str">
        <f t="shared" si="83"/>
        <v>00</v>
      </c>
      <c r="S579" s="1">
        <v>0</v>
      </c>
      <c r="T579" s="1">
        <v>1072119702</v>
      </c>
      <c r="U579" s="1">
        <v>1072119702</v>
      </c>
      <c r="V579" s="1">
        <v>1071014716</v>
      </c>
      <c r="W579" s="1">
        <v>1104986</v>
      </c>
      <c r="X579" s="1">
        <v>1071014716</v>
      </c>
      <c r="Y579" s="1">
        <v>99.9</v>
      </c>
      <c r="Z579" s="1">
        <v>0</v>
      </c>
      <c r="AA579" s="1">
        <v>0</v>
      </c>
      <c r="AB579" s="1">
        <v>1104986</v>
      </c>
      <c r="AC579" s="1">
        <v>0</v>
      </c>
    </row>
    <row r="580" spans="1:29" x14ac:dyDescent="0.3">
      <c r="A580">
        <v>2022</v>
      </c>
      <c r="B580">
        <v>100</v>
      </c>
      <c r="C580" t="str">
        <f>"05"</f>
        <v>05</v>
      </c>
      <c r="D580" t="s">
        <v>292</v>
      </c>
      <c r="E580" t="str">
        <f t="shared" si="84"/>
        <v>05 SECRETARIA GENERAL</v>
      </c>
      <c r="F580" s="2">
        <v>2021130010212</v>
      </c>
      <c r="G580" s="2" t="str">
        <f>+VLOOKUP(F580,Hoja2!$F:$I,2,FALSE)</f>
        <v>07. PILAR CARTAGENA RESILIENTE</v>
      </c>
      <c r="H580" s="2" t="str">
        <f>+VLOOKUP(F580,Hoja2!$F:$I,3,FALSE)</f>
        <v>7.6 LÍNEA ESTRATÉGICA SERVICIOS PÚBLICOS BÁSICOS DEL DISTRITO DE CARTAGENA DE INDIAS: “TODOS CON TODO”</v>
      </c>
      <c r="I580" s="2" t="str">
        <f>+VLOOKUP(F580,Hoja2!$F:$I,4,FALSE)</f>
        <v>7.6.3 GESTIÓN INTEGRAL DE RESIDUOS SÓLIDOS "CULTURA CIUDADANA PARA EL RECICLAJE INCLUSIVO Y LA ECONOMÍA CIRCULAR"</v>
      </c>
      <c r="J580" t="s">
        <v>300</v>
      </c>
      <c r="K580" t="str">
        <f>"B195"</f>
        <v>B195</v>
      </c>
      <c r="L580" t="s">
        <v>303</v>
      </c>
      <c r="M580" t="s">
        <v>26</v>
      </c>
      <c r="N580" t="s">
        <v>27</v>
      </c>
      <c r="O580" t="s">
        <v>302</v>
      </c>
      <c r="P580" t="str">
        <f t="shared" si="85"/>
        <v>2021130010212 ACTUALIZACION IMPLEMENTACION DEL PLAN DE GESTION INTEGRAL DE RESIDUOS SOLIDOS (PGIRS) EN EL DISTRITO DE CARTAGENA DE INDIAS CARTAGENA DE INDIAS</v>
      </c>
      <c r="Q580" t="str">
        <f t="shared" si="82"/>
        <v>06</v>
      </c>
      <c r="R580" t="str">
        <f t="shared" si="83"/>
        <v>00</v>
      </c>
      <c r="S580" s="1">
        <v>0</v>
      </c>
      <c r="T580" s="1">
        <v>60021.68</v>
      </c>
      <c r="U580" s="1">
        <v>60021.68</v>
      </c>
      <c r="V580" s="1">
        <v>0</v>
      </c>
      <c r="W580" s="1">
        <v>60021.68</v>
      </c>
      <c r="X580" s="1">
        <v>0</v>
      </c>
      <c r="Y580" s="1">
        <v>0</v>
      </c>
      <c r="Z580" s="1">
        <v>0</v>
      </c>
      <c r="AA580" s="1">
        <v>0</v>
      </c>
      <c r="AB580" s="1">
        <v>60021.68</v>
      </c>
      <c r="AC580" s="1">
        <v>0</v>
      </c>
    </row>
    <row r="581" spans="1:29" x14ac:dyDescent="0.3">
      <c r="A581">
        <v>2022</v>
      </c>
      <c r="B581">
        <v>100</v>
      </c>
      <c r="C581" t="str">
        <f>"05"</f>
        <v>05</v>
      </c>
      <c r="D581" t="s">
        <v>292</v>
      </c>
      <c r="E581" t="str">
        <f t="shared" si="84"/>
        <v>05 SECRETARIA GENERAL</v>
      </c>
      <c r="F581" s="2">
        <v>2021130010212</v>
      </c>
      <c r="G581" s="2" t="str">
        <f>+VLOOKUP(F581,Hoja2!$F:$I,2,FALSE)</f>
        <v>07. PILAR CARTAGENA RESILIENTE</v>
      </c>
      <c r="H581" s="2" t="str">
        <f>+VLOOKUP(F581,Hoja2!$F:$I,3,FALSE)</f>
        <v>7.6 LÍNEA ESTRATÉGICA SERVICIOS PÚBLICOS BÁSICOS DEL DISTRITO DE CARTAGENA DE INDIAS: “TODOS CON TODO”</v>
      </c>
      <c r="I581" s="2" t="str">
        <f>+VLOOKUP(F581,Hoja2!$F:$I,4,FALSE)</f>
        <v>7.6.3 GESTIÓN INTEGRAL DE RESIDUOS SÓLIDOS "CULTURA CIUDADANA PARA EL RECICLAJE INCLUSIVO Y LA ECONOMÍA CIRCULAR"</v>
      </c>
      <c r="J581" t="s">
        <v>300</v>
      </c>
      <c r="K581" t="str">
        <f>"185"</f>
        <v>185</v>
      </c>
      <c r="L581" t="s">
        <v>304</v>
      </c>
      <c r="M581" t="s">
        <v>26</v>
      </c>
      <c r="N581" t="s">
        <v>27</v>
      </c>
      <c r="O581" t="s">
        <v>302</v>
      </c>
      <c r="P581" t="str">
        <f t="shared" si="85"/>
        <v>2021130010212 ACTUALIZACION IMPLEMENTACION DEL PLAN DE GESTION INTEGRAL DE RESIDUOS SOLIDOS (PGIRS) EN EL DISTRITO DE CARTAGENA DE INDIAS CARTAGENA DE INDIAS</v>
      </c>
      <c r="Q581" t="str">
        <f t="shared" si="82"/>
        <v>06</v>
      </c>
      <c r="R581" t="str">
        <f t="shared" si="83"/>
        <v>00</v>
      </c>
      <c r="S581" s="1">
        <v>0</v>
      </c>
      <c r="T581" s="1">
        <v>2598985152</v>
      </c>
      <c r="U581" s="1">
        <v>2598985152</v>
      </c>
      <c r="V581" s="1">
        <v>2598985152</v>
      </c>
      <c r="W581" s="1">
        <v>0</v>
      </c>
      <c r="X581" s="1">
        <v>2598985152</v>
      </c>
      <c r="Y581" s="1">
        <v>100</v>
      </c>
      <c r="Z581" s="1">
        <v>0</v>
      </c>
      <c r="AA581" s="1">
        <v>0</v>
      </c>
      <c r="AB581" s="1">
        <v>0</v>
      </c>
      <c r="AC581" s="1">
        <v>0</v>
      </c>
    </row>
    <row r="582" spans="1:29" x14ac:dyDescent="0.3">
      <c r="A582">
        <v>2022</v>
      </c>
      <c r="B582">
        <v>100</v>
      </c>
      <c r="C582" t="str">
        <f>"05"</f>
        <v>05</v>
      </c>
      <c r="D582" t="s">
        <v>292</v>
      </c>
      <c r="E582" t="str">
        <f t="shared" si="84"/>
        <v>05 SECRETARIA GENERAL</v>
      </c>
      <c r="F582" s="2">
        <v>2021130010212</v>
      </c>
      <c r="G582" s="2" t="str">
        <f>+VLOOKUP(F582,Hoja2!$F:$I,2,FALSE)</f>
        <v>07. PILAR CARTAGENA RESILIENTE</v>
      </c>
      <c r="H582" s="2" t="str">
        <f>+VLOOKUP(F582,Hoja2!$F:$I,3,FALSE)</f>
        <v>7.6 LÍNEA ESTRATÉGICA SERVICIOS PÚBLICOS BÁSICOS DEL DISTRITO DE CARTAGENA DE INDIAS: “TODOS CON TODO”</v>
      </c>
      <c r="I582" s="2" t="str">
        <f>+VLOOKUP(F582,Hoja2!$F:$I,4,FALSE)</f>
        <v>7.6.3 GESTIÓN INTEGRAL DE RESIDUOS SÓLIDOS "CULTURA CIUDADANA PARA EL RECICLAJE INCLUSIVO Y LA ECONOMÍA CIRCULAR"</v>
      </c>
      <c r="J582" t="s">
        <v>300</v>
      </c>
      <c r="K582" t="str">
        <f>"195"</f>
        <v>195</v>
      </c>
      <c r="L582" t="s">
        <v>305</v>
      </c>
      <c r="M582" t="s">
        <v>26</v>
      </c>
      <c r="N582" t="s">
        <v>27</v>
      </c>
      <c r="O582" t="s">
        <v>302</v>
      </c>
      <c r="P582" t="str">
        <f t="shared" si="85"/>
        <v>2021130010212 ACTUALIZACION IMPLEMENTACION DEL PLAN DE GESTION INTEGRAL DE RESIDUOS SOLIDOS (PGIRS) EN EL DISTRITO DE CARTAGENA DE INDIAS CARTAGENA DE INDIAS</v>
      </c>
      <c r="Q582" t="str">
        <f t="shared" si="82"/>
        <v>06</v>
      </c>
      <c r="R582" t="str">
        <f t="shared" si="83"/>
        <v>00</v>
      </c>
      <c r="S582" s="1">
        <v>0</v>
      </c>
      <c r="T582" s="1">
        <v>157562.45000000001</v>
      </c>
      <c r="U582" s="1">
        <v>157562.45000000001</v>
      </c>
      <c r="V582" s="1">
        <v>0</v>
      </c>
      <c r="W582" s="1">
        <v>157562.45000000001</v>
      </c>
      <c r="X582" s="1">
        <v>0</v>
      </c>
      <c r="Y582" s="1">
        <v>0</v>
      </c>
      <c r="Z582" s="1">
        <v>0</v>
      </c>
      <c r="AA582" s="1">
        <v>0</v>
      </c>
      <c r="AB582" s="1">
        <v>157562.45000000001</v>
      </c>
      <c r="AC582" s="1">
        <v>0</v>
      </c>
    </row>
    <row r="583" spans="1:29" x14ac:dyDescent="0.3">
      <c r="A583">
        <v>2022</v>
      </c>
      <c r="B583">
        <v>100</v>
      </c>
      <c r="C583" t="str">
        <f>"05"</f>
        <v>05</v>
      </c>
      <c r="D583" t="s">
        <v>292</v>
      </c>
      <c r="E583" t="str">
        <f t="shared" si="84"/>
        <v>05 SECRETARIA GENERAL</v>
      </c>
      <c r="F583" s="2">
        <v>2021130010212</v>
      </c>
      <c r="G583" s="2" t="str">
        <f>+VLOOKUP(F583,Hoja2!$F:$I,2,FALSE)</f>
        <v>07. PILAR CARTAGENA RESILIENTE</v>
      </c>
      <c r="H583" s="2" t="str">
        <f>+VLOOKUP(F583,Hoja2!$F:$I,3,FALSE)</f>
        <v>7.6 LÍNEA ESTRATÉGICA SERVICIOS PÚBLICOS BÁSICOS DEL DISTRITO DE CARTAGENA DE INDIAS: “TODOS CON TODO”</v>
      </c>
      <c r="I583" s="2" t="str">
        <f>+VLOOKUP(F583,Hoja2!$F:$I,4,FALSE)</f>
        <v>7.6.3 GESTIÓN INTEGRAL DE RESIDUOS SÓLIDOS "CULTURA CIUDADANA PARA EL RECICLAJE INCLUSIVO Y LA ECONOMÍA CIRCULAR"</v>
      </c>
      <c r="J583" t="s">
        <v>300</v>
      </c>
      <c r="K583" t="str">
        <f>"001"</f>
        <v>001</v>
      </c>
      <c r="L583" t="s">
        <v>25</v>
      </c>
      <c r="M583" t="s">
        <v>26</v>
      </c>
      <c r="N583" t="s">
        <v>27</v>
      </c>
      <c r="O583" t="s">
        <v>302</v>
      </c>
      <c r="P583" t="str">
        <f t="shared" si="85"/>
        <v>2021130010212 ACTUALIZACION IMPLEMENTACION DEL PLAN DE GESTION INTEGRAL DE RESIDUOS SOLIDOS (PGIRS) EN EL DISTRITO DE CARTAGENA DE INDIAS CARTAGENA DE INDIAS</v>
      </c>
      <c r="Q583" t="str">
        <f t="shared" si="82"/>
        <v>06</v>
      </c>
      <c r="R583" t="str">
        <f t="shared" si="83"/>
        <v>00</v>
      </c>
      <c r="S583" s="1">
        <v>1000000000</v>
      </c>
      <c r="T583" s="1">
        <v>90000000</v>
      </c>
      <c r="U583" s="1">
        <v>1090000000</v>
      </c>
      <c r="V583" s="1">
        <v>1090000000</v>
      </c>
      <c r="W583" s="1">
        <v>0</v>
      </c>
      <c r="X583" s="1">
        <v>1087300000</v>
      </c>
      <c r="Y583" s="1">
        <v>99.75</v>
      </c>
      <c r="Z583" s="1">
        <v>963500000</v>
      </c>
      <c r="AA583" s="1">
        <v>88.39</v>
      </c>
      <c r="AB583" s="1">
        <v>2700000</v>
      </c>
      <c r="AC583" s="1">
        <v>963500000</v>
      </c>
    </row>
    <row r="584" spans="1:29" x14ac:dyDescent="0.3">
      <c r="A584">
        <v>2022</v>
      </c>
      <c r="B584">
        <v>100</v>
      </c>
      <c r="C584" t="str">
        <f>"08"</f>
        <v>08</v>
      </c>
      <c r="D584" t="s">
        <v>479</v>
      </c>
      <c r="E584" t="str">
        <f t="shared" si="84"/>
        <v>08 SECRETARIA DE PARTICIPACION Y DESARROLLO SOCIAL</v>
      </c>
      <c r="F584" s="2">
        <v>2021130010213</v>
      </c>
      <c r="G584" s="2" t="str">
        <f>+VLOOKUP(F584,Hoja2!$F:$I,2,FALSE)</f>
        <v>11. EJE TRANSVERSAL: CARTAGENA CON ATENCION Y GARANTIA DE DERECHOS A POBLACION DIFERENCIAL.</v>
      </c>
      <c r="H584" s="2" t="str">
        <f>+VLOOKUP(F584,Hoja2!$F:$I,3,FALSE)</f>
        <v>11.2 LÍNEA ESTRATÉGICA MUJERES CARTAGENERAS POR SUS DERECHOS.</v>
      </c>
      <c r="I584" s="2" t="str">
        <f>+VLOOKUP(F584,Hoja2!$F:$I,4,FALSE)</f>
        <v>11.2.1 PROGRAMA: LAS MUJERES DECIDIMOS SOBRE EL EJERCICIO DEL PODER</v>
      </c>
      <c r="J584" t="s">
        <v>514</v>
      </c>
      <c r="K584" t="str">
        <f>"001"</f>
        <v>001</v>
      </c>
      <c r="L584" t="s">
        <v>25</v>
      </c>
      <c r="M584" t="s">
        <v>26</v>
      </c>
      <c r="N584" t="s">
        <v>27</v>
      </c>
      <c r="O584" t="s">
        <v>515</v>
      </c>
      <c r="P584" t="str">
        <f t="shared" si="85"/>
        <v>2021130010213 ACTUALIZACION LAS MUJERES DECIDIMOS SOBRE EL EJERCICIO DEL PODER CARTAGENA DE INDIAS</v>
      </c>
      <c r="Q584" t="str">
        <f t="shared" si="82"/>
        <v>06</v>
      </c>
      <c r="R584" t="str">
        <f t="shared" si="83"/>
        <v>00</v>
      </c>
      <c r="S584" s="1">
        <v>65000000</v>
      </c>
      <c r="T584" s="1">
        <v>0</v>
      </c>
      <c r="U584" s="1">
        <v>65000000</v>
      </c>
      <c r="V584" s="1">
        <v>64996600</v>
      </c>
      <c r="W584" s="1">
        <v>3400</v>
      </c>
      <c r="X584" s="1">
        <v>64995485</v>
      </c>
      <c r="Y584" s="1">
        <v>99.99</v>
      </c>
      <c r="Z584" s="1">
        <v>56400000</v>
      </c>
      <c r="AA584" s="1">
        <v>86.77</v>
      </c>
      <c r="AB584" s="1">
        <v>4515</v>
      </c>
      <c r="AC584" s="1">
        <v>56400000</v>
      </c>
    </row>
    <row r="585" spans="1:29" x14ac:dyDescent="0.3">
      <c r="A585">
        <v>2022</v>
      </c>
      <c r="B585">
        <v>100</v>
      </c>
      <c r="C585" t="str">
        <f>"08"</f>
        <v>08</v>
      </c>
      <c r="D585" t="s">
        <v>479</v>
      </c>
      <c r="E585" t="str">
        <f t="shared" si="84"/>
        <v>08 SECRETARIA DE PARTICIPACION Y DESARROLLO SOCIAL</v>
      </c>
      <c r="F585" s="2">
        <v>2021130010214</v>
      </c>
      <c r="G585" s="2" t="str">
        <f>+VLOOKUP(F585,Hoja2!$F:$I,2,FALSE)</f>
        <v>11. EJE TRANSVERSAL: CARTAGENA CON ATENCION Y GARANTIA DE DERECHOS A POBLACION DIFERENCIAL.</v>
      </c>
      <c r="H585" s="2" t="str">
        <f>+VLOOKUP(F585,Hoja2!$F:$I,3,FALSE)</f>
        <v>11.2 LÍNEA ESTRATÉGICA MUJERES CARTAGENERAS POR SUS DERECHOS.</v>
      </c>
      <c r="I585" s="2" t="str">
        <f>+VLOOKUP(F585,Hoja2!$F:$I,4,FALSE)</f>
        <v>11.2.1 PROGRAMA: LAS MUJERES DECIDIMOS SOBRE EL EJERCICIO DEL PODER</v>
      </c>
      <c r="J585" t="s">
        <v>516</v>
      </c>
      <c r="K585" t="str">
        <f>"001"</f>
        <v>001</v>
      </c>
      <c r="L585" t="s">
        <v>25</v>
      </c>
      <c r="M585" t="s">
        <v>26</v>
      </c>
      <c r="N585" t="s">
        <v>27</v>
      </c>
      <c r="O585" t="s">
        <v>517</v>
      </c>
      <c r="P585" t="str">
        <f t="shared" si="85"/>
        <v>2021130010214 ACTUALIZACION Y REFORMULACION DE LA POLITICA PUBLICA DE MUJER CARTAGENA DE INDIAS</v>
      </c>
      <c r="Q585" t="str">
        <f t="shared" si="82"/>
        <v>06</v>
      </c>
      <c r="R585" t="str">
        <f t="shared" si="83"/>
        <v>00</v>
      </c>
      <c r="S585" s="1">
        <v>25000000</v>
      </c>
      <c r="T585" s="1">
        <v>-25000000</v>
      </c>
      <c r="U585" s="1">
        <v>0</v>
      </c>
      <c r="V585" s="1">
        <v>0</v>
      </c>
      <c r="W585" s="1">
        <v>0</v>
      </c>
      <c r="X585" s="1">
        <v>0</v>
      </c>
      <c r="Y585" s="1">
        <v>0</v>
      </c>
      <c r="Z585" s="1">
        <v>0</v>
      </c>
      <c r="AA585" s="1">
        <v>0</v>
      </c>
      <c r="AB585" s="1">
        <v>0</v>
      </c>
      <c r="AC585" s="1">
        <v>0</v>
      </c>
    </row>
    <row r="586" spans="1:29" x14ac:dyDescent="0.3">
      <c r="A586">
        <v>2022</v>
      </c>
      <c r="B586">
        <v>100</v>
      </c>
      <c r="C586" t="str">
        <f>"06"</f>
        <v>06</v>
      </c>
      <c r="D586" t="s">
        <v>375</v>
      </c>
      <c r="E586" t="str">
        <f t="shared" si="84"/>
        <v>06 SECRETARIA DE INFRAESTRUCTURA</v>
      </c>
      <c r="F586" s="2">
        <v>2021130010215</v>
      </c>
      <c r="G586" s="2" t="str">
        <f>+VLOOKUP(F586,Hoja2!$F:$I,2,FALSE)</f>
        <v>07. PILAR CARTAGENA RESILIENTE</v>
      </c>
      <c r="H586" s="2" t="str">
        <f>+VLOOKUP(F586,Hoja2!$F:$I,3,FALSE)</f>
        <v>7.3 LÍNEA ESTRATÉGICA DESARROLLO URBANO</v>
      </c>
      <c r="I586" s="2" t="str">
        <f>+VLOOKUP(F586,Hoja2!$F:$I,4,FALSE)</f>
        <v xml:space="preserve">7.3.1 CARTAGENA SE MUEVE </v>
      </c>
      <c r="J586" t="s">
        <v>395</v>
      </c>
      <c r="K586" t="str">
        <f>"124"</f>
        <v>124</v>
      </c>
      <c r="L586" t="s">
        <v>394</v>
      </c>
      <c r="M586" t="s">
        <v>26</v>
      </c>
      <c r="N586" t="s">
        <v>27</v>
      </c>
      <c r="O586" t="s">
        <v>396</v>
      </c>
      <c r="P586" t="str">
        <f t="shared" si="85"/>
        <v>2021130010215 ESTUDIOS TECNICOS, DISE?OS Y OBRAS CONTINGENTES DERIVADAS DE SENTENCIAS JUDICIALES Y OBRAS DE EMERGENCIA EN INFRAESTRUCTURA DIFERENTES A VIAS EN EL DISTRITO DE CARTAGENA DE INDIAS</v>
      </c>
      <c r="Q586" t="str">
        <f t="shared" si="82"/>
        <v>06</v>
      </c>
      <c r="R586" t="str">
        <f t="shared" si="83"/>
        <v>00</v>
      </c>
      <c r="S586" s="1">
        <v>0</v>
      </c>
      <c r="T586" s="1">
        <v>296615906</v>
      </c>
      <c r="U586" s="1">
        <v>296615906</v>
      </c>
      <c r="V586" s="1">
        <v>296615905</v>
      </c>
      <c r="W586" s="1">
        <v>1</v>
      </c>
      <c r="X586" s="1">
        <v>296615905</v>
      </c>
      <c r="Y586" s="1">
        <v>100</v>
      </c>
      <c r="Z586" s="1">
        <v>0</v>
      </c>
      <c r="AA586" s="1">
        <v>0</v>
      </c>
      <c r="AB586" s="1">
        <v>1</v>
      </c>
      <c r="AC586" s="1">
        <v>0</v>
      </c>
    </row>
    <row r="587" spans="1:29" x14ac:dyDescent="0.3">
      <c r="A587">
        <v>2022</v>
      </c>
      <c r="B587">
        <v>100</v>
      </c>
      <c r="C587" t="str">
        <f>"06"</f>
        <v>06</v>
      </c>
      <c r="D587" t="s">
        <v>375</v>
      </c>
      <c r="E587" t="str">
        <f t="shared" si="84"/>
        <v>06 SECRETARIA DE INFRAESTRUCTURA</v>
      </c>
      <c r="F587" s="2">
        <v>2021130010215</v>
      </c>
      <c r="G587" s="2" t="str">
        <f>+VLOOKUP(F587,Hoja2!$F:$I,2,FALSE)</f>
        <v>07. PILAR CARTAGENA RESILIENTE</v>
      </c>
      <c r="H587" s="2" t="str">
        <f>+VLOOKUP(F587,Hoja2!$F:$I,3,FALSE)</f>
        <v>7.3 LÍNEA ESTRATÉGICA DESARROLLO URBANO</v>
      </c>
      <c r="I587" s="2" t="str">
        <f>+VLOOKUP(F587,Hoja2!$F:$I,4,FALSE)</f>
        <v xml:space="preserve">7.3.1 CARTAGENA SE MUEVE </v>
      </c>
      <c r="J587" t="s">
        <v>395</v>
      </c>
      <c r="K587" t="str">
        <f>"001"</f>
        <v>001</v>
      </c>
      <c r="L587" t="s">
        <v>25</v>
      </c>
      <c r="M587" t="s">
        <v>26</v>
      </c>
      <c r="N587" t="s">
        <v>27</v>
      </c>
      <c r="O587" t="s">
        <v>396</v>
      </c>
      <c r="P587" t="str">
        <f t="shared" si="85"/>
        <v>2021130010215 ESTUDIOS TECNICOS, DISE?OS Y OBRAS CONTINGENTES DERIVADAS DE SENTENCIAS JUDICIALES Y OBRAS DE EMERGENCIA EN INFRAESTRUCTURA DIFERENTES A VIAS EN EL DISTRITO DE CARTAGENA DE INDIAS</v>
      </c>
      <c r="Q587" t="str">
        <f t="shared" si="82"/>
        <v>06</v>
      </c>
      <c r="R587" t="str">
        <f t="shared" si="83"/>
        <v>00</v>
      </c>
      <c r="S587" s="1">
        <v>0</v>
      </c>
      <c r="T587" s="1">
        <v>2384290325.2800002</v>
      </c>
      <c r="U587" s="1">
        <v>2384290325.2800002</v>
      </c>
      <c r="V587" s="1">
        <v>2384290325.2399998</v>
      </c>
      <c r="W587" s="1">
        <v>0.04</v>
      </c>
      <c r="X587" s="1">
        <v>2365699549.2399998</v>
      </c>
      <c r="Y587" s="1">
        <v>99.22</v>
      </c>
      <c r="Z587" s="1">
        <v>2190528151.8000002</v>
      </c>
      <c r="AA587" s="1">
        <v>91.87</v>
      </c>
      <c r="AB587" s="1">
        <v>18590776.039999999</v>
      </c>
      <c r="AC587" s="1">
        <v>2190528151.8000002</v>
      </c>
    </row>
    <row r="588" spans="1:29" x14ac:dyDescent="0.3">
      <c r="A588">
        <v>2022</v>
      </c>
      <c r="B588">
        <v>100</v>
      </c>
      <c r="C588" t="str">
        <f>"05"</f>
        <v>05</v>
      </c>
      <c r="D588" t="s">
        <v>292</v>
      </c>
      <c r="E588" t="str">
        <f t="shared" si="84"/>
        <v>05 SECRETARIA GENERAL</v>
      </c>
      <c r="F588" s="2">
        <v>2021130010216</v>
      </c>
      <c r="G588" s="2" t="str">
        <f>+VLOOKUP(F588,Hoja2!$F:$I,2,FALSE)</f>
        <v>09. PILAR CARTAGENA CONTINGENTE</v>
      </c>
      <c r="H588" s="2" t="str">
        <f>+VLOOKUP(F588,Hoja2!$F:$I,3,FALSE)</f>
        <v>9.1 LÍNEA ESTRATÉGICA: DESARROLLO ECONÓMICO Y EMPLEABILIDAD</v>
      </c>
      <c r="I588" s="2" t="str">
        <f>+VLOOKUP(F588,Hoja2!$F:$I,4,FALSE)</f>
        <v>9.1.12 PROGRAMA: MAS COOPERACIÓN INTERNACIONAL</v>
      </c>
      <c r="J588" t="s">
        <v>342</v>
      </c>
      <c r="K588" t="str">
        <f>"001"</f>
        <v>001</v>
      </c>
      <c r="L588" t="s">
        <v>25</v>
      </c>
      <c r="M588" t="s">
        <v>26</v>
      </c>
      <c r="N588" t="s">
        <v>27</v>
      </c>
      <c r="O588" t="s">
        <v>343</v>
      </c>
      <c r="P588" t="str">
        <f t="shared" si="85"/>
        <v>2021130010216 FORTALECIMIENTO DEL ECOSISTEMA DE COOPERACION DEL DISTRITO DE CARTAGENA DE INDIAS</v>
      </c>
      <c r="Q588" t="str">
        <f t="shared" si="82"/>
        <v>06</v>
      </c>
      <c r="R588" t="str">
        <f t="shared" si="83"/>
        <v>00</v>
      </c>
      <c r="S588" s="1">
        <v>109000000</v>
      </c>
      <c r="T588" s="1">
        <v>0</v>
      </c>
      <c r="U588" s="1">
        <v>109000000</v>
      </c>
      <c r="V588" s="1">
        <v>15000000</v>
      </c>
      <c r="W588" s="1">
        <v>94000000</v>
      </c>
      <c r="X588" s="1">
        <v>15000000</v>
      </c>
      <c r="Y588" s="1">
        <v>13.76</v>
      </c>
      <c r="Z588" s="1">
        <v>15000000</v>
      </c>
      <c r="AA588" s="1">
        <v>13.76</v>
      </c>
      <c r="AB588" s="1">
        <v>94000000</v>
      </c>
      <c r="AC588" s="1">
        <v>15000000</v>
      </c>
    </row>
    <row r="589" spans="1:29" x14ac:dyDescent="0.3">
      <c r="A589">
        <v>2022</v>
      </c>
      <c r="B589">
        <v>100</v>
      </c>
      <c r="C589" t="str">
        <f>"21"</f>
        <v>21</v>
      </c>
      <c r="D589" t="s">
        <v>893</v>
      </c>
      <c r="E589" t="str">
        <f t="shared" si="84"/>
        <v>21 ESTABLECIMIENTO PUBLICO AMBIENTAL-EPA</v>
      </c>
      <c r="F589" s="2">
        <v>2021130010217</v>
      </c>
      <c r="G589" s="2" t="str">
        <f>+VLOOKUP(F589,Hoja2!$F:$I,2,FALSE)</f>
        <v>07. PILAR CARTAGENA RESILIENTE</v>
      </c>
      <c r="H589" s="2" t="str">
        <f>+VLOOKUP(F589,Hoja2!$F:$I,3,FALSE)</f>
        <v>7.1 LÍNEA ESTRATÉGICA: “SALVEMOS JUNTOS NUESTRO PATRIMONIO NATURAL”</v>
      </c>
      <c r="I589" s="2" t="str">
        <f>+VLOOKUP(F589,Hoja2!$F:$I,4,FALSE)</f>
        <v>7.1.7 INSTITUCIONES AMBIENTALES MÁS MODERNAS, EFICIENTES Y TRANSPARENTES (FORTALECIMIENTO INSTITUCIONAL)</v>
      </c>
      <c r="J589" t="s">
        <v>903</v>
      </c>
      <c r="K589" t="str">
        <f>"936"</f>
        <v>936</v>
      </c>
      <c r="L589" t="s">
        <v>904</v>
      </c>
      <c r="M589" t="s">
        <v>26</v>
      </c>
      <c r="N589" t="s">
        <v>27</v>
      </c>
      <c r="O589" t="s">
        <v>905</v>
      </c>
      <c r="P589" t="str">
        <f t="shared" si="85"/>
        <v>2021130010217 FORTALECIMIENTO DE EPA MODERNA EFICIENTE Y TRANSPARENTE EN EL DISTRITO DE CARTAGENA DE INDIAS</v>
      </c>
      <c r="Q589" t="str">
        <f t="shared" si="82"/>
        <v>06</v>
      </c>
      <c r="R589" t="str">
        <f t="shared" si="83"/>
        <v>00</v>
      </c>
      <c r="S589" s="1">
        <v>0</v>
      </c>
      <c r="T589" s="1">
        <v>637499471.25</v>
      </c>
      <c r="U589" s="1">
        <v>637499471.25</v>
      </c>
      <c r="V589" s="1">
        <v>0</v>
      </c>
      <c r="W589" s="1">
        <v>637499471.25</v>
      </c>
      <c r="X589" s="1">
        <v>0</v>
      </c>
      <c r="Y589" s="1">
        <v>0</v>
      </c>
      <c r="Z589" s="1">
        <v>0</v>
      </c>
      <c r="AA589" s="1">
        <v>0</v>
      </c>
      <c r="AB589" s="1">
        <v>637499471.25</v>
      </c>
      <c r="AC589" s="1">
        <v>0</v>
      </c>
    </row>
    <row r="590" spans="1:29" x14ac:dyDescent="0.3">
      <c r="A590">
        <v>2022</v>
      </c>
      <c r="B590">
        <v>100</v>
      </c>
      <c r="C590" t="str">
        <f>"21"</f>
        <v>21</v>
      </c>
      <c r="D590" t="s">
        <v>893</v>
      </c>
      <c r="E590" t="str">
        <f t="shared" si="84"/>
        <v>21 ESTABLECIMIENTO PUBLICO AMBIENTAL-EPA</v>
      </c>
      <c r="F590" s="2">
        <v>2021130010217</v>
      </c>
      <c r="G590" s="2" t="str">
        <f>+VLOOKUP(F590,Hoja2!$F:$I,2,FALSE)</f>
        <v>07. PILAR CARTAGENA RESILIENTE</v>
      </c>
      <c r="H590" s="2" t="str">
        <f>+VLOOKUP(F590,Hoja2!$F:$I,3,FALSE)</f>
        <v>7.1 LÍNEA ESTRATÉGICA: “SALVEMOS JUNTOS NUESTRO PATRIMONIO NATURAL”</v>
      </c>
      <c r="I590" s="2" t="str">
        <f>+VLOOKUP(F590,Hoja2!$F:$I,4,FALSE)</f>
        <v>7.1.7 INSTITUCIONES AMBIENTALES MÁS MODERNAS, EFICIENTES Y TRANSPARENTES (FORTALECIMIENTO INSTITUCIONAL)</v>
      </c>
      <c r="J590" t="s">
        <v>903</v>
      </c>
      <c r="K590" t="str">
        <f>"001"</f>
        <v>001</v>
      </c>
      <c r="L590" t="s">
        <v>25</v>
      </c>
      <c r="M590" t="s">
        <v>26</v>
      </c>
      <c r="N590" t="s">
        <v>27</v>
      </c>
      <c r="O590" t="s">
        <v>918</v>
      </c>
      <c r="P590" t="str">
        <f t="shared" si="85"/>
        <v>2021130010217 FORTALECIMIENTO DE EPA MODERNA EFICIENTE Y TRANSPARENTE EN EL DISTRITO DE  CARTAGENA DE INDIAS</v>
      </c>
      <c r="Q590" t="str">
        <f t="shared" si="82"/>
        <v>06</v>
      </c>
      <c r="R590" t="str">
        <f t="shared" si="83"/>
        <v>00</v>
      </c>
      <c r="S590" s="1">
        <v>250000000</v>
      </c>
      <c r="T590" s="1">
        <v>0</v>
      </c>
      <c r="U590" s="1">
        <v>250000000</v>
      </c>
      <c r="V590" s="1">
        <v>250000000</v>
      </c>
      <c r="W590" s="1">
        <v>0</v>
      </c>
      <c r="X590" s="1">
        <v>250000000</v>
      </c>
      <c r="Y590" s="1">
        <v>100</v>
      </c>
      <c r="Z590" s="1">
        <v>250000000</v>
      </c>
      <c r="AA590" s="1">
        <v>100</v>
      </c>
      <c r="AB590" s="1">
        <v>0</v>
      </c>
      <c r="AC590" s="1">
        <v>250000000</v>
      </c>
    </row>
    <row r="591" spans="1:29" x14ac:dyDescent="0.3">
      <c r="A591">
        <v>2022</v>
      </c>
      <c r="B591">
        <v>100</v>
      </c>
      <c r="C591" t="str">
        <f>"21"</f>
        <v>21</v>
      </c>
      <c r="D591" t="s">
        <v>893</v>
      </c>
      <c r="E591" t="str">
        <f t="shared" si="84"/>
        <v>21 ESTABLECIMIENTO PUBLICO AMBIENTAL-EPA</v>
      </c>
      <c r="F591" s="2">
        <v>2021130010217</v>
      </c>
      <c r="G591" s="2" t="str">
        <f>+VLOOKUP(F591,Hoja2!$F:$I,2,FALSE)</f>
        <v>07. PILAR CARTAGENA RESILIENTE</v>
      </c>
      <c r="H591" s="2" t="str">
        <f>+VLOOKUP(F591,Hoja2!$F:$I,3,FALSE)</f>
        <v>7.1 LÍNEA ESTRATÉGICA: “SALVEMOS JUNTOS NUESTRO PATRIMONIO NATURAL”</v>
      </c>
      <c r="I591" s="2" t="str">
        <f>+VLOOKUP(F591,Hoja2!$F:$I,4,FALSE)</f>
        <v>7.1.7 INSTITUCIONES AMBIENTALES MÁS MODERNAS, EFICIENTES Y TRANSPARENTES (FORTALECIMIENTO INSTITUCIONAL)</v>
      </c>
      <c r="J591" t="s">
        <v>903</v>
      </c>
      <c r="K591" t="str">
        <f>"935"</f>
        <v>935</v>
      </c>
      <c r="L591" t="s">
        <v>895</v>
      </c>
      <c r="M591" t="s">
        <v>26</v>
      </c>
      <c r="N591" t="s">
        <v>27</v>
      </c>
      <c r="O591" t="s">
        <v>905</v>
      </c>
      <c r="P591" t="str">
        <f t="shared" si="85"/>
        <v>2021130010217 FORTALECIMIENTO DE EPA MODERNA EFICIENTE Y TRANSPARENTE EN EL DISTRITO DE CARTAGENA DE INDIAS</v>
      </c>
      <c r="Q591" t="str">
        <f t="shared" si="82"/>
        <v>06</v>
      </c>
      <c r="R591" t="str">
        <f t="shared" si="83"/>
        <v>00</v>
      </c>
      <c r="S591" s="1">
        <v>0</v>
      </c>
      <c r="T591" s="1">
        <v>286222456.35000002</v>
      </c>
      <c r="U591" s="1">
        <v>286222456.35000002</v>
      </c>
      <c r="V591" s="1">
        <v>0</v>
      </c>
      <c r="W591" s="1">
        <v>286222456.35000002</v>
      </c>
      <c r="X591" s="1">
        <v>0</v>
      </c>
      <c r="Y591" s="1">
        <v>0</v>
      </c>
      <c r="Z591" s="1">
        <v>0</v>
      </c>
      <c r="AA591" s="1">
        <v>0</v>
      </c>
      <c r="AB591" s="1">
        <v>286222456.35000002</v>
      </c>
      <c r="AC591" s="1">
        <v>0</v>
      </c>
    </row>
    <row r="592" spans="1:29" x14ac:dyDescent="0.3">
      <c r="A592">
        <v>2022</v>
      </c>
      <c r="B592">
        <v>100</v>
      </c>
      <c r="C592" t="str">
        <f>"05"</f>
        <v>05</v>
      </c>
      <c r="D592" t="s">
        <v>292</v>
      </c>
      <c r="E592" t="str">
        <f t="shared" si="84"/>
        <v>05 SECRETARIA GENERAL</v>
      </c>
      <c r="F592" s="2">
        <v>2021130010218</v>
      </c>
      <c r="G592" s="2" t="str">
        <f>+VLOOKUP(F592,Hoja2!$F:$I,2,FALSE)</f>
        <v>07. PILAR CARTAGENA RESILIENTE</v>
      </c>
      <c r="H592" s="2" t="str">
        <f>+VLOOKUP(F592,Hoja2!$F:$I,3,FALSE)</f>
        <v>7.6 LÍNEA ESTRATÉGICA SERVICIOS PÚBLICOS BÁSICOS DEL DISTRITO DE CARTAGENA DE INDIAS: “TODOS CON TODO”</v>
      </c>
      <c r="I592" s="2" t="str">
        <f>+VLOOKUP(F592,Hoja2!$F:$I,4,FALSE)</f>
        <v>7.6.1 DE AHORRO Y USO EFICIENTE DE LOS SERVICIOS PÚBLICOS, "AGUA Y SANEAMIENTO BÁSICO PARA TODOS"</v>
      </c>
      <c r="J592" t="s">
        <v>356</v>
      </c>
      <c r="K592" t="str">
        <f>"001"</f>
        <v>001</v>
      </c>
      <c r="L592" t="s">
        <v>25</v>
      </c>
      <c r="M592" t="s">
        <v>26</v>
      </c>
      <c r="N592" t="s">
        <v>27</v>
      </c>
      <c r="O592" t="s">
        <v>357</v>
      </c>
      <c r="P592" t="str">
        <f t="shared" si="85"/>
        <v>2021130010218 PROTECCION DE PREDIOS QUE CONSITUYEN AREAS DE IMPORTANCIA ESTRATEGICA AIE PARA EL SISTEMA DE ACUEDUCTO DEFINIDO EN EL POMCA EN EL DISTRITO DE CARTAGENA DE INDIAS,</v>
      </c>
      <c r="Q592" t="str">
        <f t="shared" si="82"/>
        <v>06</v>
      </c>
      <c r="R592" t="str">
        <f t="shared" si="83"/>
        <v>00</v>
      </c>
      <c r="S592" s="1">
        <v>6020741727</v>
      </c>
      <c r="T592" s="1">
        <v>974572155</v>
      </c>
      <c r="U592" s="1">
        <v>6995313882</v>
      </c>
      <c r="V592" s="1">
        <v>3361323500</v>
      </c>
      <c r="W592" s="1">
        <v>3633990382</v>
      </c>
      <c r="X592" s="1">
        <v>3353823500</v>
      </c>
      <c r="Y592" s="1">
        <v>47.94</v>
      </c>
      <c r="Z592" s="1">
        <v>1992690166</v>
      </c>
      <c r="AA592" s="1">
        <v>28.49</v>
      </c>
      <c r="AB592" s="1">
        <v>3641490382</v>
      </c>
      <c r="AC592" s="1">
        <v>1746578416</v>
      </c>
    </row>
    <row r="593" spans="1:29" x14ac:dyDescent="0.3">
      <c r="A593">
        <v>2022</v>
      </c>
      <c r="B593">
        <v>100</v>
      </c>
      <c r="C593" t="str">
        <f>"08"</f>
        <v>08</v>
      </c>
      <c r="D593" t="s">
        <v>479</v>
      </c>
      <c r="E593" t="str">
        <f t="shared" si="84"/>
        <v>08 SECRETARIA DE PARTICIPACION Y DESARROLLO SOCIAL</v>
      </c>
      <c r="F593" s="2">
        <v>2021130010219</v>
      </c>
      <c r="G593" s="2" t="str">
        <f>+VLOOKUP(F593,Hoja2!$F:$I,2,FALSE)</f>
        <v>10. PILAR: CARTAGENA TRANSPARENTE</v>
      </c>
      <c r="H593" s="2" t="str">
        <f>+VLOOKUP(F593,Hoja2!$F:$I,3,FALSE)</f>
        <v>10.7 LÍNEA ESTRATÉGICA: PARTICIPACIÓN Y DESCENTRALIZACIÓN</v>
      </c>
      <c r="I593" s="2" t="str">
        <f>+VLOOKUP(F593,Hoja2!$F:$I,4,FALSE)</f>
        <v>10.7.1 PROGRAMA: PARTICIPANDO SALVAMOS A CARTAGENA</v>
      </c>
      <c r="J593" t="s">
        <v>518</v>
      </c>
      <c r="K593" t="str">
        <f>"001"</f>
        <v>001</v>
      </c>
      <c r="L593" t="s">
        <v>25</v>
      </c>
      <c r="M593" t="s">
        <v>26</v>
      </c>
      <c r="N593" t="s">
        <v>27</v>
      </c>
      <c r="O593" t="s">
        <v>519</v>
      </c>
      <c r="P593" t="str">
        <f t="shared" si="85"/>
        <v>2021130010219 FORTALECIMIENTO DE LA CAPACIDAD ADMINISTRATIVA, OPERATIVA Y TECNOLOGICA DE LAS ORGANIZACIONES COMUNALES DEL DISTRITO DE CARTAGENA DE INDIAS</v>
      </c>
      <c r="Q593" t="str">
        <f t="shared" si="82"/>
        <v>06</v>
      </c>
      <c r="R593" t="str">
        <f t="shared" si="83"/>
        <v>00</v>
      </c>
      <c r="S593" s="1">
        <v>75000000</v>
      </c>
      <c r="T593" s="1">
        <v>0</v>
      </c>
      <c r="U593" s="1">
        <v>75000000</v>
      </c>
      <c r="V593" s="1">
        <v>73876666</v>
      </c>
      <c r="W593" s="1">
        <v>1123334</v>
      </c>
      <c r="X593" s="1">
        <v>73845000</v>
      </c>
      <c r="Y593" s="1">
        <v>98.46</v>
      </c>
      <c r="Z593" s="1">
        <v>0</v>
      </c>
      <c r="AA593" s="1">
        <v>0</v>
      </c>
      <c r="AB593" s="1">
        <v>1155000</v>
      </c>
      <c r="AC593" s="1">
        <v>0</v>
      </c>
    </row>
    <row r="594" spans="1:29" x14ac:dyDescent="0.3">
      <c r="A594">
        <v>2022</v>
      </c>
      <c r="B594">
        <v>100</v>
      </c>
      <c r="C594" t="str">
        <f>"08"</f>
        <v>08</v>
      </c>
      <c r="D594" t="s">
        <v>479</v>
      </c>
      <c r="E594" t="str">
        <f t="shared" si="84"/>
        <v>08 SECRETARIA DE PARTICIPACION Y DESARROLLO SOCIAL</v>
      </c>
      <c r="F594" s="2">
        <v>2021130010220</v>
      </c>
      <c r="G594" s="2" t="str">
        <f>+VLOOKUP(F594,Hoja2!$F:$I,2,FALSE)</f>
        <v>10. PILAR: CARTAGENA TRANSPARENTE</v>
      </c>
      <c r="H594" s="2" t="str">
        <f>+VLOOKUP(F594,Hoja2!$F:$I,3,FALSE)</f>
        <v>10.7 LÍNEA ESTRATÉGICA: PARTICIPACIÓN Y DESCENTRALIZACIÓN</v>
      </c>
      <c r="I594" s="2" t="str">
        <f>+VLOOKUP(F594,Hoja2!$F:$I,4,FALSE)</f>
        <v>10.7.1 PROGRAMA: PARTICIPANDO SALVAMOS A CARTAGENA</v>
      </c>
      <c r="J594" t="s">
        <v>520</v>
      </c>
      <c r="K594" t="str">
        <f>"001"</f>
        <v>001</v>
      </c>
      <c r="L594" t="s">
        <v>25</v>
      </c>
      <c r="M594" t="s">
        <v>26</v>
      </c>
      <c r="N594" t="s">
        <v>27</v>
      </c>
      <c r="O594" t="s">
        <v>521</v>
      </c>
      <c r="P594" t="str">
        <f t="shared" si="85"/>
        <v>2021130010220 FORTALECIMIENTO DE LA INCIDENCIA DE LOS CIUDADANOS EN LOS PROCESOS DE PARTICIPACION PARA LA CONSTRUCCION DE LO PUBLICO EN EL DISTRITO DE CARTAGENA DE INDIAS</v>
      </c>
      <c r="Q594" t="str">
        <f t="shared" si="82"/>
        <v>06</v>
      </c>
      <c r="R594" t="str">
        <f t="shared" si="83"/>
        <v>00</v>
      </c>
      <c r="S594" s="1">
        <v>100000000</v>
      </c>
      <c r="T594" s="1">
        <v>0</v>
      </c>
      <c r="U594" s="1">
        <v>100000000</v>
      </c>
      <c r="V594" s="1">
        <v>99941187</v>
      </c>
      <c r="W594" s="1">
        <v>58813</v>
      </c>
      <c r="X594" s="1">
        <v>97821853</v>
      </c>
      <c r="Y594" s="1">
        <v>97.82</v>
      </c>
      <c r="Z594" s="1">
        <v>77300000</v>
      </c>
      <c r="AA594" s="1">
        <v>77.3</v>
      </c>
      <c r="AB594" s="1">
        <v>2178147</v>
      </c>
      <c r="AC594" s="1">
        <v>63500000</v>
      </c>
    </row>
    <row r="595" spans="1:29" x14ac:dyDescent="0.3">
      <c r="A595">
        <v>2022</v>
      </c>
      <c r="B595">
        <v>100</v>
      </c>
      <c r="C595" t="str">
        <f>"08"</f>
        <v>08</v>
      </c>
      <c r="D595" t="s">
        <v>479</v>
      </c>
      <c r="E595" t="str">
        <f t="shared" si="84"/>
        <v>08 SECRETARIA DE PARTICIPACION Y DESARROLLO SOCIAL</v>
      </c>
      <c r="F595" s="2">
        <v>2021130010221</v>
      </c>
      <c r="G595" s="2" t="str">
        <f>+VLOOKUP(F595,Hoja2!$F:$I,2,FALSE)</f>
        <v>10. PILAR: CARTAGENA TRANSPARENTE</v>
      </c>
      <c r="H595" s="2" t="str">
        <f>+VLOOKUP(F595,Hoja2!$F:$I,3,FALSE)</f>
        <v>10.7 LÍNEA ESTRATÉGICA: PARTICIPACIÓN Y DESCENTRALIZACIÓN</v>
      </c>
      <c r="I595" s="2" t="str">
        <f>+VLOOKUP(F595,Hoja2!$F:$I,4,FALSE)</f>
        <v>10.7.1 PROGRAMA: PARTICIPANDO SALVAMOS A CARTAGENA</v>
      </c>
      <c r="J595" t="s">
        <v>522</v>
      </c>
      <c r="K595" t="str">
        <f>"001"</f>
        <v>001</v>
      </c>
      <c r="L595" t="s">
        <v>25</v>
      </c>
      <c r="M595" t="s">
        <v>26</v>
      </c>
      <c r="N595" t="s">
        <v>27</v>
      </c>
      <c r="O595" t="s">
        <v>523</v>
      </c>
      <c r="P595" t="str">
        <f t="shared" si="85"/>
        <v>2021130010221 FORTALECIMIENTO DE LA GESTION ADMINISTRATIVA Y LABOR SOCIAL DE LOS ORGANISMOS COMUNALES DEL DISTRITO DE CARTAGENA DE INDIAS</v>
      </c>
      <c r="Q595" t="str">
        <f t="shared" si="82"/>
        <v>06</v>
      </c>
      <c r="R595" t="str">
        <f t="shared" si="83"/>
        <v>00</v>
      </c>
      <c r="S595" s="1">
        <v>325000000</v>
      </c>
      <c r="T595" s="1">
        <v>0</v>
      </c>
      <c r="U595" s="1">
        <v>325000000</v>
      </c>
      <c r="V595" s="1">
        <v>307886665</v>
      </c>
      <c r="W595" s="1">
        <v>17113335</v>
      </c>
      <c r="X595" s="1">
        <v>305633033.23000002</v>
      </c>
      <c r="Y595" s="1">
        <v>94.04</v>
      </c>
      <c r="Z595" s="1">
        <v>182600000</v>
      </c>
      <c r="AA595" s="1">
        <v>56.18</v>
      </c>
      <c r="AB595" s="1">
        <v>19366966.77</v>
      </c>
      <c r="AC595" s="1">
        <v>155000000</v>
      </c>
    </row>
    <row r="596" spans="1:29" x14ac:dyDescent="0.3">
      <c r="A596">
        <v>2022</v>
      </c>
      <c r="B596">
        <v>100</v>
      </c>
      <c r="C596" t="str">
        <f>"08"</f>
        <v>08</v>
      </c>
      <c r="D596" t="s">
        <v>479</v>
      </c>
      <c r="E596" t="str">
        <f t="shared" si="84"/>
        <v>08 SECRETARIA DE PARTICIPACION Y DESARROLLO SOCIAL</v>
      </c>
      <c r="F596" s="2">
        <v>2021130010222</v>
      </c>
      <c r="G596" s="2" t="str">
        <f>+VLOOKUP(F596,Hoja2!$F:$I,2,FALSE)</f>
        <v>11. EJE TRANSVERSAL: CARTAGENA CON ATENCION Y GARANTIA DE DERECHOS A POBLACION DIFERENCIAL.</v>
      </c>
      <c r="H596" s="2" t="str">
        <f>+VLOOKUP(F596,Hoja2!$F:$I,3,FALSE)</f>
        <v>11.2 LÍNEA ESTRATÉGICA MUJERES CARTAGENERAS POR SUS DERECHOS.</v>
      </c>
      <c r="I596" s="2" t="str">
        <f>+VLOOKUP(F596,Hoja2!$F:$I,4,FALSE)</f>
        <v>11.2.4 PROGRAMA: CARTAGENA LIBRE DE UNA CULTURA MACHISTA</v>
      </c>
      <c r="J596" t="s">
        <v>524</v>
      </c>
      <c r="K596" t="str">
        <f>"001"</f>
        <v>001</v>
      </c>
      <c r="L596" t="s">
        <v>25</v>
      </c>
      <c r="M596" t="s">
        <v>26</v>
      </c>
      <c r="N596" t="s">
        <v>27</v>
      </c>
      <c r="O596" t="s">
        <v>525</v>
      </c>
      <c r="P596" t="str">
        <f t="shared" si="85"/>
        <v>2021130010222 ADECUACION CARTAGENA LIBRE DE UNA CULTURA MACHISTA CARTAGENA DE INDIAS CARTAGENA DE INDIAS</v>
      </c>
      <c r="Q596" t="str">
        <f t="shared" si="82"/>
        <v>06</v>
      </c>
      <c r="R596" t="str">
        <f t="shared" si="83"/>
        <v>00</v>
      </c>
      <c r="S596" s="1">
        <v>44000000</v>
      </c>
      <c r="T596" s="1">
        <v>0</v>
      </c>
      <c r="U596" s="1">
        <v>44000000</v>
      </c>
      <c r="V596" s="1">
        <v>44000000</v>
      </c>
      <c r="W596" s="1">
        <v>0</v>
      </c>
      <c r="X596" s="1">
        <v>43999930</v>
      </c>
      <c r="Y596" s="1">
        <v>100</v>
      </c>
      <c r="Z596" s="1">
        <v>35100000</v>
      </c>
      <c r="AA596" s="1">
        <v>79.77</v>
      </c>
      <c r="AB596" s="1">
        <v>70</v>
      </c>
      <c r="AC596" s="1">
        <v>35100000</v>
      </c>
    </row>
    <row r="597" spans="1:29" x14ac:dyDescent="0.3">
      <c r="A597">
        <v>2022</v>
      </c>
      <c r="B597">
        <v>100</v>
      </c>
      <c r="C597" t="str">
        <f>"21"</f>
        <v>21</v>
      </c>
      <c r="D597" t="s">
        <v>893</v>
      </c>
      <c r="E597" t="str">
        <f t="shared" si="84"/>
        <v>21 ESTABLECIMIENTO PUBLICO AMBIENTAL-EPA</v>
      </c>
      <c r="F597" s="2">
        <v>2021130010223</v>
      </c>
      <c r="G597" s="2" t="str">
        <f>+VLOOKUP(F597,Hoja2!$F:$I,2,FALSE)</f>
        <v>07. PILAR CARTAGENA RESILIENTE</v>
      </c>
      <c r="H597" s="2" t="str">
        <f>+VLOOKUP(F597,Hoja2!$F:$I,3,FALSE)</f>
        <v>7.1 LÍNEA ESTRATÉGICA: “SALVEMOS JUNTOS NUESTRO PATRIMONIO NATURAL”</v>
      </c>
      <c r="I597" s="2" t="str">
        <f>+VLOOKUP(F597,Hoja2!$F:$I,4,FALSE)</f>
        <v>7.1.4 INVESTIGACIÓN, EDUCACIÓN Y CULTURA AMBIENTAL (EDUCACIÓN Y CULTURA AMBIENTAL)</v>
      </c>
      <c r="J597" t="s">
        <v>925</v>
      </c>
      <c r="K597" t="str">
        <f>"063"</f>
        <v>063</v>
      </c>
      <c r="L597" t="s">
        <v>926</v>
      </c>
      <c r="M597" t="s">
        <v>26</v>
      </c>
      <c r="N597" t="s">
        <v>27</v>
      </c>
      <c r="O597" t="s">
        <v>927</v>
      </c>
      <c r="P597" t="str">
        <f t="shared" si="85"/>
        <v>2021130010223 FORTALECIMIENTO DE LA INVESTIGACION E INNOVACION PARA LA GESTION AMBIENTAL SOSTENIBLE EN EL DISTRITO DE  CARTAGENA DE INDIAS</v>
      </c>
      <c r="Q597" t="str">
        <f t="shared" si="82"/>
        <v>06</v>
      </c>
      <c r="R597" t="str">
        <f t="shared" si="83"/>
        <v>00</v>
      </c>
      <c r="S597" s="1">
        <v>1</v>
      </c>
      <c r="T597" s="1">
        <v>0</v>
      </c>
      <c r="U597" s="1">
        <v>1</v>
      </c>
      <c r="V597" s="1">
        <v>0</v>
      </c>
      <c r="W597" s="1">
        <v>1</v>
      </c>
      <c r="X597" s="1">
        <v>0</v>
      </c>
      <c r="Y597" s="1">
        <v>0</v>
      </c>
      <c r="Z597" s="1">
        <v>0</v>
      </c>
      <c r="AA597" s="1">
        <v>0</v>
      </c>
      <c r="AB597" s="1">
        <v>1</v>
      </c>
      <c r="AC597" s="1">
        <v>0</v>
      </c>
    </row>
    <row r="598" spans="1:29" x14ac:dyDescent="0.3">
      <c r="A598">
        <v>2022</v>
      </c>
      <c r="B598">
        <v>100</v>
      </c>
      <c r="C598" t="str">
        <f>"21"</f>
        <v>21</v>
      </c>
      <c r="D598" t="s">
        <v>893</v>
      </c>
      <c r="E598" t="str">
        <f t="shared" si="84"/>
        <v>21 ESTABLECIMIENTO PUBLICO AMBIENTAL-EPA</v>
      </c>
      <c r="F598" s="2">
        <v>2021130010223</v>
      </c>
      <c r="G598" s="2" t="str">
        <f>+VLOOKUP(F598,Hoja2!$F:$I,2,FALSE)</f>
        <v>07. PILAR CARTAGENA RESILIENTE</v>
      </c>
      <c r="H598" s="2" t="str">
        <f>+VLOOKUP(F598,Hoja2!$F:$I,3,FALSE)</f>
        <v>7.1 LÍNEA ESTRATÉGICA: “SALVEMOS JUNTOS NUESTRO PATRIMONIO NATURAL”</v>
      </c>
      <c r="I598" s="2" t="str">
        <f>+VLOOKUP(F598,Hoja2!$F:$I,4,FALSE)</f>
        <v>7.1.4 INVESTIGACIÓN, EDUCACIÓN Y CULTURA AMBIENTAL (EDUCACIÓN Y CULTURA AMBIENTAL)</v>
      </c>
      <c r="J598" t="s">
        <v>925</v>
      </c>
      <c r="K598" t="str">
        <f>"934"</f>
        <v>934</v>
      </c>
      <c r="L598" t="s">
        <v>932</v>
      </c>
      <c r="M598" t="s">
        <v>26</v>
      </c>
      <c r="N598" t="s">
        <v>27</v>
      </c>
      <c r="O598" t="s">
        <v>933</v>
      </c>
      <c r="P598" t="str">
        <f t="shared" si="85"/>
        <v>2021130010223 FORTALECIMIENTO DE LA INVESTIGACION E INNOVACION PARA LA GESTION AMBIENTAL SOSTENIBLE EN EL DISTRITO DE CARTAGENA DE INDIAS</v>
      </c>
      <c r="Q598" t="str">
        <f t="shared" si="82"/>
        <v>06</v>
      </c>
      <c r="R598" t="str">
        <f t="shared" si="83"/>
        <v>00</v>
      </c>
      <c r="S598" s="1">
        <v>0</v>
      </c>
      <c r="T598" s="1">
        <v>2879107.41</v>
      </c>
      <c r="U598" s="1">
        <v>2879107.41</v>
      </c>
      <c r="V598" s="1">
        <v>0</v>
      </c>
      <c r="W598" s="1">
        <v>2879107.41</v>
      </c>
      <c r="X598" s="1">
        <v>0</v>
      </c>
      <c r="Y598" s="1">
        <v>0</v>
      </c>
      <c r="Z598" s="1">
        <v>0</v>
      </c>
      <c r="AA598" s="1">
        <v>0</v>
      </c>
      <c r="AB598" s="1">
        <v>2879107.41</v>
      </c>
      <c r="AC598" s="1">
        <v>0</v>
      </c>
    </row>
    <row r="599" spans="1:29" x14ac:dyDescent="0.3">
      <c r="A599">
        <v>2022</v>
      </c>
      <c r="B599">
        <v>100</v>
      </c>
      <c r="C599" t="str">
        <f>"21"</f>
        <v>21</v>
      </c>
      <c r="D599" t="s">
        <v>893</v>
      </c>
      <c r="E599" t="str">
        <f t="shared" si="84"/>
        <v>21 ESTABLECIMIENTO PUBLICO AMBIENTAL-EPA</v>
      </c>
      <c r="F599" s="2">
        <v>2021130010223</v>
      </c>
      <c r="G599" s="2" t="str">
        <f>+VLOOKUP(F599,Hoja2!$F:$I,2,FALSE)</f>
        <v>07. PILAR CARTAGENA RESILIENTE</v>
      </c>
      <c r="H599" s="2" t="str">
        <f>+VLOOKUP(F599,Hoja2!$F:$I,3,FALSE)</f>
        <v>7.1 LÍNEA ESTRATÉGICA: “SALVEMOS JUNTOS NUESTRO PATRIMONIO NATURAL”</v>
      </c>
      <c r="I599" s="2" t="str">
        <f>+VLOOKUP(F599,Hoja2!$F:$I,4,FALSE)</f>
        <v>7.1.4 INVESTIGACIÓN, EDUCACIÓN Y CULTURA AMBIENTAL (EDUCACIÓN Y CULTURA AMBIENTAL)</v>
      </c>
      <c r="J599" t="s">
        <v>925</v>
      </c>
      <c r="K599" t="str">
        <f>"935"</f>
        <v>935</v>
      </c>
      <c r="L599" t="s">
        <v>895</v>
      </c>
      <c r="M599" t="s">
        <v>26</v>
      </c>
      <c r="N599" t="s">
        <v>27</v>
      </c>
      <c r="O599" t="s">
        <v>933</v>
      </c>
      <c r="P599" t="str">
        <f t="shared" si="85"/>
        <v>2021130010223 FORTALECIMIENTO DE LA INVESTIGACION E INNOVACION PARA LA GESTION AMBIENTAL SOSTENIBLE EN EL DISTRITO DE CARTAGENA DE INDIAS</v>
      </c>
      <c r="Q599" t="str">
        <f t="shared" si="82"/>
        <v>06</v>
      </c>
      <c r="R599" t="str">
        <f t="shared" si="83"/>
        <v>00</v>
      </c>
      <c r="S599" s="1">
        <v>0</v>
      </c>
      <c r="T599" s="1">
        <v>20000000</v>
      </c>
      <c r="U599" s="1">
        <v>20000000</v>
      </c>
      <c r="V599" s="1">
        <v>0</v>
      </c>
      <c r="W599" s="1">
        <v>20000000</v>
      </c>
      <c r="X599" s="1">
        <v>0</v>
      </c>
      <c r="Y599" s="1">
        <v>0</v>
      </c>
      <c r="Z599" s="1">
        <v>0</v>
      </c>
      <c r="AA599" s="1">
        <v>0</v>
      </c>
      <c r="AB599" s="1">
        <v>20000000</v>
      </c>
      <c r="AC599" s="1">
        <v>0</v>
      </c>
    </row>
    <row r="600" spans="1:29" x14ac:dyDescent="0.3">
      <c r="A600">
        <v>2022</v>
      </c>
      <c r="B600">
        <v>100</v>
      </c>
      <c r="C600" t="str">
        <f>"07"</f>
        <v>07</v>
      </c>
      <c r="D600" t="s">
        <v>399</v>
      </c>
      <c r="E600" t="str">
        <f t="shared" si="84"/>
        <v>07 SECRETARIA DE EDUCACION</v>
      </c>
      <c r="F600" s="2">
        <v>2021130010224</v>
      </c>
      <c r="G600" s="2" t="str">
        <f>+VLOOKUP(F600,Hoja2!$F:$I,2,FALSE)</f>
        <v>08. PILAR CARTAGENA INCLUYENTE</v>
      </c>
      <c r="H600" s="2" t="str">
        <f>+VLOOKUP(F600,Hoja2!$F:$I,3,FALSE)</f>
        <v>8.2 LÍNEA ESTRATEGICA DE EDUCACION: CULTURA DE LA FORMACION "CON LA EDUCACION PARA TODOS Y TODAS SALVAMOS JUNTOS A CARTAGENA"</v>
      </c>
      <c r="I600" s="2" t="str">
        <f>+VLOOKUP(F600,Hoja2!$F:$I,4,FALSE)</f>
        <v>8.2.5 PARTICIPACIÓN, DEMOCRACIA Y AUTONOMÍA</v>
      </c>
      <c r="J600" t="s">
        <v>473</v>
      </c>
      <c r="K600" t="str">
        <f>"001"</f>
        <v>001</v>
      </c>
      <c r="L600" t="s">
        <v>25</v>
      </c>
      <c r="M600" t="s">
        <v>26</v>
      </c>
      <c r="N600" t="s">
        <v>27</v>
      </c>
      <c r="O600" t="s">
        <v>474</v>
      </c>
      <c r="P600" t="str">
        <f t="shared" si="85"/>
        <v>2021130010224 FORTALECIMIENTO DE LA EDUCACION INTEGRAL DESDE LA PARTICIPACION, DEMOCRACIA Y AUTONOMIA  EN LAS INSTITUCIONES EDUCATIVAS OFICIALES DEL DISTRITO DE CARTAGENA?</v>
      </c>
      <c r="Q600" t="str">
        <f t="shared" si="82"/>
        <v>06</v>
      </c>
      <c r="R600" t="str">
        <f t="shared" si="83"/>
        <v>00</v>
      </c>
      <c r="S600" s="1">
        <v>945693727</v>
      </c>
      <c r="T600" s="1">
        <v>563000000</v>
      </c>
      <c r="U600" s="1">
        <v>1508693727</v>
      </c>
      <c r="V600" s="1">
        <v>1508156624</v>
      </c>
      <c r="W600" s="1">
        <v>537103</v>
      </c>
      <c r="X600" s="1">
        <v>1508156624</v>
      </c>
      <c r="Y600" s="1">
        <v>99.96</v>
      </c>
      <c r="Z600" s="1">
        <v>1475013291</v>
      </c>
      <c r="AA600" s="1">
        <v>97.77</v>
      </c>
      <c r="AB600" s="1">
        <v>537103</v>
      </c>
      <c r="AC600" s="1">
        <v>1445035970.7</v>
      </c>
    </row>
    <row r="601" spans="1:29" x14ac:dyDescent="0.3">
      <c r="A601">
        <v>2022</v>
      </c>
      <c r="B601">
        <v>100</v>
      </c>
      <c r="C601" t="str">
        <f>"08"</f>
        <v>08</v>
      </c>
      <c r="D601" t="s">
        <v>479</v>
      </c>
      <c r="E601" t="str">
        <f t="shared" si="84"/>
        <v>08 SECRETARIA DE PARTICIPACION Y DESARROLLO SOCIAL</v>
      </c>
      <c r="F601" s="2">
        <v>2021130010225</v>
      </c>
      <c r="G601" s="2" t="str">
        <f>+VLOOKUP(F601,Hoja2!$F:$I,2,FALSE)</f>
        <v>07. PILAR CARTAGENA RESILIENTE</v>
      </c>
      <c r="H601" s="2" t="str">
        <f>+VLOOKUP(F601,Hoja2!$F:$I,3,FALSE)</f>
        <v>7.1 LÍNEA ESTRATÉGICA: “SALVEMOS JUNTOS NUESTRO PATRIMONIO NATURAL”</v>
      </c>
      <c r="I601" s="2" t="str">
        <f>+VLOOKUP(F601,Hoja2!$F:$I,4,FALSE)</f>
        <v>7.1.8 BIENESTAR Y PROTECCIÓN ANIMAL</v>
      </c>
      <c r="J601" t="s">
        <v>508</v>
      </c>
      <c r="K601" t="str">
        <f>"001"</f>
        <v>001</v>
      </c>
      <c r="L601" t="s">
        <v>25</v>
      </c>
      <c r="M601" t="s">
        <v>26</v>
      </c>
      <c r="N601" t="s">
        <v>27</v>
      </c>
      <c r="O601" t="s">
        <v>509</v>
      </c>
      <c r="P601" t="str">
        <f t="shared" si="85"/>
        <v>2021130010225 ELABORACION POLITICA PUBLICA Y REGLAMENTACION PROYECTOS PROTECCION ANIMAL CARTAGENA DE INDIAS</v>
      </c>
      <c r="Q601" t="str">
        <f t="shared" si="82"/>
        <v>06</v>
      </c>
      <c r="R601" t="str">
        <f t="shared" si="83"/>
        <v>00</v>
      </c>
      <c r="S601" s="1">
        <v>15000000</v>
      </c>
      <c r="T601" s="1">
        <v>0</v>
      </c>
      <c r="U601" s="1">
        <v>15000000</v>
      </c>
      <c r="V601" s="1">
        <v>15000000</v>
      </c>
      <c r="W601" s="1">
        <v>0</v>
      </c>
      <c r="X601" s="1">
        <v>15000000</v>
      </c>
      <c r="Y601" s="1">
        <v>100</v>
      </c>
      <c r="Z601" s="1">
        <v>14999999.98</v>
      </c>
      <c r="AA601" s="1">
        <v>100</v>
      </c>
      <c r="AB601" s="1">
        <v>0</v>
      </c>
      <c r="AC601" s="1">
        <v>14999999.98</v>
      </c>
    </row>
    <row r="602" spans="1:29" x14ac:dyDescent="0.3">
      <c r="A602">
        <v>2022</v>
      </c>
      <c r="B602">
        <v>100</v>
      </c>
      <c r="C602" t="str">
        <f t="shared" ref="C602:C608" si="86">"07"</f>
        <v>07</v>
      </c>
      <c r="D602" t="s">
        <v>399</v>
      </c>
      <c r="E602" t="str">
        <f t="shared" si="84"/>
        <v>07 SECRETARIA DE EDUCACION</v>
      </c>
      <c r="F602" s="2">
        <v>2021130010226</v>
      </c>
      <c r="G602" s="2" t="str">
        <f>+VLOOKUP(F602,Hoja2!$F:$I,2,FALSE)</f>
        <v>08. PILAR CARTAGENA INCLUYENTE</v>
      </c>
      <c r="H602" s="2" t="str">
        <f>+VLOOKUP(F602,Hoja2!$F:$I,3,FALSE)</f>
        <v>8.2 LÍNEA ESTRATEGICA DE EDUCACION: CULTURA DE LA FORMACION "CON LA EDUCACION PARA TODOS Y TODAS SALVAMOS JUNTOS A CARTAGENA"</v>
      </c>
      <c r="I602" s="2" t="str">
        <f>+VLOOKUP(F602,Hoja2!$F:$I,4,FALSE)</f>
        <v>8.2.6 DE EDUCACIÓN MEDIANA A TRAVÉS DE TECNOLOGÍAS DE LA INFORMACIÓN Y LAS COMUNICACIONES-TIC´S</v>
      </c>
      <c r="J602" t="s">
        <v>407</v>
      </c>
      <c r="K602" t="str">
        <f>"908"</f>
        <v>908</v>
      </c>
      <c r="L602" t="s">
        <v>403</v>
      </c>
      <c r="M602" t="s">
        <v>26</v>
      </c>
      <c r="N602" t="s">
        <v>27</v>
      </c>
      <c r="O602" t="s">
        <v>408</v>
      </c>
      <c r="P602" t="str">
        <f t="shared" si="85"/>
        <v>2021130010226 TRANSFORMACION DEL APRENDIZAJE, INSPIRANDO, CREANDO Y DISE?ANDO CON LAS TECNOLOGIAS DE LA INFORMACION Y LAS COMUNICACIOONES EN LAS IEO Y SED DEL DISTRITO DE CARTAGENA DE INDIAS</v>
      </c>
      <c r="Q602" t="str">
        <f t="shared" si="82"/>
        <v>06</v>
      </c>
      <c r="R602" t="str">
        <f t="shared" si="83"/>
        <v>00</v>
      </c>
      <c r="S602" s="1">
        <v>0</v>
      </c>
      <c r="T602" s="1">
        <v>0</v>
      </c>
      <c r="U602" s="1">
        <v>0</v>
      </c>
      <c r="V602" s="1">
        <v>0</v>
      </c>
      <c r="W602" s="1">
        <v>0</v>
      </c>
      <c r="X602" s="1">
        <v>0</v>
      </c>
      <c r="Y602" s="1">
        <v>0</v>
      </c>
      <c r="Z602" s="1">
        <v>0</v>
      </c>
      <c r="AA602" s="1">
        <v>0</v>
      </c>
      <c r="AB602" s="1">
        <v>0</v>
      </c>
      <c r="AC602" s="1">
        <v>0</v>
      </c>
    </row>
    <row r="603" spans="1:29" x14ac:dyDescent="0.3">
      <c r="A603">
        <v>2022</v>
      </c>
      <c r="B603">
        <v>100</v>
      </c>
      <c r="C603" t="str">
        <f t="shared" si="86"/>
        <v>07</v>
      </c>
      <c r="D603" t="s">
        <v>399</v>
      </c>
      <c r="E603" t="str">
        <f t="shared" si="84"/>
        <v>07 SECRETARIA DE EDUCACION</v>
      </c>
      <c r="F603" s="2">
        <v>2021130010226</v>
      </c>
      <c r="G603" s="2" t="str">
        <f>+VLOOKUP(F603,Hoja2!$F:$I,2,FALSE)</f>
        <v>08. PILAR CARTAGENA INCLUYENTE</v>
      </c>
      <c r="H603" s="2" t="str">
        <f>+VLOOKUP(F603,Hoja2!$F:$I,3,FALSE)</f>
        <v>8.2 LÍNEA ESTRATEGICA DE EDUCACION: CULTURA DE LA FORMACION "CON LA EDUCACION PARA TODOS Y TODAS SALVAMOS JUNTOS A CARTAGENA"</v>
      </c>
      <c r="I603" s="2" t="str">
        <f>+VLOOKUP(F603,Hoja2!$F:$I,4,FALSE)</f>
        <v>8.2.6 DE EDUCACIÓN MEDIANA A TRAVÉS DE TECNOLOGÍAS DE LA INFORMACIÓN Y LAS COMUNICACIONES-TIC´S</v>
      </c>
      <c r="J603" t="s">
        <v>407</v>
      </c>
      <c r="K603" t="str">
        <f>"901"</f>
        <v>901</v>
      </c>
      <c r="L603" t="s">
        <v>435</v>
      </c>
      <c r="M603" t="s">
        <v>26</v>
      </c>
      <c r="N603" t="s">
        <v>27</v>
      </c>
      <c r="O603" t="s">
        <v>408</v>
      </c>
      <c r="P603" t="str">
        <f t="shared" si="85"/>
        <v>2021130010226 TRANSFORMACION DEL APRENDIZAJE, INSPIRANDO, CREANDO Y DISE?ANDO CON LAS TECNOLOGIAS DE LA INFORMACION Y LAS COMUNICACIOONES EN LAS IEO Y SED DEL DISTRITO DE CARTAGENA DE INDIAS</v>
      </c>
      <c r="Q603" t="str">
        <f t="shared" si="82"/>
        <v>06</v>
      </c>
      <c r="R603" t="str">
        <f t="shared" si="83"/>
        <v>00</v>
      </c>
      <c r="S603" s="1">
        <v>0</v>
      </c>
      <c r="T603" s="1">
        <v>330597760</v>
      </c>
      <c r="U603" s="1">
        <v>330597760</v>
      </c>
      <c r="V603" s="1">
        <v>330597760</v>
      </c>
      <c r="W603" s="1">
        <v>0</v>
      </c>
      <c r="X603" s="1">
        <v>0</v>
      </c>
      <c r="Y603" s="1">
        <v>0</v>
      </c>
      <c r="Z603" s="1">
        <v>0</v>
      </c>
      <c r="AA603" s="1">
        <v>0</v>
      </c>
      <c r="AB603" s="1">
        <v>330597760</v>
      </c>
      <c r="AC603" s="1">
        <v>0</v>
      </c>
    </row>
    <row r="604" spans="1:29" x14ac:dyDescent="0.3">
      <c r="A604">
        <v>2022</v>
      </c>
      <c r="B604">
        <v>100</v>
      </c>
      <c r="C604" t="str">
        <f t="shared" si="86"/>
        <v>07</v>
      </c>
      <c r="D604" t="s">
        <v>399</v>
      </c>
      <c r="E604" t="str">
        <f t="shared" si="84"/>
        <v>07 SECRETARIA DE EDUCACION</v>
      </c>
      <c r="F604" s="2">
        <v>2021130010226</v>
      </c>
      <c r="G604" s="2" t="str">
        <f>+VLOOKUP(F604,Hoja2!$F:$I,2,FALSE)</f>
        <v>08. PILAR CARTAGENA INCLUYENTE</v>
      </c>
      <c r="H604" s="2" t="str">
        <f>+VLOOKUP(F604,Hoja2!$F:$I,3,FALSE)</f>
        <v>8.2 LÍNEA ESTRATEGICA DE EDUCACION: CULTURA DE LA FORMACION "CON LA EDUCACION PARA TODOS Y TODAS SALVAMOS JUNTOS A CARTAGENA"</v>
      </c>
      <c r="I604" s="2" t="str">
        <f>+VLOOKUP(F604,Hoja2!$F:$I,4,FALSE)</f>
        <v>8.2.6 DE EDUCACIÓN MEDIANA A TRAVÉS DE TECNOLOGÍAS DE LA INFORMACIÓN Y LAS COMUNICACIONES-TIC´S</v>
      </c>
      <c r="J604" t="s">
        <v>407</v>
      </c>
      <c r="K604" t="str">
        <f>"071"</f>
        <v>071</v>
      </c>
      <c r="L604" t="s">
        <v>449</v>
      </c>
      <c r="M604" t="s">
        <v>26</v>
      </c>
      <c r="N604" t="s">
        <v>27</v>
      </c>
      <c r="O604" t="s">
        <v>408</v>
      </c>
      <c r="P604" t="str">
        <f t="shared" si="85"/>
        <v>2021130010226 TRANSFORMACION DEL APRENDIZAJE, INSPIRANDO, CREANDO Y DISE?ANDO CON LAS TECNOLOGIAS DE LA INFORMACION Y LAS COMUNICACIOONES EN LAS IEO Y SED DEL DISTRITO DE CARTAGENA DE INDIAS</v>
      </c>
      <c r="Q604" t="str">
        <f t="shared" si="82"/>
        <v>06</v>
      </c>
      <c r="R604" t="str">
        <f t="shared" si="83"/>
        <v>00</v>
      </c>
      <c r="S604" s="1">
        <v>2459416000</v>
      </c>
      <c r="T604" s="1">
        <v>-775999430</v>
      </c>
      <c r="U604" s="1">
        <v>1683416570</v>
      </c>
      <c r="V604" s="1">
        <v>1682914029.6300001</v>
      </c>
      <c r="W604" s="1">
        <v>502540.37</v>
      </c>
      <c r="X604" s="1">
        <v>635460000</v>
      </c>
      <c r="Y604" s="1">
        <v>37.75</v>
      </c>
      <c r="Z604" s="1">
        <v>393393220</v>
      </c>
      <c r="AA604" s="1">
        <v>23.37</v>
      </c>
      <c r="AB604" s="1">
        <v>1047956570</v>
      </c>
      <c r="AC604" s="1">
        <v>128303959</v>
      </c>
    </row>
    <row r="605" spans="1:29" x14ac:dyDescent="0.3">
      <c r="A605">
        <v>2022</v>
      </c>
      <c r="B605">
        <v>100</v>
      </c>
      <c r="C605" t="str">
        <f t="shared" si="86"/>
        <v>07</v>
      </c>
      <c r="D605" t="s">
        <v>399</v>
      </c>
      <c r="E605" t="str">
        <f t="shared" si="84"/>
        <v>07 SECRETARIA DE EDUCACION</v>
      </c>
      <c r="F605" s="2">
        <v>2021130010226</v>
      </c>
      <c r="G605" s="2" t="str">
        <f>+VLOOKUP(F605,Hoja2!$F:$I,2,FALSE)</f>
        <v>08. PILAR CARTAGENA INCLUYENTE</v>
      </c>
      <c r="H605" s="2" t="str">
        <f>+VLOOKUP(F605,Hoja2!$F:$I,3,FALSE)</f>
        <v>8.2 LÍNEA ESTRATEGICA DE EDUCACION: CULTURA DE LA FORMACION "CON LA EDUCACION PARA TODOS Y TODAS SALVAMOS JUNTOS A CARTAGENA"</v>
      </c>
      <c r="I605" s="2" t="str">
        <f>+VLOOKUP(F605,Hoja2!$F:$I,4,FALSE)</f>
        <v>8.2.6 DE EDUCACIÓN MEDIANA A TRAVÉS DE TECNOLOGÍAS DE LA INFORMACIÓN Y LAS COMUNICACIONES-TIC´S</v>
      </c>
      <c r="J605" t="s">
        <v>407</v>
      </c>
      <c r="K605" t="str">
        <f>"001"</f>
        <v>001</v>
      </c>
      <c r="L605" t="s">
        <v>25</v>
      </c>
      <c r="M605" t="s">
        <v>26</v>
      </c>
      <c r="N605" t="s">
        <v>27</v>
      </c>
      <c r="O605" t="s">
        <v>408</v>
      </c>
      <c r="P605" t="str">
        <f t="shared" si="85"/>
        <v>2021130010226 TRANSFORMACION DEL APRENDIZAJE, INSPIRANDO, CREANDO Y DISE?ANDO CON LAS TECNOLOGIAS DE LA INFORMACION Y LAS COMUNICACIOONES EN LAS IEO Y SED DEL DISTRITO DE CARTAGENA DE INDIAS</v>
      </c>
      <c r="Q605" t="str">
        <f t="shared" si="82"/>
        <v>06</v>
      </c>
      <c r="R605" t="str">
        <f t="shared" si="83"/>
        <v>00</v>
      </c>
      <c r="S605" s="1">
        <v>711035700</v>
      </c>
      <c r="T605" s="1">
        <v>1533520000</v>
      </c>
      <c r="U605" s="1">
        <v>2244555700</v>
      </c>
      <c r="V605" s="1">
        <v>2222672001</v>
      </c>
      <c r="W605" s="1">
        <v>21883699</v>
      </c>
      <c r="X605" s="1">
        <v>625052001</v>
      </c>
      <c r="Y605" s="1">
        <v>27.85</v>
      </c>
      <c r="Z605" s="1">
        <v>625052001</v>
      </c>
      <c r="AA605" s="1">
        <v>27.85</v>
      </c>
      <c r="AB605" s="1">
        <v>1619503699</v>
      </c>
      <c r="AC605" s="1">
        <v>625052001</v>
      </c>
    </row>
    <row r="606" spans="1:29" x14ac:dyDescent="0.3">
      <c r="A606">
        <v>2022</v>
      </c>
      <c r="B606">
        <v>100</v>
      </c>
      <c r="C606" t="str">
        <f t="shared" si="86"/>
        <v>07</v>
      </c>
      <c r="D606" t="s">
        <v>399</v>
      </c>
      <c r="E606" t="str">
        <f t="shared" si="84"/>
        <v>07 SECRETARIA DE EDUCACION</v>
      </c>
      <c r="F606" s="2">
        <v>2021130010227</v>
      </c>
      <c r="G606" s="2" t="str">
        <f>+VLOOKUP(F606,Hoja2!$F:$I,2,FALSE)</f>
        <v>08. PILAR CARTAGENA INCLUYENTE</v>
      </c>
      <c r="H606" s="2" t="str">
        <f>+VLOOKUP(F606,Hoja2!$F:$I,3,FALSE)</f>
        <v>8.2 LÍNEA ESTRATEGICA DE EDUCACION: CULTURA DE LA FORMACION "CON LA EDUCACION PARA TODOS Y TODAS SALVAMOS JUNTOS A CARTAGENA"</v>
      </c>
      <c r="I606" s="2" t="str">
        <f>+VLOOKUP(F606,Hoja2!$F:$I,4,FALSE)</f>
        <v>8.2.4 DESARROLLO DE POTENCIALIDADES</v>
      </c>
      <c r="J606" t="s">
        <v>427</v>
      </c>
      <c r="K606" t="str">
        <f>"171"</f>
        <v>171</v>
      </c>
      <c r="L606" t="s">
        <v>423</v>
      </c>
      <c r="M606" t="s">
        <v>26</v>
      </c>
      <c r="N606" t="s">
        <v>27</v>
      </c>
      <c r="O606" t="s">
        <v>428</v>
      </c>
      <c r="P606" t="str">
        <f t="shared" si="85"/>
        <v>2021130010227 FORTALECIMIENTO DE LOS PROCESOS FORMATIVOS EN LAS INSTITUCIONES EDUCATIVAS OFICIALES DEL DISTRITO DE CARTAGENA: DESARROLLO DE POTENCIALIDADES</v>
      </c>
      <c r="Q606" t="str">
        <f t="shared" si="82"/>
        <v>06</v>
      </c>
      <c r="R606" t="str">
        <f t="shared" si="83"/>
        <v>00</v>
      </c>
      <c r="S606" s="1">
        <v>4020000000</v>
      </c>
      <c r="T606" s="1">
        <v>-3387562090</v>
      </c>
      <c r="U606" s="1">
        <v>632437910</v>
      </c>
      <c r="V606" s="1">
        <v>627224218</v>
      </c>
      <c r="W606" s="1">
        <v>5213692</v>
      </c>
      <c r="X606" s="1">
        <v>491236585</v>
      </c>
      <c r="Y606" s="1">
        <v>77.67</v>
      </c>
      <c r="Z606" s="1">
        <v>491236585</v>
      </c>
      <c r="AA606" s="1">
        <v>77.67</v>
      </c>
      <c r="AB606" s="1">
        <v>141201325</v>
      </c>
      <c r="AC606" s="1">
        <v>220000000</v>
      </c>
    </row>
    <row r="607" spans="1:29" x14ac:dyDescent="0.3">
      <c r="A607">
        <v>2022</v>
      </c>
      <c r="B607">
        <v>100</v>
      </c>
      <c r="C607" t="str">
        <f t="shared" si="86"/>
        <v>07</v>
      </c>
      <c r="D607" t="s">
        <v>399</v>
      </c>
      <c r="E607" t="str">
        <f t="shared" si="84"/>
        <v>07 SECRETARIA DE EDUCACION</v>
      </c>
      <c r="F607" s="2">
        <v>2021130010227</v>
      </c>
      <c r="G607" s="2" t="str">
        <f>+VLOOKUP(F607,Hoja2!$F:$I,2,FALSE)</f>
        <v>08. PILAR CARTAGENA INCLUYENTE</v>
      </c>
      <c r="H607" s="2" t="str">
        <f>+VLOOKUP(F607,Hoja2!$F:$I,3,FALSE)</f>
        <v>8.2 LÍNEA ESTRATEGICA DE EDUCACION: CULTURA DE LA FORMACION "CON LA EDUCACION PARA TODOS Y TODAS SALVAMOS JUNTOS A CARTAGENA"</v>
      </c>
      <c r="I607" s="2" t="str">
        <f>+VLOOKUP(F607,Hoja2!$F:$I,4,FALSE)</f>
        <v>8.2.4 DESARROLLO DE POTENCIALIDADES</v>
      </c>
      <c r="J607" t="s">
        <v>427</v>
      </c>
      <c r="K607" t="str">
        <f>"901"</f>
        <v>901</v>
      </c>
      <c r="L607" t="s">
        <v>435</v>
      </c>
      <c r="M607" t="s">
        <v>26</v>
      </c>
      <c r="N607" t="s">
        <v>27</v>
      </c>
      <c r="O607" t="s">
        <v>428</v>
      </c>
      <c r="P607" t="str">
        <f t="shared" si="85"/>
        <v>2021130010227 FORTALECIMIENTO DE LOS PROCESOS FORMATIVOS EN LAS INSTITUCIONES EDUCATIVAS OFICIALES DEL DISTRITO DE CARTAGENA: DESARROLLO DE POTENCIALIDADES</v>
      </c>
      <c r="Q607" t="str">
        <f t="shared" si="82"/>
        <v>06</v>
      </c>
      <c r="R607" t="str">
        <f t="shared" si="83"/>
        <v>00</v>
      </c>
      <c r="S607" s="1">
        <v>0</v>
      </c>
      <c r="T607" s="1">
        <v>293146534</v>
      </c>
      <c r="U607" s="1">
        <v>293146534</v>
      </c>
      <c r="V607" s="1">
        <v>293146534</v>
      </c>
      <c r="W607" s="1">
        <v>0</v>
      </c>
      <c r="X607" s="1">
        <v>293146534</v>
      </c>
      <c r="Y607" s="1">
        <v>100</v>
      </c>
      <c r="Z607" s="1">
        <v>293146534</v>
      </c>
      <c r="AA607" s="1">
        <v>100</v>
      </c>
      <c r="AB607" s="1">
        <v>0</v>
      </c>
      <c r="AC607" s="1">
        <v>0</v>
      </c>
    </row>
    <row r="608" spans="1:29" x14ac:dyDescent="0.3">
      <c r="A608">
        <v>2022</v>
      </c>
      <c r="B608">
        <v>100</v>
      </c>
      <c r="C608" t="str">
        <f t="shared" si="86"/>
        <v>07</v>
      </c>
      <c r="D608" t="s">
        <v>399</v>
      </c>
      <c r="E608" t="str">
        <f t="shared" si="84"/>
        <v>07 SECRETARIA DE EDUCACION</v>
      </c>
      <c r="F608" s="2">
        <v>2021130010227</v>
      </c>
      <c r="G608" s="2" t="str">
        <f>+VLOOKUP(F608,Hoja2!$F:$I,2,FALSE)</f>
        <v>08. PILAR CARTAGENA INCLUYENTE</v>
      </c>
      <c r="H608" s="2" t="str">
        <f>+VLOOKUP(F608,Hoja2!$F:$I,3,FALSE)</f>
        <v>8.2 LÍNEA ESTRATEGICA DE EDUCACION: CULTURA DE LA FORMACION "CON LA EDUCACION PARA TODOS Y TODAS SALVAMOS JUNTOS A CARTAGENA"</v>
      </c>
      <c r="I608" s="2" t="str">
        <f>+VLOOKUP(F608,Hoja2!$F:$I,4,FALSE)</f>
        <v>8.2.4 DESARROLLO DE POTENCIALIDADES</v>
      </c>
      <c r="J608" t="s">
        <v>427</v>
      </c>
      <c r="K608" t="str">
        <f>"001"</f>
        <v>001</v>
      </c>
      <c r="L608" t="s">
        <v>25</v>
      </c>
      <c r="M608" t="s">
        <v>26</v>
      </c>
      <c r="N608" t="s">
        <v>27</v>
      </c>
      <c r="O608" t="s">
        <v>428</v>
      </c>
      <c r="P608" t="str">
        <f t="shared" si="85"/>
        <v>2021130010227 FORTALECIMIENTO DE LOS PROCESOS FORMATIVOS EN LAS INSTITUCIONES EDUCATIVAS OFICIALES DEL DISTRITO DE CARTAGENA: DESARROLLO DE POTENCIALIDADES</v>
      </c>
      <c r="Q608" t="str">
        <f t="shared" si="82"/>
        <v>06</v>
      </c>
      <c r="R608" t="str">
        <f t="shared" si="83"/>
        <v>00</v>
      </c>
      <c r="S608" s="1">
        <v>88000000</v>
      </c>
      <c r="T608" s="1">
        <v>0</v>
      </c>
      <c r="U608" s="1">
        <v>88000000</v>
      </c>
      <c r="V608" s="1">
        <v>82500000</v>
      </c>
      <c r="W608" s="1">
        <v>5500000</v>
      </c>
      <c r="X608" s="1">
        <v>82500000</v>
      </c>
      <c r="Y608" s="1">
        <v>93.75</v>
      </c>
      <c r="Z608" s="1">
        <v>82500000</v>
      </c>
      <c r="AA608" s="1">
        <v>93.75</v>
      </c>
      <c r="AB608" s="1">
        <v>5500000</v>
      </c>
      <c r="AC608" s="1">
        <v>79000000</v>
      </c>
    </row>
    <row r="609" spans="1:29" x14ac:dyDescent="0.3">
      <c r="A609">
        <v>2022</v>
      </c>
      <c r="B609">
        <v>100</v>
      </c>
      <c r="C609" t="str">
        <f>"08"</f>
        <v>08</v>
      </c>
      <c r="D609" t="s">
        <v>479</v>
      </c>
      <c r="E609" t="str">
        <f t="shared" si="84"/>
        <v>08 SECRETARIA DE PARTICIPACION Y DESARROLLO SOCIAL</v>
      </c>
      <c r="F609" s="2">
        <v>2021130010228</v>
      </c>
      <c r="G609" s="2" t="str">
        <f>+VLOOKUP(F609,Hoja2!$F:$I,2,FALSE)</f>
        <v>11. EJE TRANSVERSAL: CARTAGENA CON ATENCION Y GARANTIA DE DERECHOS A POBLACION DIFERENCIAL.</v>
      </c>
      <c r="H609" s="2" t="str">
        <f>+VLOOKUP(F609,Hoja2!$F:$I,3,FALSE)</f>
        <v>11.2 LÍNEA ESTRATÉGICA MUJERES CARTAGENERAS POR SUS DERECHOS.</v>
      </c>
      <c r="I609" s="2" t="str">
        <f>+VLOOKUP(F609,Hoja2!$F:$I,4,FALSE)</f>
        <v>11.2.2 PROGRAMA: UNA VIDA LIBRE DE VIOLENCIAS PARA LAS MUJERES</v>
      </c>
      <c r="J609" t="s">
        <v>498</v>
      </c>
      <c r="K609" t="str">
        <f>"001"</f>
        <v>001</v>
      </c>
      <c r="L609" t="s">
        <v>25</v>
      </c>
      <c r="M609" t="s">
        <v>26</v>
      </c>
      <c r="N609" t="s">
        <v>27</v>
      </c>
      <c r="O609" t="s">
        <v>499</v>
      </c>
      <c r="P609" t="str">
        <f t="shared" si="85"/>
        <v>2021130010228 ACTUALIZACION MUJERES CONSTRUCTORAS DE PAZ-0  CARTAGENA DE INDIAS</v>
      </c>
      <c r="Q609" t="str">
        <f t="shared" si="82"/>
        <v>06</v>
      </c>
      <c r="R609" t="str">
        <f t="shared" si="83"/>
        <v>00</v>
      </c>
      <c r="S609" s="1">
        <v>65000000</v>
      </c>
      <c r="T609" s="1">
        <v>0</v>
      </c>
      <c r="U609" s="1">
        <v>65000000</v>
      </c>
      <c r="V609" s="1">
        <v>64997800</v>
      </c>
      <c r="W609" s="1">
        <v>2200</v>
      </c>
      <c r="X609" s="1">
        <v>16500000</v>
      </c>
      <c r="Y609" s="1">
        <v>25.38</v>
      </c>
      <c r="Z609" s="1">
        <v>16500000</v>
      </c>
      <c r="AA609" s="1">
        <v>25.38</v>
      </c>
      <c r="AB609" s="1">
        <v>48500000</v>
      </c>
      <c r="AC609" s="1">
        <v>16500000</v>
      </c>
    </row>
    <row r="610" spans="1:29" x14ac:dyDescent="0.3">
      <c r="A610">
        <v>2022</v>
      </c>
      <c r="B610">
        <v>100</v>
      </c>
      <c r="C610" t="str">
        <f>"08"</f>
        <v>08</v>
      </c>
      <c r="D610" t="s">
        <v>479</v>
      </c>
      <c r="E610" t="str">
        <f t="shared" si="84"/>
        <v>08 SECRETARIA DE PARTICIPACION Y DESARROLLO SOCIAL</v>
      </c>
      <c r="F610" s="2">
        <v>2021130010229</v>
      </c>
      <c r="G610" s="2" t="str">
        <f>+VLOOKUP(F610,Hoja2!$F:$I,2,FALSE)</f>
        <v>11. EJE TRANSVERSAL: CARTAGENA CON ATENCION Y GARANTIA DE DERECHOS A POBLACION DIFERENCIAL.</v>
      </c>
      <c r="H610" s="2" t="str">
        <f>+VLOOKUP(F610,Hoja2!$F:$I,3,FALSE)</f>
        <v>11.2 LÍNEA ESTRATÉGICA MUJERES CARTAGENERAS POR SUS DERECHOS.</v>
      </c>
      <c r="I610" s="2" t="str">
        <f>+VLOOKUP(F610,Hoja2!$F:$I,4,FALSE)</f>
        <v>11.2.3 PROGRAMA: MUJER, CONSTRUCTORAS DE PAZ</v>
      </c>
      <c r="J610" t="s">
        <v>550</v>
      </c>
      <c r="K610" t="str">
        <f>"001"</f>
        <v>001</v>
      </c>
      <c r="L610" t="s">
        <v>25</v>
      </c>
      <c r="M610" t="s">
        <v>26</v>
      </c>
      <c r="N610" t="s">
        <v>27</v>
      </c>
      <c r="O610" t="s">
        <v>551</v>
      </c>
      <c r="P610" t="str">
        <f t="shared" si="85"/>
        <v>2021130010229 ACTUALIZACION UNA VIDA LIBRE DE VIOLENCIAS PARA LAS MUJERES  CARTAGENA DE INDIAS</v>
      </c>
      <c r="Q610" t="str">
        <f t="shared" si="82"/>
        <v>06</v>
      </c>
      <c r="R610" t="str">
        <f t="shared" si="83"/>
        <v>00</v>
      </c>
      <c r="S610" s="1">
        <v>290000000</v>
      </c>
      <c r="T610" s="1">
        <v>54000000</v>
      </c>
      <c r="U610" s="1">
        <v>344000000</v>
      </c>
      <c r="V610" s="1">
        <v>343287378</v>
      </c>
      <c r="W610" s="1">
        <v>712622</v>
      </c>
      <c r="X610" s="1">
        <v>342718829</v>
      </c>
      <c r="Y610" s="1">
        <v>99.63</v>
      </c>
      <c r="Z610" s="1">
        <v>166740000</v>
      </c>
      <c r="AA610" s="1">
        <v>48.47</v>
      </c>
      <c r="AB610" s="1">
        <v>1281171</v>
      </c>
      <c r="AC610" s="1">
        <v>166740000</v>
      </c>
    </row>
    <row r="611" spans="1:29" x14ac:dyDescent="0.3">
      <c r="A611">
        <v>2022</v>
      </c>
      <c r="B611">
        <v>100</v>
      </c>
      <c r="C611" t="str">
        <f t="shared" ref="C611:C616" si="87">"15"</f>
        <v>15</v>
      </c>
      <c r="D611" t="s">
        <v>793</v>
      </c>
      <c r="E611" t="str">
        <f t="shared" si="84"/>
        <v>15 INSTITUTO DE DEPORTE Y RECREACION</v>
      </c>
      <c r="F611" s="2">
        <v>2021130010230</v>
      </c>
      <c r="G611" s="2" t="str">
        <f>+VLOOKUP(F611,Hoja2!$F:$I,2,FALSE)</f>
        <v>08. PILAR CARTAGENA INCLUYENTE</v>
      </c>
      <c r="H611" s="2" t="str">
        <f>+VLOOKUP(F611,Hoja2!$F:$I,3,FALSE)</f>
        <v xml:space="preserve">8.4 LÍNEA ESTRATÉGICA DEPORTE Y RECREACIÓN PARA LA TRANSFORMACION SOCIAL </v>
      </c>
      <c r="I611" s="2" t="str">
        <f>+VLOOKUP(F611,Hoja2!$F:$I,4,FALSE)</f>
        <v>8.4.5 RECREACION COMUNITARIA "RECREATE CARTAGENA"</v>
      </c>
      <c r="J611" t="s">
        <v>811</v>
      </c>
      <c r="K611" t="str">
        <f>"918"</f>
        <v>918</v>
      </c>
      <c r="L611" t="s">
        <v>807</v>
      </c>
      <c r="M611" t="s">
        <v>26</v>
      </c>
      <c r="N611" t="s">
        <v>27</v>
      </c>
      <c r="O611" t="s">
        <v>812</v>
      </c>
      <c r="P611" t="str">
        <f t="shared" si="85"/>
        <v>2021130010230 RECREACION COMUNITARIA Y APROVECHAMIENTO DEL TIEMPO LIBRE, COMO MECANISMO DE COHESION E INTEGRACION SOCIAL EN EL DISTRITO DE   CARTAGENA DE INDIAS</v>
      </c>
      <c r="Q611" t="str">
        <f t="shared" si="82"/>
        <v>06</v>
      </c>
      <c r="R611" t="str">
        <f t="shared" si="83"/>
        <v>00</v>
      </c>
      <c r="S611" s="1">
        <v>0</v>
      </c>
      <c r="T611" s="1">
        <v>228599327.72</v>
      </c>
      <c r="U611" s="1">
        <v>228599327.72</v>
      </c>
      <c r="V611" s="1">
        <v>0</v>
      </c>
      <c r="W611" s="1">
        <v>228599327.72</v>
      </c>
      <c r="X611" s="1">
        <v>0</v>
      </c>
      <c r="Y611" s="1">
        <v>0</v>
      </c>
      <c r="Z611" s="1">
        <v>0</v>
      </c>
      <c r="AA611" s="1">
        <v>0</v>
      </c>
      <c r="AB611" s="1">
        <v>228599327.72</v>
      </c>
      <c r="AC611" s="1">
        <v>0</v>
      </c>
    </row>
    <row r="612" spans="1:29" x14ac:dyDescent="0.3">
      <c r="A612">
        <v>2022</v>
      </c>
      <c r="B612">
        <v>100</v>
      </c>
      <c r="C612" t="str">
        <f t="shared" si="87"/>
        <v>15</v>
      </c>
      <c r="D612" t="s">
        <v>793</v>
      </c>
      <c r="E612" t="str">
        <f t="shared" si="84"/>
        <v>15 INSTITUTO DE DEPORTE Y RECREACION</v>
      </c>
      <c r="F612" s="2">
        <v>2021130010230</v>
      </c>
      <c r="G612" s="2" t="str">
        <f>+VLOOKUP(F612,Hoja2!$F:$I,2,FALSE)</f>
        <v>08. PILAR CARTAGENA INCLUYENTE</v>
      </c>
      <c r="H612" s="2" t="str">
        <f>+VLOOKUP(F612,Hoja2!$F:$I,3,FALSE)</f>
        <v xml:space="preserve">8.4 LÍNEA ESTRATÉGICA DEPORTE Y RECREACIÓN PARA LA TRANSFORMACION SOCIAL </v>
      </c>
      <c r="I612" s="2" t="str">
        <f>+VLOOKUP(F612,Hoja2!$F:$I,4,FALSE)</f>
        <v>8.4.5 RECREACION COMUNITARIA "RECREATE CARTAGENA"</v>
      </c>
      <c r="J612" t="s">
        <v>811</v>
      </c>
      <c r="K612" t="str">
        <f>"933"</f>
        <v>933</v>
      </c>
      <c r="L612" t="s">
        <v>818</v>
      </c>
      <c r="M612" t="s">
        <v>26</v>
      </c>
      <c r="N612" t="s">
        <v>27</v>
      </c>
      <c r="O612" t="s">
        <v>821</v>
      </c>
      <c r="P612" t="str">
        <f t="shared" si="85"/>
        <v>2021130010230 RECREACION COMUNITARIA Y APROVECHAMIENTO DEL TIEMPO LIBRE, COMO MECANISMO DE COHESION E INTEGRACION SOCIAL EN EL DISTRITO DE   CARTAGENA DE INDIAS - DEFICIT</v>
      </c>
      <c r="Q612" t="str">
        <f t="shared" si="82"/>
        <v>06</v>
      </c>
      <c r="R612" t="str">
        <f t="shared" si="83"/>
        <v>00</v>
      </c>
      <c r="S612" s="1">
        <v>0</v>
      </c>
      <c r="T612" s="1">
        <v>6000000</v>
      </c>
      <c r="U612" s="1">
        <v>6000000</v>
      </c>
      <c r="V612" s="1">
        <v>0</v>
      </c>
      <c r="W612" s="1">
        <v>6000000</v>
      </c>
      <c r="X612" s="1">
        <v>0</v>
      </c>
      <c r="Y612" s="1">
        <v>0</v>
      </c>
      <c r="Z612" s="1">
        <v>0</v>
      </c>
      <c r="AA612" s="1">
        <v>0</v>
      </c>
      <c r="AB612" s="1">
        <v>6000000</v>
      </c>
      <c r="AC612" s="1">
        <v>0</v>
      </c>
    </row>
    <row r="613" spans="1:29" x14ac:dyDescent="0.3">
      <c r="A613">
        <v>2022</v>
      </c>
      <c r="B613">
        <v>100</v>
      </c>
      <c r="C613" t="str">
        <f t="shared" si="87"/>
        <v>15</v>
      </c>
      <c r="D613" t="s">
        <v>793</v>
      </c>
      <c r="E613" t="str">
        <f t="shared" si="84"/>
        <v>15 INSTITUTO DE DEPORTE Y RECREACION</v>
      </c>
      <c r="F613" s="2">
        <v>2021130010230</v>
      </c>
      <c r="G613" s="2" t="str">
        <f>+VLOOKUP(F613,Hoja2!$F:$I,2,FALSE)</f>
        <v>08. PILAR CARTAGENA INCLUYENTE</v>
      </c>
      <c r="H613" s="2" t="str">
        <f>+VLOOKUP(F613,Hoja2!$F:$I,3,FALSE)</f>
        <v xml:space="preserve">8.4 LÍNEA ESTRATÉGICA DEPORTE Y RECREACIÓN PARA LA TRANSFORMACION SOCIAL </v>
      </c>
      <c r="I613" s="2" t="str">
        <f>+VLOOKUP(F613,Hoja2!$F:$I,4,FALSE)</f>
        <v>8.4.5 RECREACION COMUNITARIA "RECREATE CARTAGENA"</v>
      </c>
      <c r="J613" t="s">
        <v>811</v>
      </c>
      <c r="K613" t="str">
        <f>"059"</f>
        <v>059</v>
      </c>
      <c r="L613" t="s">
        <v>824</v>
      </c>
      <c r="M613" t="s">
        <v>26</v>
      </c>
      <c r="N613" t="s">
        <v>27</v>
      </c>
      <c r="O613" t="s">
        <v>812</v>
      </c>
      <c r="P613" t="str">
        <f t="shared" si="85"/>
        <v>2021130010230 RECREACION COMUNITARIA Y APROVECHAMIENTO DEL TIEMPO LIBRE, COMO MECANISMO DE COHESION E INTEGRACION SOCIAL EN EL DISTRITO DE   CARTAGENA DE INDIAS</v>
      </c>
      <c r="Q613" t="str">
        <f t="shared" si="82"/>
        <v>06</v>
      </c>
      <c r="R613" t="str">
        <f t="shared" si="83"/>
        <v>00</v>
      </c>
      <c r="S613" s="1">
        <v>582610022</v>
      </c>
      <c r="T613" s="1">
        <v>0</v>
      </c>
      <c r="U613" s="1">
        <v>582610022</v>
      </c>
      <c r="V613" s="1">
        <v>581599454.23000002</v>
      </c>
      <c r="W613" s="1">
        <v>1010567.77</v>
      </c>
      <c r="X613" s="1">
        <v>581599454.23000002</v>
      </c>
      <c r="Y613" s="1">
        <v>99.83</v>
      </c>
      <c r="Z613" s="1">
        <v>581599454.23000002</v>
      </c>
      <c r="AA613" s="1">
        <v>99.83</v>
      </c>
      <c r="AB613" s="1">
        <v>1010567.77</v>
      </c>
      <c r="AC613" s="1">
        <v>581599454.23000002</v>
      </c>
    </row>
    <row r="614" spans="1:29" x14ac:dyDescent="0.3">
      <c r="A614">
        <v>2022</v>
      </c>
      <c r="B614">
        <v>100</v>
      </c>
      <c r="C614" t="str">
        <f t="shared" si="87"/>
        <v>15</v>
      </c>
      <c r="D614" t="s">
        <v>793</v>
      </c>
      <c r="E614" t="str">
        <f t="shared" si="84"/>
        <v>15 INSTITUTO DE DEPORTE Y RECREACION</v>
      </c>
      <c r="F614" s="2">
        <v>2021130010230</v>
      </c>
      <c r="G614" s="2" t="str">
        <f>+VLOOKUP(F614,Hoja2!$F:$I,2,FALSE)</f>
        <v>08. PILAR CARTAGENA INCLUYENTE</v>
      </c>
      <c r="H614" s="2" t="str">
        <f>+VLOOKUP(F614,Hoja2!$F:$I,3,FALSE)</f>
        <v xml:space="preserve">8.4 LÍNEA ESTRATÉGICA DEPORTE Y RECREACIÓN PARA LA TRANSFORMACION SOCIAL </v>
      </c>
      <c r="I614" s="2" t="str">
        <f>+VLOOKUP(F614,Hoja2!$F:$I,4,FALSE)</f>
        <v>8.4.5 RECREACION COMUNITARIA "RECREATE CARTAGENA"</v>
      </c>
      <c r="J614" t="s">
        <v>811</v>
      </c>
      <c r="K614" t="str">
        <f>"097"</f>
        <v>097</v>
      </c>
      <c r="L614" t="s">
        <v>828</v>
      </c>
      <c r="M614" t="s">
        <v>26</v>
      </c>
      <c r="N614" t="s">
        <v>27</v>
      </c>
      <c r="O614" t="s">
        <v>812</v>
      </c>
      <c r="P614" t="str">
        <f t="shared" si="85"/>
        <v>2021130010230 RECREACION COMUNITARIA Y APROVECHAMIENTO DEL TIEMPO LIBRE, COMO MECANISMO DE COHESION E INTEGRACION SOCIAL EN EL DISTRITO DE   CARTAGENA DE INDIAS</v>
      </c>
      <c r="Q614" t="str">
        <f t="shared" si="82"/>
        <v>06</v>
      </c>
      <c r="R614" t="str">
        <f t="shared" si="83"/>
        <v>00</v>
      </c>
      <c r="S614" s="1">
        <v>655836118</v>
      </c>
      <c r="T614" s="1">
        <v>0</v>
      </c>
      <c r="U614" s="1">
        <v>655836118</v>
      </c>
      <c r="V614" s="1">
        <v>605477424</v>
      </c>
      <c r="W614" s="1">
        <v>50358694</v>
      </c>
      <c r="X614" s="1">
        <v>605477424</v>
      </c>
      <c r="Y614" s="1">
        <v>92.32</v>
      </c>
      <c r="Z614" s="1">
        <v>605477424</v>
      </c>
      <c r="AA614" s="1">
        <v>92.32</v>
      </c>
      <c r="AB614" s="1">
        <v>50358694</v>
      </c>
      <c r="AC614" s="1">
        <v>585551674</v>
      </c>
    </row>
    <row r="615" spans="1:29" x14ac:dyDescent="0.3">
      <c r="A615">
        <v>2022</v>
      </c>
      <c r="B615">
        <v>100</v>
      </c>
      <c r="C615" t="str">
        <f t="shared" si="87"/>
        <v>15</v>
      </c>
      <c r="D615" t="s">
        <v>793</v>
      </c>
      <c r="E615" t="str">
        <f t="shared" si="84"/>
        <v>15 INSTITUTO DE DEPORTE Y RECREACION</v>
      </c>
      <c r="F615" s="2">
        <v>2021130010230</v>
      </c>
      <c r="G615" s="2" t="str">
        <f>+VLOOKUP(F615,Hoja2!$F:$I,2,FALSE)</f>
        <v>08. PILAR CARTAGENA INCLUYENTE</v>
      </c>
      <c r="H615" s="2" t="str">
        <f>+VLOOKUP(F615,Hoja2!$F:$I,3,FALSE)</f>
        <v xml:space="preserve">8.4 LÍNEA ESTRATÉGICA DEPORTE Y RECREACIÓN PARA LA TRANSFORMACION SOCIAL </v>
      </c>
      <c r="I615" s="2" t="str">
        <f>+VLOOKUP(F615,Hoja2!$F:$I,4,FALSE)</f>
        <v>8.4.5 RECREACION COMUNITARIA "RECREATE CARTAGENA"</v>
      </c>
      <c r="J615" t="s">
        <v>811</v>
      </c>
      <c r="K615" t="str">
        <f>"024"</f>
        <v>024</v>
      </c>
      <c r="L615" t="s">
        <v>832</v>
      </c>
      <c r="M615" t="s">
        <v>26</v>
      </c>
      <c r="N615" t="s">
        <v>27</v>
      </c>
      <c r="O615" t="s">
        <v>812</v>
      </c>
      <c r="P615" t="str">
        <f t="shared" si="85"/>
        <v>2021130010230 RECREACION COMUNITARIA Y APROVECHAMIENTO DEL TIEMPO LIBRE, COMO MECANISMO DE COHESION E INTEGRACION SOCIAL EN EL DISTRITO DE   CARTAGENA DE INDIAS</v>
      </c>
      <c r="Q615" t="str">
        <f t="shared" si="82"/>
        <v>06</v>
      </c>
      <c r="R615" t="str">
        <f t="shared" si="83"/>
        <v>00</v>
      </c>
      <c r="S615" s="1">
        <v>40791692</v>
      </c>
      <c r="T615" s="1">
        <v>0</v>
      </c>
      <c r="U615" s="1">
        <v>40791692</v>
      </c>
      <c r="V615" s="1">
        <v>0</v>
      </c>
      <c r="W615" s="1">
        <v>40791692</v>
      </c>
      <c r="X615" s="1">
        <v>0</v>
      </c>
      <c r="Y615" s="1">
        <v>0</v>
      </c>
      <c r="Z615" s="1">
        <v>0</v>
      </c>
      <c r="AA615" s="1">
        <v>0</v>
      </c>
      <c r="AB615" s="1">
        <v>40791692</v>
      </c>
      <c r="AC615" s="1">
        <v>0</v>
      </c>
    </row>
    <row r="616" spans="1:29" x14ac:dyDescent="0.3">
      <c r="A616">
        <v>2022</v>
      </c>
      <c r="B616">
        <v>100</v>
      </c>
      <c r="C616" t="str">
        <f t="shared" si="87"/>
        <v>15</v>
      </c>
      <c r="D616" t="s">
        <v>793</v>
      </c>
      <c r="E616" t="str">
        <f t="shared" si="84"/>
        <v>15 INSTITUTO DE DEPORTE Y RECREACION</v>
      </c>
      <c r="F616" s="2">
        <v>2021130010230</v>
      </c>
      <c r="G616" s="2" t="str">
        <f>+VLOOKUP(F616,Hoja2!$F:$I,2,FALSE)</f>
        <v>08. PILAR CARTAGENA INCLUYENTE</v>
      </c>
      <c r="H616" s="2" t="str">
        <f>+VLOOKUP(F616,Hoja2!$F:$I,3,FALSE)</f>
        <v xml:space="preserve">8.4 LÍNEA ESTRATÉGICA DEPORTE Y RECREACIÓN PARA LA TRANSFORMACION SOCIAL </v>
      </c>
      <c r="I616" s="2" t="str">
        <f>+VLOOKUP(F616,Hoja2!$F:$I,4,FALSE)</f>
        <v>8.4.5 RECREACION COMUNITARIA "RECREATE CARTAGENA"</v>
      </c>
      <c r="J616" t="s">
        <v>811</v>
      </c>
      <c r="K616" t="str">
        <f>"025"</f>
        <v>025</v>
      </c>
      <c r="L616" t="s">
        <v>822</v>
      </c>
      <c r="M616" t="s">
        <v>26</v>
      </c>
      <c r="N616" t="s">
        <v>27</v>
      </c>
      <c r="O616" t="s">
        <v>812</v>
      </c>
      <c r="P616" t="str">
        <f t="shared" si="85"/>
        <v>2021130010230 RECREACION COMUNITARIA Y APROVECHAMIENTO DEL TIEMPO LIBRE, COMO MECANISMO DE COHESION E INTEGRACION SOCIAL EN EL DISTRITO DE   CARTAGENA DE INDIAS</v>
      </c>
      <c r="Q616" t="str">
        <f t="shared" si="82"/>
        <v>06</v>
      </c>
      <c r="R616" t="str">
        <f t="shared" si="83"/>
        <v>00</v>
      </c>
      <c r="S616" s="1">
        <v>333333331</v>
      </c>
      <c r="T616" s="1">
        <v>0</v>
      </c>
      <c r="U616" s="1">
        <v>333333331</v>
      </c>
      <c r="V616" s="1">
        <v>314191328.06</v>
      </c>
      <c r="W616" s="1">
        <v>19142002.940000001</v>
      </c>
      <c r="X616" s="1">
        <v>314191328.06</v>
      </c>
      <c r="Y616" s="1">
        <v>94.26</v>
      </c>
      <c r="Z616" s="1">
        <v>314191328.06</v>
      </c>
      <c r="AA616" s="1">
        <v>94.26</v>
      </c>
      <c r="AB616" s="1">
        <v>19142002.940000001</v>
      </c>
      <c r="AC616" s="1">
        <v>166513328.06</v>
      </c>
    </row>
    <row r="617" spans="1:29" x14ac:dyDescent="0.3">
      <c r="A617">
        <v>2022</v>
      </c>
      <c r="B617">
        <v>100</v>
      </c>
      <c r="C617" t="str">
        <f>"14"</f>
        <v>14</v>
      </c>
      <c r="D617" t="s">
        <v>780</v>
      </c>
      <c r="E617" t="str">
        <f t="shared" si="84"/>
        <v>14 ESCUELA DE GOBIERNO</v>
      </c>
      <c r="F617" s="2">
        <v>2021130010231</v>
      </c>
      <c r="G617" s="2" t="str">
        <f>+VLOOKUP(F617,Hoja2!$F:$I,2,FALSE)</f>
        <v>10. PILAR: CARTAGENA TRANSPARENTE</v>
      </c>
      <c r="H617" s="2" t="str">
        <f>+VLOOKUP(F617,Hoja2!$F:$I,3,FALSE)</f>
        <v>10.6 LÍNEA ESTRATÉGICA: CULTURA CIUDADANA PARA LA DEMOCRACIA Y LA PAZ</v>
      </c>
      <c r="I617" s="2" t="str">
        <f>+VLOOKUP(F617,Hoja2!$F:$I,4,FALSE)</f>
        <v xml:space="preserve">10.6.2 PROGRAMA: CIUDADANÍA LIBRE, INCLUYENTE Y TRANSFORMADORA </v>
      </c>
      <c r="J617" t="s">
        <v>781</v>
      </c>
      <c r="K617" t="str">
        <f t="shared" ref="K617:K628" si="88">"001"</f>
        <v>001</v>
      </c>
      <c r="L617" t="s">
        <v>25</v>
      </c>
      <c r="M617" t="s">
        <v>26</v>
      </c>
      <c r="N617" t="s">
        <v>27</v>
      </c>
      <c r="O617" t="s">
        <v>782</v>
      </c>
      <c r="P617" t="str">
        <f t="shared" si="85"/>
        <v>2021130010231 FORMACION DE LA CIUDADANIA LIBRE INCLUYENTE Y TRANSFORMADORA PARA LA DEMOCRACIA 2022 2023</v>
      </c>
      <c r="Q617" t="str">
        <f t="shared" si="82"/>
        <v>06</v>
      </c>
      <c r="R617" t="str">
        <f t="shared" si="83"/>
        <v>00</v>
      </c>
      <c r="S617" s="1">
        <v>148128322</v>
      </c>
      <c r="T617" s="1">
        <v>0</v>
      </c>
      <c r="U617" s="1">
        <v>148128322</v>
      </c>
      <c r="V617" s="1">
        <v>148128322</v>
      </c>
      <c r="W617" s="1">
        <v>0</v>
      </c>
      <c r="X617" s="1">
        <v>147128322</v>
      </c>
      <c r="Y617" s="1">
        <v>99.32</v>
      </c>
      <c r="Z617" s="1">
        <v>147128322</v>
      </c>
      <c r="AA617" s="1">
        <v>99.32</v>
      </c>
      <c r="AB617" s="1">
        <v>1000000</v>
      </c>
      <c r="AC617" s="1">
        <v>147128322</v>
      </c>
    </row>
    <row r="618" spans="1:29" x14ac:dyDescent="0.3">
      <c r="A618">
        <v>2022</v>
      </c>
      <c r="B618">
        <v>100</v>
      </c>
      <c r="C618" t="str">
        <f>"14"</f>
        <v>14</v>
      </c>
      <c r="D618" t="s">
        <v>780</v>
      </c>
      <c r="E618" t="str">
        <f t="shared" si="84"/>
        <v>14 ESCUELA DE GOBIERNO</v>
      </c>
      <c r="F618" s="2">
        <v>2021130010232</v>
      </c>
      <c r="G618" s="2" t="str">
        <f>+VLOOKUP(F618,Hoja2!$F:$I,2,FALSE)</f>
        <v>10. PILAR: CARTAGENA TRANSPARENTE</v>
      </c>
      <c r="H618" s="2" t="str">
        <f>+VLOOKUP(F618,Hoja2!$F:$I,3,FALSE)</f>
        <v>10.6 LÍNEA ESTRATÉGICA: CULTURA CIUDADANA PARA LA DEMOCRACIA Y LA PAZ</v>
      </c>
      <c r="I618" s="2" t="str">
        <f>+VLOOKUP(F618,Hoja2!$F:$I,4,FALSE)</f>
        <v>10.6.1 PROGRAMA: SERVIDOR Y SERVIDORA PÚBLICA AL SERVICIO DE LA CIUDADANÍA</v>
      </c>
      <c r="J618" t="s">
        <v>785</v>
      </c>
      <c r="K618" t="str">
        <f t="shared" si="88"/>
        <v>001</v>
      </c>
      <c r="L618" t="s">
        <v>25</v>
      </c>
      <c r="M618" t="s">
        <v>26</v>
      </c>
      <c r="N618" t="s">
        <v>27</v>
      </c>
      <c r="O618" t="s">
        <v>786</v>
      </c>
      <c r="P618" t="str">
        <f t="shared" si="85"/>
        <v>2021130010232 FORMACION DESARROLLO DE LAS COMPETENCIAS DE LOS SERVIDORES Y SERVIDORAS PUBLICAS DEL DISTRITO DE CARTAGENA DE INDIAS</v>
      </c>
      <c r="Q618" t="str">
        <f t="shared" si="82"/>
        <v>06</v>
      </c>
      <c r="R618" t="str">
        <f t="shared" si="83"/>
        <v>00</v>
      </c>
      <c r="S618" s="1">
        <v>150695542</v>
      </c>
      <c r="T618" s="1">
        <v>0</v>
      </c>
      <c r="U618" s="1">
        <v>150695542</v>
      </c>
      <c r="V618" s="1">
        <v>150695542</v>
      </c>
      <c r="W618" s="1">
        <v>0</v>
      </c>
      <c r="X618" s="1">
        <v>125000000</v>
      </c>
      <c r="Y618" s="1">
        <v>82.95</v>
      </c>
      <c r="Z618" s="1">
        <v>125000000</v>
      </c>
      <c r="AA618" s="1">
        <v>82.95</v>
      </c>
      <c r="AB618" s="1">
        <v>25695542</v>
      </c>
      <c r="AC618" s="1">
        <v>125000000</v>
      </c>
    </row>
    <row r="619" spans="1:29" x14ac:dyDescent="0.3">
      <c r="A619">
        <v>2022</v>
      </c>
      <c r="B619">
        <v>100</v>
      </c>
      <c r="C619" t="str">
        <f>"08"</f>
        <v>08</v>
      </c>
      <c r="D619" t="s">
        <v>479</v>
      </c>
      <c r="E619" t="str">
        <f t="shared" si="84"/>
        <v>08 SECRETARIA DE PARTICIPACION Y DESARROLLO SOCIAL</v>
      </c>
      <c r="F619" s="2">
        <v>2021130010233</v>
      </c>
      <c r="G619" s="2" t="str">
        <f>+VLOOKUP(F619,Hoja2!$F:$I,2,FALSE)</f>
        <v>11. EJE TRANSVERSAL: CARTAGENA CON ATENCION Y GARANTIA DE DERECHOS A POBLACION DIFERENCIAL.</v>
      </c>
      <c r="H619" s="2" t="str">
        <f>+VLOOKUP(F619,Hoja2!$F:$I,3,FALSE)</f>
        <v>11.2 LÍNEA ESTRATÉGICA MUJERES CARTAGENERAS POR SUS DERECHOS.</v>
      </c>
      <c r="I619" s="2" t="str">
        <f>+VLOOKUP(F619,Hoja2!$F:$I,4,FALSE)</f>
        <v>11.2.1 PROGRAMA: LAS MUJERES DECIDIMOS SOBRE EL EJERCICIO DEL PODER</v>
      </c>
      <c r="J619" t="s">
        <v>526</v>
      </c>
      <c r="K619" t="str">
        <f t="shared" si="88"/>
        <v>001</v>
      </c>
      <c r="L619" t="s">
        <v>25</v>
      </c>
      <c r="M619" t="s">
        <v>26</v>
      </c>
      <c r="N619" t="s">
        <v>27</v>
      </c>
      <c r="O619" t="s">
        <v>527</v>
      </c>
      <c r="P619" t="str">
        <f t="shared" si="85"/>
        <v>2021130010233 ACTUALIZACION INSTANCIA RECTORA DE LA POLITICA PUBLICA DE MUJERES CARTAGENA DE INDIAS</v>
      </c>
      <c r="Q619" t="str">
        <f t="shared" si="82"/>
        <v>06</v>
      </c>
      <c r="R619" t="str">
        <f t="shared" si="83"/>
        <v>00</v>
      </c>
      <c r="S619" s="1">
        <v>25000000</v>
      </c>
      <c r="T619" s="1">
        <v>-11000000</v>
      </c>
      <c r="U619" s="1">
        <v>14000000</v>
      </c>
      <c r="V619" s="1">
        <v>14000000</v>
      </c>
      <c r="W619" s="1">
        <v>0</v>
      </c>
      <c r="X619" s="1">
        <v>14000000</v>
      </c>
      <c r="Y619" s="1">
        <v>100</v>
      </c>
      <c r="Z619" s="1">
        <v>14000000</v>
      </c>
      <c r="AA619" s="1">
        <v>100</v>
      </c>
      <c r="AB619" s="1">
        <v>0</v>
      </c>
      <c r="AC619" s="1">
        <v>14000000</v>
      </c>
    </row>
    <row r="620" spans="1:29" x14ac:dyDescent="0.3">
      <c r="A620">
        <v>2022</v>
      </c>
      <c r="B620">
        <v>100</v>
      </c>
      <c r="C620" t="str">
        <f>"08"</f>
        <v>08</v>
      </c>
      <c r="D620" t="s">
        <v>479</v>
      </c>
      <c r="E620" t="str">
        <f t="shared" si="84"/>
        <v>08 SECRETARIA DE PARTICIPACION Y DESARROLLO SOCIAL</v>
      </c>
      <c r="F620" s="2">
        <v>2021130010234</v>
      </c>
      <c r="G620" s="2" t="str">
        <f>+VLOOKUP(F620,Hoja2!$F:$I,2,FALSE)</f>
        <v>11. EJE TRANSVERSAL: CARTAGENA CON ATENCION Y GARANTIA DE DERECHOS A POBLACION DIFERENCIAL.</v>
      </c>
      <c r="H620" s="2" t="str">
        <f>+VLOOKUP(F620,Hoja2!$F:$I,3,FALSE)</f>
        <v>11.8 LÍNEA ESTRATÉGICA DIVERSIDAD SEXUAL Y NUEVAS IDENTIDADES DE GENERO.</v>
      </c>
      <c r="I620" s="2" t="str">
        <f>+VLOOKUP(F620,Hoja2!$F:$I,4,FALSE)</f>
        <v>11.8.1 PROGRAMA: DIVERSIDAD SEXUAL E IDENTIDADES DE GÉNERO</v>
      </c>
      <c r="J620" t="s">
        <v>528</v>
      </c>
      <c r="K620" t="str">
        <f t="shared" si="88"/>
        <v>001</v>
      </c>
      <c r="L620" t="s">
        <v>25</v>
      </c>
      <c r="M620" t="s">
        <v>26</v>
      </c>
      <c r="N620" t="s">
        <v>27</v>
      </c>
      <c r="O620" t="s">
        <v>529</v>
      </c>
      <c r="P620" t="str">
        <f t="shared" si="85"/>
        <v>2021130010234 ACTUALIZACION DIVERSIDAD SEXUAL E IDENTIDADES DE GENERO CARTAGENA DE INDIAS</v>
      </c>
      <c r="Q620" t="str">
        <f t="shared" si="82"/>
        <v>06</v>
      </c>
      <c r="R620" t="str">
        <f t="shared" si="83"/>
        <v>00</v>
      </c>
      <c r="S620" s="1">
        <v>37500000</v>
      </c>
      <c r="T620" s="1">
        <v>0</v>
      </c>
      <c r="U620" s="1">
        <v>37500000</v>
      </c>
      <c r="V620" s="1">
        <v>37460000</v>
      </c>
      <c r="W620" s="1">
        <v>40000</v>
      </c>
      <c r="X620" s="1">
        <v>37460000</v>
      </c>
      <c r="Y620" s="1">
        <v>99.89</v>
      </c>
      <c r="Z620" s="1">
        <v>12500000</v>
      </c>
      <c r="AA620" s="1">
        <v>33.33</v>
      </c>
      <c r="AB620" s="1">
        <v>40000</v>
      </c>
      <c r="AC620" s="1">
        <v>12500000</v>
      </c>
    </row>
    <row r="621" spans="1:29" x14ac:dyDescent="0.3">
      <c r="A621">
        <v>2022</v>
      </c>
      <c r="B621">
        <v>100</v>
      </c>
      <c r="C621" t="str">
        <f>"08"</f>
        <v>08</v>
      </c>
      <c r="D621" t="s">
        <v>479</v>
      </c>
      <c r="E621" t="str">
        <f t="shared" si="84"/>
        <v>08 SECRETARIA DE PARTICIPACION Y DESARROLLO SOCIAL</v>
      </c>
      <c r="F621" s="2">
        <v>2021130010235</v>
      </c>
      <c r="G621" s="2" t="str">
        <f>+VLOOKUP(F621,Hoja2!$F:$I,2,FALSE)</f>
        <v>11. EJE TRANSVERSAL: CARTAGENA CON ATENCION Y GARANTIA DE DERECHOS A POBLACION DIFERENCIAL.</v>
      </c>
      <c r="H621" s="2" t="str">
        <f>+VLOOKUP(F621,Hoja2!$F:$I,3,FALSE)</f>
        <v>11.8 LÍNEA ESTRATÉGICA DIVERSIDAD SEXUAL Y NUEVAS IDENTIDADES DE GENERO.</v>
      </c>
      <c r="I621" s="2" t="str">
        <f>+VLOOKUP(F621,Hoja2!$F:$I,4,FALSE)</f>
        <v>11.8.1 PROGRAMA: DIVERSIDAD SEXUAL E IDENTIDADES DE GÉNERO</v>
      </c>
      <c r="J621" t="s">
        <v>530</v>
      </c>
      <c r="K621" t="str">
        <f t="shared" si="88"/>
        <v>001</v>
      </c>
      <c r="L621" t="s">
        <v>25</v>
      </c>
      <c r="M621" t="s">
        <v>26</v>
      </c>
      <c r="N621" t="s">
        <v>27</v>
      </c>
      <c r="O621" t="s">
        <v>531</v>
      </c>
      <c r="P621" t="str">
        <f t="shared" si="85"/>
        <v>2021130010235 FORMULACION DE LA POLITICA PUBLICA DE DIVERSIDAD SEXUAL E IDENTIDADES DE GENERO CARTAGENA DE INDIAS</v>
      </c>
      <c r="Q621" t="str">
        <f t="shared" si="82"/>
        <v>06</v>
      </c>
      <c r="R621" t="str">
        <f t="shared" si="83"/>
        <v>00</v>
      </c>
      <c r="S621" s="1">
        <v>37500000</v>
      </c>
      <c r="T621" s="1">
        <v>0</v>
      </c>
      <c r="U621" s="1">
        <v>37500000</v>
      </c>
      <c r="V621" s="1">
        <v>37380000</v>
      </c>
      <c r="W621" s="1">
        <v>120000</v>
      </c>
      <c r="X621" s="1">
        <v>36796666.670000002</v>
      </c>
      <c r="Y621" s="1">
        <v>98.12</v>
      </c>
      <c r="Z621" s="1">
        <v>30416666.670000002</v>
      </c>
      <c r="AA621" s="1">
        <v>81.11</v>
      </c>
      <c r="AB621" s="1">
        <v>703333.33</v>
      </c>
      <c r="AC621" s="1">
        <v>30416666.670000002</v>
      </c>
    </row>
    <row r="622" spans="1:29" x14ac:dyDescent="0.3">
      <c r="A622">
        <v>2022</v>
      </c>
      <c r="B622">
        <v>100</v>
      </c>
      <c r="C622" t="str">
        <f>"08"</f>
        <v>08</v>
      </c>
      <c r="D622" t="s">
        <v>479</v>
      </c>
      <c r="E622" t="str">
        <f t="shared" si="84"/>
        <v>08 SECRETARIA DE PARTICIPACION Y DESARROLLO SOCIAL</v>
      </c>
      <c r="F622" s="2">
        <v>2021130010237</v>
      </c>
      <c r="G622" s="2" t="str">
        <f>+VLOOKUP(F622,Hoja2!$F:$I,2,FALSE)</f>
        <v>11. EJE TRANSVERSAL: CARTAGENA CON ATENCION Y GARANTIA DE DERECHOS A POBLACION DIFERENCIAL.</v>
      </c>
      <c r="H622" s="2" t="str">
        <f>+VLOOKUP(F622,Hoja2!$F:$I,3,FALSE)</f>
        <v>11.1 LÍNEA ESTRATÉGICA PARA LA EQUIDAD E INCLUSIÓN DE LOS NEGROS, AFROS, PALENQUEROS E INDÍGENA.</v>
      </c>
      <c r="I622" s="2" t="str">
        <f>+VLOOKUP(F622,Hoja2!$F:$I,4,FALSE)</f>
        <v>11.1.11 PROGRAMA: EMPODERAMIENTO DEL LIDERAZGO DE LAS MUJERES, NIÑEZ, JÓVENES, FAMILIA Y GENERACIÓN INDÍGENA</v>
      </c>
      <c r="J622" t="s">
        <v>556</v>
      </c>
      <c r="K622" t="str">
        <f t="shared" si="88"/>
        <v>001</v>
      </c>
      <c r="L622" t="s">
        <v>25</v>
      </c>
      <c r="M622" t="s">
        <v>26</v>
      </c>
      <c r="N622" t="s">
        <v>27</v>
      </c>
      <c r="O622" t="s">
        <v>557</v>
      </c>
      <c r="P622" t="str">
        <f t="shared" si="85"/>
        <v>2021130010237 ASISTENCIA EMPODERAMIENTO DEL LIDERAZGO DE LAS MUJERES NI?EZ JOVENES FAMILIA Y GENERACION INDIGENA  CARTAGENA DE INDIAS</v>
      </c>
      <c r="Q622" t="str">
        <f t="shared" si="82"/>
        <v>06</v>
      </c>
      <c r="R622" t="str">
        <f t="shared" si="83"/>
        <v>00</v>
      </c>
      <c r="S622" s="1">
        <v>80000000</v>
      </c>
      <c r="T622" s="1">
        <v>0</v>
      </c>
      <c r="U622" s="1">
        <v>80000000</v>
      </c>
      <c r="V622" s="1">
        <v>80000000</v>
      </c>
      <c r="W622" s="1">
        <v>0</v>
      </c>
      <c r="X622" s="1">
        <v>80000000</v>
      </c>
      <c r="Y622" s="1">
        <v>100</v>
      </c>
      <c r="Z622" s="1">
        <v>72350000</v>
      </c>
      <c r="AA622" s="1">
        <v>90.44</v>
      </c>
      <c r="AB622" s="1">
        <v>0</v>
      </c>
      <c r="AC622" s="1">
        <v>72350000</v>
      </c>
    </row>
    <row r="623" spans="1:29" x14ac:dyDescent="0.3">
      <c r="A623">
        <v>2022</v>
      </c>
      <c r="B623">
        <v>100</v>
      </c>
      <c r="C623" t="str">
        <f>"14"</f>
        <v>14</v>
      </c>
      <c r="D623" t="s">
        <v>780</v>
      </c>
      <c r="E623" t="str">
        <f t="shared" si="84"/>
        <v>14 ESCUELA DE GOBIERNO</v>
      </c>
      <c r="F623" s="2">
        <v>2021130010238</v>
      </c>
      <c r="G623" s="2" t="str">
        <f>+VLOOKUP(F623,Hoja2!$F:$I,2,FALSE)</f>
        <v>10. PILAR: CARTAGENA TRANSPARENTE</v>
      </c>
      <c r="H623" s="2" t="str">
        <f>+VLOOKUP(F623,Hoja2!$F:$I,3,FALSE)</f>
        <v>10.6 LÍNEA ESTRATÉGICA: CULTURA CIUDADANA PARA LA DEMOCRACIA Y LA PAZ</v>
      </c>
      <c r="I623" s="2" t="str">
        <f>+VLOOKUP(F623,Hoja2!$F:$I,4,FALSE)</f>
        <v>10.6.5 PROGRAMA: NUESTRA CARTAGENA SOÑADA.</v>
      </c>
      <c r="J623" t="s">
        <v>791</v>
      </c>
      <c r="K623" t="str">
        <f t="shared" si="88"/>
        <v>001</v>
      </c>
      <c r="L623" t="s">
        <v>25</v>
      </c>
      <c r="M623" t="s">
        <v>26</v>
      </c>
      <c r="N623" t="s">
        <v>27</v>
      </c>
      <c r="O623" t="s">
        <v>792</v>
      </c>
      <c r="P623" t="str">
        <f t="shared" si="85"/>
        <v>2021130010238 FORMULACION AGENDA PROSPECTIVA DE CIUDAD NUESTRA CARTAGENA SO?ADA CARTAGENA DE INDIAS</v>
      </c>
      <c r="Q623" t="str">
        <f t="shared" si="82"/>
        <v>06</v>
      </c>
      <c r="R623" t="str">
        <f t="shared" si="83"/>
        <v>00</v>
      </c>
      <c r="S623" s="1">
        <v>414374881</v>
      </c>
      <c r="T623" s="1">
        <v>0</v>
      </c>
      <c r="U623" s="1">
        <v>414374881</v>
      </c>
      <c r="V623" s="1">
        <v>414374880</v>
      </c>
      <c r="W623" s="1">
        <v>1</v>
      </c>
      <c r="X623" s="1">
        <v>405256666.66000003</v>
      </c>
      <c r="Y623" s="1">
        <v>97.8</v>
      </c>
      <c r="Z623" s="1">
        <v>55256666.659999996</v>
      </c>
      <c r="AA623" s="1">
        <v>13.33</v>
      </c>
      <c r="AB623" s="1">
        <v>9118214.3399999999</v>
      </c>
      <c r="AC623" s="1">
        <v>49866666.659999996</v>
      </c>
    </row>
    <row r="624" spans="1:29" x14ac:dyDescent="0.3">
      <c r="A624">
        <v>2022</v>
      </c>
      <c r="B624">
        <v>100</v>
      </c>
      <c r="C624" t="str">
        <f>"03"</f>
        <v>03</v>
      </c>
      <c r="D624" t="s">
        <v>164</v>
      </c>
      <c r="E624" t="str">
        <f t="shared" si="84"/>
        <v>03 SECRETARIA DE HACIENDA PUBLICA</v>
      </c>
      <c r="F624" s="2">
        <v>2021130010239</v>
      </c>
      <c r="G624" s="2" t="str">
        <f>+VLOOKUP(F624,Hoja2!$F:$I,2,FALSE)</f>
        <v>10. PILAR: CARTAGENA TRANSPARENTE</v>
      </c>
      <c r="H624" s="2" t="str">
        <f>+VLOOKUP(F624,Hoja2!$F:$I,3,FALSE)</f>
        <v>10.6 LÍNEA ESTRATÉGICA: CULTURA CIUDADANA PARA LA DEMOCRACIA Y LA PAZ</v>
      </c>
      <c r="I624" s="2" t="str">
        <f>+VLOOKUP(F624,Hoja2!$F:$I,4,FALSE)</f>
        <v>10.6.3 PROGRAMA: CARTAGENA TE QUIERE, QUIERE A CARTAGENA: PLAN DECENAL DE CULTURA CIUDADANA Y CARTAGENIDAD.</v>
      </c>
      <c r="J624" t="s">
        <v>199</v>
      </c>
      <c r="K624" t="str">
        <f t="shared" si="88"/>
        <v>001</v>
      </c>
      <c r="L624" t="s">
        <v>25</v>
      </c>
      <c r="M624" t="s">
        <v>26</v>
      </c>
      <c r="N624" t="s">
        <v>27</v>
      </c>
      <c r="O624" t="s">
        <v>200</v>
      </c>
      <c r="P624" t="str">
        <f t="shared" si="85"/>
        <v>2021130010239 IMPLEMENTACION PLAN DECENAL DE CULTURA CIUDADANA Y CARTAGENEIDAD</v>
      </c>
      <c r="Q624" t="str">
        <f t="shared" si="82"/>
        <v>06</v>
      </c>
      <c r="R624" t="str">
        <f t="shared" si="83"/>
        <v>00</v>
      </c>
      <c r="S624" s="1">
        <v>0</v>
      </c>
      <c r="T624" s="1">
        <v>0</v>
      </c>
      <c r="U624" s="1">
        <v>0</v>
      </c>
      <c r="V624" s="1">
        <v>0</v>
      </c>
      <c r="W624" s="1">
        <v>0</v>
      </c>
      <c r="X624" s="1">
        <v>0</v>
      </c>
      <c r="Y624" s="1">
        <v>0</v>
      </c>
      <c r="Z624" s="1">
        <v>0</v>
      </c>
      <c r="AA624" s="1">
        <v>0</v>
      </c>
      <c r="AB624" s="1">
        <v>0</v>
      </c>
      <c r="AC624" s="1">
        <v>0</v>
      </c>
    </row>
    <row r="625" spans="1:29" x14ac:dyDescent="0.3">
      <c r="A625">
        <v>2022</v>
      </c>
      <c r="B625">
        <v>100</v>
      </c>
      <c r="C625" t="str">
        <f>"14"</f>
        <v>14</v>
      </c>
      <c r="D625" t="s">
        <v>780</v>
      </c>
      <c r="E625" t="str">
        <f t="shared" si="84"/>
        <v>14 ESCUELA DE GOBIERNO</v>
      </c>
      <c r="F625" s="2">
        <v>2021130010239</v>
      </c>
      <c r="G625" s="2" t="str">
        <f>+VLOOKUP(F625,Hoja2!$F:$I,2,FALSE)</f>
        <v>10. PILAR: CARTAGENA TRANSPARENTE</v>
      </c>
      <c r="H625" s="2" t="str">
        <f>+VLOOKUP(F625,Hoja2!$F:$I,3,FALSE)</f>
        <v>10.6 LÍNEA ESTRATÉGICA: CULTURA CIUDADANA PARA LA DEMOCRACIA Y LA PAZ</v>
      </c>
      <c r="I625" s="2" t="str">
        <f>+VLOOKUP(F625,Hoja2!$F:$I,4,FALSE)</f>
        <v>10.6.3 PROGRAMA: CARTAGENA TE QUIERE, QUIERE A CARTAGENA: PLAN DECENAL DE CULTURA CIUDADANA Y CARTAGENIDAD.</v>
      </c>
      <c r="J625" t="s">
        <v>199</v>
      </c>
      <c r="K625" t="str">
        <f t="shared" si="88"/>
        <v>001</v>
      </c>
      <c r="L625" t="s">
        <v>25</v>
      </c>
      <c r="M625" t="s">
        <v>26</v>
      </c>
      <c r="N625" t="s">
        <v>27</v>
      </c>
      <c r="O625" t="s">
        <v>200</v>
      </c>
      <c r="P625" t="str">
        <f t="shared" si="85"/>
        <v>2021130010239 IMPLEMENTACION PLAN DECENAL DE CULTURA CIUDADANA Y CARTAGENEIDAD</v>
      </c>
      <c r="Q625" t="str">
        <f t="shared" si="82"/>
        <v>06</v>
      </c>
      <c r="R625" t="str">
        <f t="shared" si="83"/>
        <v>00</v>
      </c>
      <c r="S625" s="1">
        <v>923703820</v>
      </c>
      <c r="T625" s="1">
        <v>0</v>
      </c>
      <c r="U625" s="1">
        <v>923703820</v>
      </c>
      <c r="V625" s="1">
        <v>920323876</v>
      </c>
      <c r="W625" s="1">
        <v>3379944</v>
      </c>
      <c r="X625" s="1">
        <v>919207147.32000005</v>
      </c>
      <c r="Y625" s="1">
        <v>99.51</v>
      </c>
      <c r="Z625" s="1">
        <v>782720496.01999998</v>
      </c>
      <c r="AA625" s="1">
        <v>84.74</v>
      </c>
      <c r="AB625" s="1">
        <v>4496672.68</v>
      </c>
      <c r="AC625" s="1">
        <v>782720496.01999998</v>
      </c>
    </row>
    <row r="626" spans="1:29" x14ac:dyDescent="0.3">
      <c r="A626">
        <v>2022</v>
      </c>
      <c r="B626">
        <v>100</v>
      </c>
      <c r="C626" t="str">
        <f>"14"</f>
        <v>14</v>
      </c>
      <c r="D626" t="s">
        <v>780</v>
      </c>
      <c r="E626" t="str">
        <f t="shared" si="84"/>
        <v>14 ESCUELA DE GOBIERNO</v>
      </c>
      <c r="F626" s="2">
        <v>2021130010240</v>
      </c>
      <c r="G626" s="2" t="str">
        <f>+VLOOKUP(F626,Hoja2!$F:$I,2,FALSE)</f>
        <v>10. PILAR: CARTAGENA TRANSPARENTE</v>
      </c>
      <c r="H626" s="2" t="str">
        <f>+VLOOKUP(F626,Hoja2!$F:$I,3,FALSE)</f>
        <v>10.2 LÍNEA ESTRATÉGICA: CARTAGENA INTELIGENTE CON TODOS Y PARA TODOS</v>
      </c>
      <c r="I626" s="2" t="str">
        <f>+VLOOKUP(F626,Hoja2!$F:$I,4,FALSE)</f>
        <v>10.2.5 PROGRAMA: JORGE PIEDRAHITA ADUEN</v>
      </c>
      <c r="J626" t="s">
        <v>783</v>
      </c>
      <c r="K626" t="str">
        <f t="shared" si="88"/>
        <v>001</v>
      </c>
      <c r="L626" t="s">
        <v>25</v>
      </c>
      <c r="M626" t="s">
        <v>26</v>
      </c>
      <c r="N626" t="s">
        <v>27</v>
      </c>
      <c r="O626" t="s">
        <v>784</v>
      </c>
      <c r="P626" t="str">
        <f t="shared" si="85"/>
        <v>2021130010240 FORMACION INVESTIGACION PREMIOS JORGE PIEDRAHITA ADUEN</v>
      </c>
      <c r="Q626" t="str">
        <f t="shared" si="82"/>
        <v>06</v>
      </c>
      <c r="R626" t="str">
        <f t="shared" si="83"/>
        <v>00</v>
      </c>
      <c r="S626" s="1">
        <v>184955732</v>
      </c>
      <c r="T626" s="1">
        <v>0</v>
      </c>
      <c r="U626" s="1">
        <v>184955732</v>
      </c>
      <c r="V626" s="1">
        <v>184815739</v>
      </c>
      <c r="W626" s="1">
        <v>139993</v>
      </c>
      <c r="X626" s="1">
        <v>181669072.66</v>
      </c>
      <c r="Y626" s="1">
        <v>98.22</v>
      </c>
      <c r="Z626" s="1">
        <v>162954591.46000001</v>
      </c>
      <c r="AA626" s="1">
        <v>88.1</v>
      </c>
      <c r="AB626" s="1">
        <v>3286659.34</v>
      </c>
      <c r="AC626" s="1">
        <v>88096666.659999996</v>
      </c>
    </row>
    <row r="627" spans="1:29" x14ac:dyDescent="0.3">
      <c r="A627">
        <v>2022</v>
      </c>
      <c r="B627">
        <v>100</v>
      </c>
      <c r="C627" t="str">
        <f>"14"</f>
        <v>14</v>
      </c>
      <c r="D627" t="s">
        <v>780</v>
      </c>
      <c r="E627" t="str">
        <f t="shared" si="84"/>
        <v>14 ESCUELA DE GOBIERNO</v>
      </c>
      <c r="F627" s="2">
        <v>2021130010241</v>
      </c>
      <c r="G627" s="2" t="str">
        <f>+VLOOKUP(F627,Hoja2!$F:$I,2,FALSE)</f>
        <v>10. PILAR: CARTAGENA TRANSPARENTE</v>
      </c>
      <c r="H627" s="2" t="str">
        <f>+VLOOKUP(F627,Hoja2!$F:$I,3,FALSE)</f>
        <v>10.6 LÍNEA ESTRATÉGICA: CULTURA CIUDADANA PARA LA DEMOCRACIA Y LA PAZ</v>
      </c>
      <c r="I627" s="2" t="str">
        <f>+VLOOKUP(F627,Hoja2!$F:$I,4,FALSE)</f>
        <v>10.6.6 PROGRAMA: CONECTATE CON CARTAGENA</v>
      </c>
      <c r="J627" t="s">
        <v>789</v>
      </c>
      <c r="K627" t="str">
        <f t="shared" si="88"/>
        <v>001</v>
      </c>
      <c r="L627" t="s">
        <v>25</v>
      </c>
      <c r="M627" t="s">
        <v>26</v>
      </c>
      <c r="N627" t="s">
        <v>27</v>
      </c>
      <c r="O627" t="s">
        <v>790</v>
      </c>
      <c r="P627" t="str">
        <f t="shared" si="85"/>
        <v xml:space="preserve">2021130010241 DESARROLLO E IMPLEMENTACION DEL CURSO DE FORMACION VIRTUAL EN LA ESCUELA DE GOBIERNO DEL DISTRITO DE CARTAGENA DE INDIAS </v>
      </c>
      <c r="Q627" t="str">
        <f t="shared" si="82"/>
        <v>06</v>
      </c>
      <c r="R627" t="str">
        <f t="shared" si="83"/>
        <v>00</v>
      </c>
      <c r="S627" s="1">
        <v>70433856</v>
      </c>
      <c r="T627" s="1">
        <v>0</v>
      </c>
      <c r="U627" s="1">
        <v>70433856</v>
      </c>
      <c r="V627" s="1">
        <v>70433855</v>
      </c>
      <c r="W627" s="1">
        <v>1</v>
      </c>
      <c r="X627" s="1">
        <v>65880000</v>
      </c>
      <c r="Y627" s="1">
        <v>93.53</v>
      </c>
      <c r="Z627" s="1">
        <v>65880000</v>
      </c>
      <c r="AA627" s="1">
        <v>93.53</v>
      </c>
      <c r="AB627" s="1">
        <v>4553856</v>
      </c>
      <c r="AC627" s="1">
        <v>65880000</v>
      </c>
    </row>
    <row r="628" spans="1:29" x14ac:dyDescent="0.3">
      <c r="A628">
        <v>2022</v>
      </c>
      <c r="B628">
        <v>100</v>
      </c>
      <c r="C628" t="str">
        <f>"14"</f>
        <v>14</v>
      </c>
      <c r="D628" t="s">
        <v>780</v>
      </c>
      <c r="E628" t="str">
        <f t="shared" si="84"/>
        <v>14 ESCUELA DE GOBIERNO</v>
      </c>
      <c r="F628" s="2">
        <v>2021130010242</v>
      </c>
      <c r="G628" s="2" t="str">
        <f>+VLOOKUP(F628,Hoja2!$F:$I,2,FALSE)</f>
        <v>10. PILAR: CARTAGENA TRANSPARENTE</v>
      </c>
      <c r="H628" s="2" t="str">
        <f>+VLOOKUP(F628,Hoja2!$F:$I,3,FALSE)</f>
        <v>10.6 LÍNEA ESTRATÉGICA: CULTURA CIUDADANA PARA LA DEMOCRACIA Y LA PAZ</v>
      </c>
      <c r="I628" s="2" t="str">
        <f>+VLOOKUP(F628,Hoja2!$F:$I,4,FALSE)</f>
        <v>10.6.4 PROGRAMA: YO SOY CARTAGENA</v>
      </c>
      <c r="J628" t="s">
        <v>787</v>
      </c>
      <c r="K628" t="str">
        <f t="shared" si="88"/>
        <v>001</v>
      </c>
      <c r="L628" t="s">
        <v>25</v>
      </c>
      <c r="M628" t="s">
        <v>26</v>
      </c>
      <c r="N628" t="s">
        <v>27</v>
      </c>
      <c r="O628" t="s">
        <v>788</v>
      </c>
      <c r="P628" t="str">
        <f t="shared" si="85"/>
        <v>2021130010242 FORMACION MI ORGULLO ES CARTAGENA</v>
      </c>
      <c r="Q628" t="str">
        <f t="shared" si="82"/>
        <v>06</v>
      </c>
      <c r="R628" t="str">
        <f t="shared" si="83"/>
        <v>00</v>
      </c>
      <c r="S628" s="1">
        <v>107707847</v>
      </c>
      <c r="T628" s="1">
        <v>0</v>
      </c>
      <c r="U628" s="1">
        <v>107707847</v>
      </c>
      <c r="V628" s="1">
        <v>107707847</v>
      </c>
      <c r="W628" s="1">
        <v>0</v>
      </c>
      <c r="X628" s="1">
        <v>107307847</v>
      </c>
      <c r="Y628" s="1">
        <v>99.63</v>
      </c>
      <c r="Z628" s="1">
        <v>43600000</v>
      </c>
      <c r="AA628" s="1">
        <v>40.479999999999997</v>
      </c>
      <c r="AB628" s="1">
        <v>400000</v>
      </c>
      <c r="AC628" s="1">
        <v>43600000</v>
      </c>
    </row>
    <row r="629" spans="1:29" x14ac:dyDescent="0.3">
      <c r="A629">
        <v>2022</v>
      </c>
      <c r="B629">
        <v>100</v>
      </c>
      <c r="C629" t="str">
        <f>"09"</f>
        <v>09</v>
      </c>
      <c r="D629" t="s">
        <v>559</v>
      </c>
      <c r="E629" t="str">
        <f t="shared" si="84"/>
        <v>09 SECRETARIA DE PLANEACION</v>
      </c>
      <c r="F629" s="2">
        <v>2021130010244</v>
      </c>
      <c r="G629" s="2" t="str">
        <f>+VLOOKUP(F629,Hoja2!$F:$I,2,FALSE)</f>
        <v>08. PILAR CARTAGENA INCLUYENTE</v>
      </c>
      <c r="H629" s="2" t="str">
        <f>+VLOOKUP(F629,Hoja2!$F:$I,3,FALSE)</f>
        <v>8.6 LÍNEA ESTRATÉGICA PLANEACIÓN SOCIAL DEL TERRITORIO</v>
      </c>
      <c r="I629" s="2" t="str">
        <f>+VLOOKUP(F629,Hoja2!$F:$I,4,FALSE)</f>
        <v>8.6.1 PROGRAMA: INSTRUMENTOS DE PLANIFICACIÓN SOCIAL DEL TERRITORIO</v>
      </c>
      <c r="J629" t="s">
        <v>589</v>
      </c>
      <c r="K629" t="str">
        <f>"922"</f>
        <v>922</v>
      </c>
      <c r="L629" t="s">
        <v>78</v>
      </c>
      <c r="M629" t="s">
        <v>26</v>
      </c>
      <c r="N629" t="s">
        <v>27</v>
      </c>
      <c r="O629" t="s">
        <v>590</v>
      </c>
      <c r="P629" t="str">
        <f t="shared" si="85"/>
        <v>2021130010244 ACTUALIZACION Y OPTIMIZACION DEL SISTEMAS DE INFORMACION GEOGRAFICA PARA LA PLANEACION SOCIAL Y TOMA DE DECISIONES DEL TERRITORIO EN  CARTAGENA DE INDIAS</v>
      </c>
      <c r="Q629" t="str">
        <f t="shared" si="82"/>
        <v>06</v>
      </c>
      <c r="R629" t="str">
        <f t="shared" si="83"/>
        <v>00</v>
      </c>
      <c r="S629" s="1">
        <v>0</v>
      </c>
      <c r="T629" s="1">
        <v>217026666.66</v>
      </c>
      <c r="U629" s="1">
        <v>217026666.66</v>
      </c>
      <c r="V629" s="1">
        <v>32000000</v>
      </c>
      <c r="W629" s="1">
        <v>185026666.66</v>
      </c>
      <c r="X629" s="1">
        <v>32000000</v>
      </c>
      <c r="Y629" s="1">
        <v>14.74</v>
      </c>
      <c r="Z629" s="1">
        <v>0</v>
      </c>
      <c r="AA629" s="1">
        <v>0</v>
      </c>
      <c r="AB629" s="1">
        <v>185026666.66</v>
      </c>
      <c r="AC629" s="1">
        <v>0</v>
      </c>
    </row>
    <row r="630" spans="1:29" x14ac:dyDescent="0.3">
      <c r="A630">
        <v>2022</v>
      </c>
      <c r="B630">
        <v>100</v>
      </c>
      <c r="C630" t="str">
        <f>"09"</f>
        <v>09</v>
      </c>
      <c r="D630" t="s">
        <v>559</v>
      </c>
      <c r="E630" t="str">
        <f t="shared" si="84"/>
        <v>09 SECRETARIA DE PLANEACION</v>
      </c>
      <c r="F630" s="2">
        <v>2021130010244</v>
      </c>
      <c r="G630" s="2" t="str">
        <f>+VLOOKUP(F630,Hoja2!$F:$I,2,FALSE)</f>
        <v>08. PILAR CARTAGENA INCLUYENTE</v>
      </c>
      <c r="H630" s="2" t="str">
        <f>+VLOOKUP(F630,Hoja2!$F:$I,3,FALSE)</f>
        <v>8.6 LÍNEA ESTRATÉGICA PLANEACIÓN SOCIAL DEL TERRITORIO</v>
      </c>
      <c r="I630" s="2" t="str">
        <f>+VLOOKUP(F630,Hoja2!$F:$I,4,FALSE)</f>
        <v>8.6.1 PROGRAMA: INSTRUMENTOS DE PLANIFICACIÓN SOCIAL DEL TERRITORIO</v>
      </c>
      <c r="J630" t="s">
        <v>589</v>
      </c>
      <c r="K630" t="str">
        <f>"001"</f>
        <v>001</v>
      </c>
      <c r="L630" t="s">
        <v>25</v>
      </c>
      <c r="M630" t="s">
        <v>26</v>
      </c>
      <c r="N630" t="s">
        <v>27</v>
      </c>
      <c r="O630" t="s">
        <v>590</v>
      </c>
      <c r="P630" t="str">
        <f t="shared" si="85"/>
        <v>2021130010244 ACTUALIZACION Y OPTIMIZACION DEL SISTEMAS DE INFORMACION GEOGRAFICA PARA LA PLANEACION SOCIAL Y TOMA DE DECISIONES DEL TERRITORIO EN  CARTAGENA DE INDIAS</v>
      </c>
      <c r="Q630" t="str">
        <f t="shared" si="82"/>
        <v>06</v>
      </c>
      <c r="R630" t="str">
        <f t="shared" si="83"/>
        <v>00</v>
      </c>
      <c r="S630" s="1">
        <v>328600000</v>
      </c>
      <c r="T630" s="1">
        <v>0</v>
      </c>
      <c r="U630" s="1">
        <v>328600000</v>
      </c>
      <c r="V630" s="1">
        <v>326642740.32999998</v>
      </c>
      <c r="W630" s="1">
        <v>1957259.67</v>
      </c>
      <c r="X630" s="1">
        <v>257638732</v>
      </c>
      <c r="Y630" s="1">
        <v>78.400000000000006</v>
      </c>
      <c r="Z630" s="1">
        <v>257638732</v>
      </c>
      <c r="AA630" s="1">
        <v>78.400000000000006</v>
      </c>
      <c r="AB630" s="1">
        <v>70961268</v>
      </c>
      <c r="AC630" s="1">
        <v>253538732</v>
      </c>
    </row>
    <row r="631" spans="1:29" x14ac:dyDescent="0.3">
      <c r="A631">
        <v>2022</v>
      </c>
      <c r="B631">
        <v>100</v>
      </c>
      <c r="C631" t="str">
        <f>"09"</f>
        <v>09</v>
      </c>
      <c r="D631" t="s">
        <v>559</v>
      </c>
      <c r="E631" t="str">
        <f t="shared" si="84"/>
        <v>09 SECRETARIA DE PLANEACION</v>
      </c>
      <c r="F631" s="2">
        <v>2021130010245</v>
      </c>
      <c r="G631" s="2" t="str">
        <f>+VLOOKUP(F631,Hoja2!$F:$I,2,FALSE)</f>
        <v>09. PILAR CARTAGENA CONTINGENTE</v>
      </c>
      <c r="H631" s="2" t="str">
        <f>+VLOOKUP(F631,Hoja2!$F:$I,3,FALSE)</f>
        <v>9.4 LÍNEA ESTRATÉGICA: PLANEACIÓN E INTEGRACIÓN CONTINGENTE DEL TERRITORIO</v>
      </c>
      <c r="I631" s="2" t="str">
        <f>+VLOOKUP(F631,Hoja2!$F:$I,4,FALSE)</f>
        <v>9.4.1 INTEGRACIÓN Y PROYECTOS ENTRE CIUDADES</v>
      </c>
      <c r="J631" t="s">
        <v>596</v>
      </c>
      <c r="K631" t="str">
        <f>"001"</f>
        <v>001</v>
      </c>
      <c r="L631" t="s">
        <v>25</v>
      </c>
      <c r="M631" t="s">
        <v>26</v>
      </c>
      <c r="N631" t="s">
        <v>27</v>
      </c>
      <c r="O631" t="s">
        <v>597</v>
      </c>
      <c r="P631" t="str">
        <f t="shared" si="85"/>
        <v>2021130010245 ACTUALIZACION DEL AREA METROPOLITANA DE CARTAGENA DE INDIAS BUSCANDO FORTALECER LA CONSOLIDACION DEL AREA DE INTEGRACION COMO UN ESQUEMA ASOCIATIVO QUE FAVOREZCA EL SURGIMIENTO DE PROYECTOS TERRITORIALES  CARTAGENA DE INDIAS</v>
      </c>
      <c r="Q631" t="str">
        <f t="shared" si="82"/>
        <v>06</v>
      </c>
      <c r="R631" t="str">
        <f t="shared" si="83"/>
        <v>00</v>
      </c>
      <c r="S631" s="1">
        <v>239800000</v>
      </c>
      <c r="T631" s="1">
        <v>0</v>
      </c>
      <c r="U631" s="1">
        <v>239800000</v>
      </c>
      <c r="V631" s="1">
        <v>198586666</v>
      </c>
      <c r="W631" s="1">
        <v>41213334</v>
      </c>
      <c r="X631" s="1">
        <v>198586666</v>
      </c>
      <c r="Y631" s="1">
        <v>82.81</v>
      </c>
      <c r="Z631" s="1">
        <v>198586666</v>
      </c>
      <c r="AA631" s="1">
        <v>82.81</v>
      </c>
      <c r="AB631" s="1">
        <v>41213334</v>
      </c>
      <c r="AC631" s="1">
        <v>191586666</v>
      </c>
    </row>
    <row r="632" spans="1:29" x14ac:dyDescent="0.3">
      <c r="A632">
        <v>2022</v>
      </c>
      <c r="B632">
        <v>100</v>
      </c>
      <c r="C632" t="str">
        <f t="shared" ref="C632:C662" si="89">"12"</f>
        <v>12</v>
      </c>
      <c r="D632" t="s">
        <v>736</v>
      </c>
      <c r="E632" t="str">
        <f t="shared" si="84"/>
        <v>12 DEPARTAMENTO ADMINISTRATIVO DE TRANSITO Y TRANSPORTE</v>
      </c>
      <c r="F632" s="2">
        <v>2021130010246</v>
      </c>
      <c r="G632" s="2" t="str">
        <f>+VLOOKUP(F632,Hoja2!$F:$I,2,FALSE)</f>
        <v>07. PILAR CARTAGENA RESILIENTE</v>
      </c>
      <c r="H632" s="2" t="str">
        <f>+VLOOKUP(F632,Hoja2!$F:$I,3,FALSE)</f>
        <v>7.2 LÍNEA ESTRATÉGICA ESPACIO PÚBLICO, MOVILIDAD Y TRANSPORTE RESILIENTE</v>
      </c>
      <c r="I632" s="2" t="str">
        <f>+VLOOKUP(F632,Hoja2!$F:$I,4,FALSE)</f>
        <v>7.2.6 REDUCCIÓN DE LA SINIESTRALIDAD VIAL</v>
      </c>
      <c r="J632" t="s">
        <v>744</v>
      </c>
      <c r="K632" t="str">
        <f>"846"</f>
        <v>846</v>
      </c>
      <c r="L632" t="s">
        <v>743</v>
      </c>
      <c r="M632" t="s">
        <v>26</v>
      </c>
      <c r="N632" t="s">
        <v>27</v>
      </c>
      <c r="O632" t="s">
        <v>745</v>
      </c>
      <c r="P632" t="str">
        <f t="shared" si="85"/>
        <v>2021130010246 FORTALECIMIENTO DE LA EDUCACION CULTURA Y SEGURIDAD VIAL EN EL DISTRITO DE   CARTAGENA DE INDIAS</v>
      </c>
      <c r="Q632" t="str">
        <f t="shared" si="82"/>
        <v>06</v>
      </c>
      <c r="R632" t="str">
        <f t="shared" si="83"/>
        <v>00</v>
      </c>
      <c r="S632" s="1">
        <v>0</v>
      </c>
      <c r="T632" s="1">
        <v>230149618</v>
      </c>
      <c r="U632" s="1">
        <v>230149618</v>
      </c>
      <c r="V632" s="1">
        <v>178276253.50999999</v>
      </c>
      <c r="W632" s="1">
        <v>51873364.490000002</v>
      </c>
      <c r="X632" s="1">
        <v>151321358.09999999</v>
      </c>
      <c r="Y632" s="1">
        <v>65.75</v>
      </c>
      <c r="Z632" s="1">
        <v>70778090.349999994</v>
      </c>
      <c r="AA632" s="1">
        <v>30.75</v>
      </c>
      <c r="AB632" s="1">
        <v>78828259.900000006</v>
      </c>
      <c r="AC632" s="1">
        <v>35848000</v>
      </c>
    </row>
    <row r="633" spans="1:29" x14ac:dyDescent="0.3">
      <c r="A633">
        <v>2022</v>
      </c>
      <c r="B633">
        <v>100</v>
      </c>
      <c r="C633" t="str">
        <f t="shared" si="89"/>
        <v>12</v>
      </c>
      <c r="D633" t="s">
        <v>736</v>
      </c>
      <c r="E633" t="str">
        <f t="shared" si="84"/>
        <v>12 DEPARTAMENTO ADMINISTRATIVO DE TRANSITO Y TRANSPORTE</v>
      </c>
      <c r="F633" s="2">
        <v>2021130010246</v>
      </c>
      <c r="G633" s="2" t="str">
        <f>+VLOOKUP(F633,Hoja2!$F:$I,2,FALSE)</f>
        <v>07. PILAR CARTAGENA RESILIENTE</v>
      </c>
      <c r="H633" s="2" t="str">
        <f>+VLOOKUP(F633,Hoja2!$F:$I,3,FALSE)</f>
        <v>7.2 LÍNEA ESTRATÉGICA ESPACIO PÚBLICO, MOVILIDAD Y TRANSPORTE RESILIENTE</v>
      </c>
      <c r="I633" s="2" t="str">
        <f>+VLOOKUP(F633,Hoja2!$F:$I,4,FALSE)</f>
        <v>7.2.6 REDUCCIÓN DE LA SINIESTRALIDAD VIAL</v>
      </c>
      <c r="J633" t="s">
        <v>744</v>
      </c>
      <c r="K633" t="str">
        <f>"862"</f>
        <v>862</v>
      </c>
      <c r="L633" t="s">
        <v>759</v>
      </c>
      <c r="M633" t="s">
        <v>26</v>
      </c>
      <c r="N633" t="s">
        <v>27</v>
      </c>
      <c r="O633" t="s">
        <v>745</v>
      </c>
      <c r="P633" t="str">
        <f t="shared" si="85"/>
        <v>2021130010246 FORTALECIMIENTO DE LA EDUCACION CULTURA Y SEGURIDAD VIAL EN EL DISTRITO DE   CARTAGENA DE INDIAS</v>
      </c>
      <c r="Q633" t="str">
        <f t="shared" si="82"/>
        <v>06</v>
      </c>
      <c r="R633" t="str">
        <f t="shared" si="83"/>
        <v>00</v>
      </c>
      <c r="S633" s="1">
        <v>0</v>
      </c>
      <c r="T633" s="1">
        <v>23350199.600000001</v>
      </c>
      <c r="U633" s="1">
        <v>23350199.600000001</v>
      </c>
      <c r="V633" s="1">
        <v>11465494.359999999</v>
      </c>
      <c r="W633" s="1">
        <v>11884705.24</v>
      </c>
      <c r="X633" s="1">
        <v>8588126.2799999993</v>
      </c>
      <c r="Y633" s="1">
        <v>36.78</v>
      </c>
      <c r="Z633" s="1">
        <v>0</v>
      </c>
      <c r="AA633" s="1">
        <v>0</v>
      </c>
      <c r="AB633" s="1">
        <v>14762073.32</v>
      </c>
      <c r="AC633" s="1">
        <v>0</v>
      </c>
    </row>
    <row r="634" spans="1:29" x14ac:dyDescent="0.3">
      <c r="A634">
        <v>2022</v>
      </c>
      <c r="B634">
        <v>100</v>
      </c>
      <c r="C634" t="str">
        <f t="shared" si="89"/>
        <v>12</v>
      </c>
      <c r="D634" t="s">
        <v>736</v>
      </c>
      <c r="E634" t="str">
        <f t="shared" si="84"/>
        <v>12 DEPARTAMENTO ADMINISTRATIVO DE TRANSITO Y TRANSPORTE</v>
      </c>
      <c r="F634" s="2">
        <v>2021130010246</v>
      </c>
      <c r="G634" s="2" t="str">
        <f>+VLOOKUP(F634,Hoja2!$F:$I,2,FALSE)</f>
        <v>07. PILAR CARTAGENA RESILIENTE</v>
      </c>
      <c r="H634" s="2" t="str">
        <f>+VLOOKUP(F634,Hoja2!$F:$I,3,FALSE)</f>
        <v>7.2 LÍNEA ESTRATÉGICA ESPACIO PÚBLICO, MOVILIDAD Y TRANSPORTE RESILIENTE</v>
      </c>
      <c r="I634" s="2" t="str">
        <f>+VLOOKUP(F634,Hoja2!$F:$I,4,FALSE)</f>
        <v>7.2.6 REDUCCIÓN DE LA SINIESTRALIDAD VIAL</v>
      </c>
      <c r="J634" t="s">
        <v>744</v>
      </c>
      <c r="K634" t="str">
        <f>"168"</f>
        <v>168</v>
      </c>
      <c r="L634" t="s">
        <v>764</v>
      </c>
      <c r="M634" t="s">
        <v>26</v>
      </c>
      <c r="N634" t="s">
        <v>27</v>
      </c>
      <c r="O634" t="s">
        <v>745</v>
      </c>
      <c r="P634" t="str">
        <f t="shared" si="85"/>
        <v>2021130010246 FORTALECIMIENTO DE LA EDUCACION CULTURA Y SEGURIDAD VIAL EN EL DISTRITO DE   CARTAGENA DE INDIAS</v>
      </c>
      <c r="Q634" t="str">
        <f t="shared" si="82"/>
        <v>06</v>
      </c>
      <c r="R634" t="str">
        <f t="shared" si="83"/>
        <v>00</v>
      </c>
      <c r="S634" s="1">
        <v>1569400000</v>
      </c>
      <c r="T634" s="1">
        <v>-62101923.07</v>
      </c>
      <c r="U634" s="1">
        <v>1507298076.9300001</v>
      </c>
      <c r="V634" s="1">
        <v>1500723905</v>
      </c>
      <c r="W634" s="1">
        <v>6574171.9299999997</v>
      </c>
      <c r="X634" s="1">
        <v>1500723905</v>
      </c>
      <c r="Y634" s="1">
        <v>99.56</v>
      </c>
      <c r="Z634" s="1">
        <v>1479075666</v>
      </c>
      <c r="AA634" s="1">
        <v>98.13</v>
      </c>
      <c r="AB634" s="1">
        <v>6574171.9299999997</v>
      </c>
      <c r="AC634" s="1">
        <v>1439374333</v>
      </c>
    </row>
    <row r="635" spans="1:29" x14ac:dyDescent="0.3">
      <c r="A635">
        <v>2022</v>
      </c>
      <c r="B635">
        <v>100</v>
      </c>
      <c r="C635" t="str">
        <f t="shared" si="89"/>
        <v>12</v>
      </c>
      <c r="D635" t="s">
        <v>736</v>
      </c>
      <c r="E635" t="str">
        <f t="shared" si="84"/>
        <v>12 DEPARTAMENTO ADMINISTRATIVO DE TRANSITO Y TRANSPORTE</v>
      </c>
      <c r="F635" s="2">
        <v>2021130010246</v>
      </c>
      <c r="G635" s="2" t="str">
        <f>+VLOOKUP(F635,Hoja2!$F:$I,2,FALSE)</f>
        <v>07. PILAR CARTAGENA RESILIENTE</v>
      </c>
      <c r="H635" s="2" t="str">
        <f>+VLOOKUP(F635,Hoja2!$F:$I,3,FALSE)</f>
        <v>7.2 LÍNEA ESTRATÉGICA ESPACIO PÚBLICO, MOVILIDAD Y TRANSPORTE RESILIENTE</v>
      </c>
      <c r="I635" s="2" t="str">
        <f>+VLOOKUP(F635,Hoja2!$F:$I,4,FALSE)</f>
        <v>7.2.6 REDUCCIÓN DE LA SINIESTRALIDAD VIAL</v>
      </c>
      <c r="J635" t="s">
        <v>744</v>
      </c>
      <c r="K635" t="str">
        <f>"861"</f>
        <v>861</v>
      </c>
      <c r="L635" t="s">
        <v>765</v>
      </c>
      <c r="M635" t="s">
        <v>26</v>
      </c>
      <c r="N635" t="s">
        <v>27</v>
      </c>
      <c r="O635" t="s">
        <v>745</v>
      </c>
      <c r="P635" t="str">
        <f t="shared" si="85"/>
        <v>2021130010246 FORTALECIMIENTO DE LA EDUCACION CULTURA Y SEGURIDAD VIAL EN EL DISTRITO DE   CARTAGENA DE INDIAS</v>
      </c>
      <c r="Q635" t="str">
        <f t="shared" si="82"/>
        <v>06</v>
      </c>
      <c r="R635" t="str">
        <f t="shared" si="83"/>
        <v>00</v>
      </c>
      <c r="S635" s="1">
        <v>0</v>
      </c>
      <c r="T635" s="1">
        <v>586276137.63999999</v>
      </c>
      <c r="U635" s="1">
        <v>586276137.63999999</v>
      </c>
      <c r="V635" s="1">
        <v>586276137.63999999</v>
      </c>
      <c r="W635" s="1">
        <v>0</v>
      </c>
      <c r="X635" s="1">
        <v>486632777.63999999</v>
      </c>
      <c r="Y635" s="1">
        <v>83</v>
      </c>
      <c r="Z635" s="1">
        <v>443882338</v>
      </c>
      <c r="AA635" s="1">
        <v>75.709999999999994</v>
      </c>
      <c r="AB635" s="1">
        <v>99643360</v>
      </c>
      <c r="AC635" s="1">
        <v>388421004</v>
      </c>
    </row>
    <row r="636" spans="1:29" x14ac:dyDescent="0.3">
      <c r="A636">
        <v>2022</v>
      </c>
      <c r="B636">
        <v>100</v>
      </c>
      <c r="C636" t="str">
        <f t="shared" si="89"/>
        <v>12</v>
      </c>
      <c r="D636" t="s">
        <v>736</v>
      </c>
      <c r="E636" t="str">
        <f t="shared" si="84"/>
        <v>12 DEPARTAMENTO ADMINISTRATIVO DE TRANSITO Y TRANSPORTE</v>
      </c>
      <c r="F636" s="2">
        <v>2021130010246</v>
      </c>
      <c r="G636" s="2" t="str">
        <f>+VLOOKUP(F636,Hoja2!$F:$I,2,FALSE)</f>
        <v>07. PILAR CARTAGENA RESILIENTE</v>
      </c>
      <c r="H636" s="2" t="str">
        <f>+VLOOKUP(F636,Hoja2!$F:$I,3,FALSE)</f>
        <v>7.2 LÍNEA ESTRATÉGICA ESPACIO PÚBLICO, MOVILIDAD Y TRANSPORTE RESILIENTE</v>
      </c>
      <c r="I636" s="2" t="str">
        <f>+VLOOKUP(F636,Hoja2!$F:$I,4,FALSE)</f>
        <v>7.2.6 REDUCCIÓN DE LA SINIESTRALIDAD VIAL</v>
      </c>
      <c r="J636" t="s">
        <v>744</v>
      </c>
      <c r="K636" t="str">
        <f>"022"</f>
        <v>022</v>
      </c>
      <c r="L636" t="s">
        <v>741</v>
      </c>
      <c r="M636" t="s">
        <v>26</v>
      </c>
      <c r="N636" t="s">
        <v>27</v>
      </c>
      <c r="O636" t="s">
        <v>745</v>
      </c>
      <c r="P636" t="str">
        <f t="shared" si="85"/>
        <v>2021130010246 FORTALECIMIENTO DE LA EDUCACION CULTURA Y SEGURIDAD VIAL EN EL DISTRITO DE   CARTAGENA DE INDIAS</v>
      </c>
      <c r="Q636" t="str">
        <f t="shared" si="82"/>
        <v>06</v>
      </c>
      <c r="R636" t="str">
        <f t="shared" si="83"/>
        <v>00</v>
      </c>
      <c r="S636" s="1">
        <v>103885892</v>
      </c>
      <c r="T636" s="1">
        <v>-103885889</v>
      </c>
      <c r="U636" s="1">
        <v>3</v>
      </c>
      <c r="V636" s="1">
        <v>0</v>
      </c>
      <c r="W636" s="1">
        <v>3</v>
      </c>
      <c r="X636" s="1">
        <v>0</v>
      </c>
      <c r="Y636" s="1">
        <v>0</v>
      </c>
      <c r="Z636" s="1">
        <v>0</v>
      </c>
      <c r="AA636" s="1">
        <v>0</v>
      </c>
      <c r="AB636" s="1">
        <v>3</v>
      </c>
      <c r="AC636" s="1">
        <v>0</v>
      </c>
    </row>
    <row r="637" spans="1:29" x14ac:dyDescent="0.3">
      <c r="A637">
        <v>2022</v>
      </c>
      <c r="B637">
        <v>100</v>
      </c>
      <c r="C637" t="str">
        <f t="shared" si="89"/>
        <v>12</v>
      </c>
      <c r="D637" t="s">
        <v>736</v>
      </c>
      <c r="E637" t="str">
        <f t="shared" si="84"/>
        <v>12 DEPARTAMENTO ADMINISTRATIVO DE TRANSITO Y TRANSPORTE</v>
      </c>
      <c r="F637" s="2">
        <v>2021130010247</v>
      </c>
      <c r="G637" s="2" t="str">
        <f>+VLOOKUP(F637,Hoja2!$F:$I,2,FALSE)</f>
        <v>07. PILAR CARTAGENA RESILIENTE</v>
      </c>
      <c r="H637" s="2" t="str">
        <f>+VLOOKUP(F637,Hoja2!$F:$I,3,FALSE)</f>
        <v>7.2 LÍNEA ESTRATÉGICA ESPACIO PÚBLICO, MOVILIDAD Y TRANSPORTE RESILIENTE</v>
      </c>
      <c r="I637" s="2" t="str">
        <f>+VLOOKUP(F637,Hoja2!$F:$I,4,FALSE)</f>
        <v>7.2.6 REDUCCIÓN DE LA SINIESTRALIDAD VIAL</v>
      </c>
      <c r="J637" t="s">
        <v>746</v>
      </c>
      <c r="K637" t="str">
        <f>"846"</f>
        <v>846</v>
      </c>
      <c r="L637" t="s">
        <v>743</v>
      </c>
      <c r="M637" t="s">
        <v>26</v>
      </c>
      <c r="N637" t="s">
        <v>27</v>
      </c>
      <c r="O637" t="s">
        <v>747</v>
      </c>
      <c r="P637" t="str">
        <f t="shared" si="85"/>
        <v>2021130010247 AMPLIACION Y MANTENIMIENTO DE LA SE?ALIZACION VIAL EN EL DISTRITO DE CARTAGENA DE INDIAS</v>
      </c>
      <c r="Q637" t="str">
        <f t="shared" si="82"/>
        <v>06</v>
      </c>
      <c r="R637" t="str">
        <f t="shared" si="83"/>
        <v>00</v>
      </c>
      <c r="S637" s="1">
        <v>0</v>
      </c>
      <c r="T637" s="1">
        <v>407989845</v>
      </c>
      <c r="U637" s="1">
        <v>407989845</v>
      </c>
      <c r="V637" s="1">
        <v>407989844</v>
      </c>
      <c r="W637" s="1">
        <v>1</v>
      </c>
      <c r="X637" s="1">
        <v>372331137</v>
      </c>
      <c r="Y637" s="1">
        <v>91.26</v>
      </c>
      <c r="Z637" s="1">
        <v>0</v>
      </c>
      <c r="AA637" s="1">
        <v>0</v>
      </c>
      <c r="AB637" s="1">
        <v>35658708</v>
      </c>
      <c r="AC637" s="1">
        <v>0</v>
      </c>
    </row>
    <row r="638" spans="1:29" x14ac:dyDescent="0.3">
      <c r="A638">
        <v>2022</v>
      </c>
      <c r="B638">
        <v>100</v>
      </c>
      <c r="C638" t="str">
        <f t="shared" si="89"/>
        <v>12</v>
      </c>
      <c r="D638" t="s">
        <v>736</v>
      </c>
      <c r="E638" t="str">
        <f t="shared" si="84"/>
        <v>12 DEPARTAMENTO ADMINISTRATIVO DE TRANSITO Y TRANSPORTE</v>
      </c>
      <c r="F638" s="2">
        <v>2021130010247</v>
      </c>
      <c r="G638" s="2" t="str">
        <f>+VLOOKUP(F638,Hoja2!$F:$I,2,FALSE)</f>
        <v>07. PILAR CARTAGENA RESILIENTE</v>
      </c>
      <c r="H638" s="2" t="str">
        <f>+VLOOKUP(F638,Hoja2!$F:$I,3,FALSE)</f>
        <v>7.2 LÍNEA ESTRATÉGICA ESPACIO PÚBLICO, MOVILIDAD Y TRANSPORTE RESILIENTE</v>
      </c>
      <c r="I638" s="2" t="str">
        <f>+VLOOKUP(F638,Hoja2!$F:$I,4,FALSE)</f>
        <v>7.2.6 REDUCCIÓN DE LA SINIESTRALIDAD VIAL</v>
      </c>
      <c r="J638" t="s">
        <v>746</v>
      </c>
      <c r="K638" t="str">
        <f>"079"</f>
        <v>079</v>
      </c>
      <c r="L638" t="s">
        <v>760</v>
      </c>
      <c r="M638" t="s">
        <v>26</v>
      </c>
      <c r="N638" t="s">
        <v>27</v>
      </c>
      <c r="O638" t="s">
        <v>761</v>
      </c>
      <c r="P638" t="str">
        <f t="shared" si="85"/>
        <v>2021130010247 AMPLIACION Y MANTENIMIENTO DE LA SE?ALIZACION VIAL EN EL DISTRITO DE  CARTAGENA DE INDIAS</v>
      </c>
      <c r="Q638" t="str">
        <f t="shared" si="82"/>
        <v>06</v>
      </c>
      <c r="R638" t="str">
        <f t="shared" si="83"/>
        <v>00</v>
      </c>
      <c r="S638" s="1">
        <v>14829657</v>
      </c>
      <c r="T638" s="1">
        <v>0</v>
      </c>
      <c r="U638" s="1">
        <v>14829657</v>
      </c>
      <c r="V638" s="1">
        <v>14829657</v>
      </c>
      <c r="W638" s="1">
        <v>0</v>
      </c>
      <c r="X638" s="1">
        <v>14786594</v>
      </c>
      <c r="Y638" s="1">
        <v>99.71</v>
      </c>
      <c r="Z638" s="1">
        <v>0</v>
      </c>
      <c r="AA638" s="1">
        <v>0</v>
      </c>
      <c r="AB638" s="1">
        <v>43063</v>
      </c>
      <c r="AC638" s="1">
        <v>0</v>
      </c>
    </row>
    <row r="639" spans="1:29" x14ac:dyDescent="0.3">
      <c r="A639">
        <v>2022</v>
      </c>
      <c r="B639">
        <v>100</v>
      </c>
      <c r="C639" t="str">
        <f t="shared" si="89"/>
        <v>12</v>
      </c>
      <c r="D639" t="s">
        <v>736</v>
      </c>
      <c r="E639" t="str">
        <f t="shared" si="84"/>
        <v>12 DEPARTAMENTO ADMINISTRATIVO DE TRANSITO Y TRANSPORTE</v>
      </c>
      <c r="F639" s="2">
        <v>2021130010247</v>
      </c>
      <c r="G639" s="2" t="str">
        <f>+VLOOKUP(F639,Hoja2!$F:$I,2,FALSE)</f>
        <v>07. PILAR CARTAGENA RESILIENTE</v>
      </c>
      <c r="H639" s="2" t="str">
        <f>+VLOOKUP(F639,Hoja2!$F:$I,3,FALSE)</f>
        <v>7.2 LÍNEA ESTRATÉGICA ESPACIO PÚBLICO, MOVILIDAD Y TRANSPORTE RESILIENTE</v>
      </c>
      <c r="I639" s="2" t="str">
        <f>+VLOOKUP(F639,Hoja2!$F:$I,4,FALSE)</f>
        <v>7.2.6 REDUCCIÓN DE LA SINIESTRALIDAD VIAL</v>
      </c>
      <c r="J639" t="s">
        <v>746</v>
      </c>
      <c r="K639" t="str">
        <f>"164"</f>
        <v>164</v>
      </c>
      <c r="L639" t="s">
        <v>762</v>
      </c>
      <c r="M639" t="s">
        <v>26</v>
      </c>
      <c r="N639" t="s">
        <v>27</v>
      </c>
      <c r="O639" t="s">
        <v>761</v>
      </c>
      <c r="P639" t="str">
        <f t="shared" si="85"/>
        <v>2021130010247 AMPLIACION Y MANTENIMIENTO DE LA SE?ALIZACION VIAL EN EL DISTRITO DE  CARTAGENA DE INDIAS</v>
      </c>
      <c r="Q639" t="str">
        <f t="shared" si="82"/>
        <v>06</v>
      </c>
      <c r="R639" t="str">
        <f t="shared" si="83"/>
        <v>00</v>
      </c>
      <c r="S639" s="1">
        <v>203337558</v>
      </c>
      <c r="T639" s="1">
        <v>0</v>
      </c>
      <c r="U639" s="1">
        <v>203337558</v>
      </c>
      <c r="V639" s="1">
        <v>203337558</v>
      </c>
      <c r="W639" s="1">
        <v>0</v>
      </c>
      <c r="X639" s="1">
        <v>203337558</v>
      </c>
      <c r="Y639" s="1">
        <v>100</v>
      </c>
      <c r="Z639" s="1">
        <v>0</v>
      </c>
      <c r="AA639" s="1">
        <v>0</v>
      </c>
      <c r="AB639" s="1">
        <v>0</v>
      </c>
      <c r="AC639" s="1">
        <v>0</v>
      </c>
    </row>
    <row r="640" spans="1:29" x14ac:dyDescent="0.3">
      <c r="A640">
        <v>2022</v>
      </c>
      <c r="B640">
        <v>100</v>
      </c>
      <c r="C640" t="str">
        <f t="shared" si="89"/>
        <v>12</v>
      </c>
      <c r="D640" t="s">
        <v>736</v>
      </c>
      <c r="E640" t="str">
        <f t="shared" si="84"/>
        <v>12 DEPARTAMENTO ADMINISTRATIVO DE TRANSITO Y TRANSPORTE</v>
      </c>
      <c r="F640" s="2">
        <v>2021130010247</v>
      </c>
      <c r="G640" s="2" t="str">
        <f>+VLOOKUP(F640,Hoja2!$F:$I,2,FALSE)</f>
        <v>07. PILAR CARTAGENA RESILIENTE</v>
      </c>
      <c r="H640" s="2" t="str">
        <f>+VLOOKUP(F640,Hoja2!$F:$I,3,FALSE)</f>
        <v>7.2 LÍNEA ESTRATÉGICA ESPACIO PÚBLICO, MOVILIDAD Y TRANSPORTE RESILIENTE</v>
      </c>
      <c r="I640" s="2" t="str">
        <f>+VLOOKUP(F640,Hoja2!$F:$I,4,FALSE)</f>
        <v>7.2.6 REDUCCIÓN DE LA SINIESTRALIDAD VIAL</v>
      </c>
      <c r="J640" t="s">
        <v>746</v>
      </c>
      <c r="K640" t="str">
        <f>"165"</f>
        <v>165</v>
      </c>
      <c r="L640" t="s">
        <v>763</v>
      </c>
      <c r="M640" t="s">
        <v>26</v>
      </c>
      <c r="N640" t="s">
        <v>27</v>
      </c>
      <c r="O640" t="s">
        <v>761</v>
      </c>
      <c r="P640" t="str">
        <f t="shared" si="85"/>
        <v>2021130010247 AMPLIACION Y MANTENIMIENTO DE LA SE?ALIZACION VIAL EN EL DISTRITO DE  CARTAGENA DE INDIAS</v>
      </c>
      <c r="Q640" t="str">
        <f t="shared" si="82"/>
        <v>06</v>
      </c>
      <c r="R640" t="str">
        <f t="shared" si="83"/>
        <v>00</v>
      </c>
      <c r="S640" s="1">
        <v>203337558</v>
      </c>
      <c r="T640" s="1">
        <v>0</v>
      </c>
      <c r="U640" s="1">
        <v>203337558</v>
      </c>
      <c r="V640" s="1">
        <v>203337558</v>
      </c>
      <c r="W640" s="1">
        <v>0</v>
      </c>
      <c r="X640" s="1">
        <v>203337558</v>
      </c>
      <c r="Y640" s="1">
        <v>100</v>
      </c>
      <c r="Z640" s="1">
        <v>0</v>
      </c>
      <c r="AA640" s="1">
        <v>0</v>
      </c>
      <c r="AB640" s="1">
        <v>0</v>
      </c>
      <c r="AC640" s="1">
        <v>0</v>
      </c>
    </row>
    <row r="641" spans="1:29" x14ac:dyDescent="0.3">
      <c r="A641">
        <v>2022</v>
      </c>
      <c r="B641">
        <v>100</v>
      </c>
      <c r="C641" t="str">
        <f t="shared" si="89"/>
        <v>12</v>
      </c>
      <c r="D641" t="s">
        <v>736</v>
      </c>
      <c r="E641" t="str">
        <f t="shared" si="84"/>
        <v>12 DEPARTAMENTO ADMINISTRATIVO DE TRANSITO Y TRANSPORTE</v>
      </c>
      <c r="F641" s="2">
        <v>2021130010247</v>
      </c>
      <c r="G641" s="2" t="str">
        <f>+VLOOKUP(F641,Hoja2!$F:$I,2,FALSE)</f>
        <v>07. PILAR CARTAGENA RESILIENTE</v>
      </c>
      <c r="H641" s="2" t="str">
        <f>+VLOOKUP(F641,Hoja2!$F:$I,3,FALSE)</f>
        <v>7.2 LÍNEA ESTRATÉGICA ESPACIO PÚBLICO, MOVILIDAD Y TRANSPORTE RESILIENTE</v>
      </c>
      <c r="I641" s="2" t="str">
        <f>+VLOOKUP(F641,Hoja2!$F:$I,4,FALSE)</f>
        <v>7.2.6 REDUCCIÓN DE LA SINIESTRALIDAD VIAL</v>
      </c>
      <c r="J641" t="s">
        <v>746</v>
      </c>
      <c r="K641" t="str">
        <f>"168"</f>
        <v>168</v>
      </c>
      <c r="L641" t="s">
        <v>764</v>
      </c>
      <c r="M641" t="s">
        <v>26</v>
      </c>
      <c r="N641" t="s">
        <v>27</v>
      </c>
      <c r="O641" t="s">
        <v>761</v>
      </c>
      <c r="P641" t="str">
        <f t="shared" si="85"/>
        <v>2021130010247 AMPLIACION Y MANTENIMIENTO DE LA SE?ALIZACION VIAL EN EL DISTRITO DE  CARTAGENA DE INDIAS</v>
      </c>
      <c r="Q641" t="str">
        <f t="shared" si="82"/>
        <v>06</v>
      </c>
      <c r="R641" t="str">
        <f t="shared" si="83"/>
        <v>00</v>
      </c>
      <c r="S641" s="1">
        <v>385170342.56</v>
      </c>
      <c r="T641" s="1">
        <v>0</v>
      </c>
      <c r="U641" s="1">
        <v>385170342.56</v>
      </c>
      <c r="V641" s="1">
        <v>385170342</v>
      </c>
      <c r="W641" s="1">
        <v>0.56000000000000005</v>
      </c>
      <c r="X641" s="1">
        <v>291894048</v>
      </c>
      <c r="Y641" s="1">
        <v>75.78</v>
      </c>
      <c r="Z641" s="1">
        <v>0</v>
      </c>
      <c r="AA641" s="1">
        <v>0</v>
      </c>
      <c r="AB641" s="1">
        <v>93276294.560000002</v>
      </c>
      <c r="AC641" s="1">
        <v>0</v>
      </c>
    </row>
    <row r="642" spans="1:29" x14ac:dyDescent="0.3">
      <c r="A642">
        <v>2022</v>
      </c>
      <c r="B642">
        <v>100</v>
      </c>
      <c r="C642" t="str">
        <f t="shared" si="89"/>
        <v>12</v>
      </c>
      <c r="D642" t="s">
        <v>736</v>
      </c>
      <c r="E642" t="str">
        <f t="shared" si="84"/>
        <v>12 DEPARTAMENTO ADMINISTRATIVO DE TRANSITO Y TRANSPORTE</v>
      </c>
      <c r="F642" s="2">
        <v>2021130010247</v>
      </c>
      <c r="G642" s="2" t="str">
        <f>+VLOOKUP(F642,Hoja2!$F:$I,2,FALSE)</f>
        <v>07. PILAR CARTAGENA RESILIENTE</v>
      </c>
      <c r="H642" s="2" t="str">
        <f>+VLOOKUP(F642,Hoja2!$F:$I,3,FALSE)</f>
        <v>7.2 LÍNEA ESTRATÉGICA ESPACIO PÚBLICO, MOVILIDAD Y TRANSPORTE RESILIENTE</v>
      </c>
      <c r="I642" s="2" t="str">
        <f>+VLOOKUP(F642,Hoja2!$F:$I,4,FALSE)</f>
        <v>7.2.6 REDUCCIÓN DE LA SINIESTRALIDAD VIAL</v>
      </c>
      <c r="J642" t="s">
        <v>746</v>
      </c>
      <c r="K642" t="str">
        <f>"861"</f>
        <v>861</v>
      </c>
      <c r="L642" t="s">
        <v>765</v>
      </c>
      <c r="M642" t="s">
        <v>26</v>
      </c>
      <c r="N642" t="s">
        <v>27</v>
      </c>
      <c r="O642" t="s">
        <v>761</v>
      </c>
      <c r="P642" t="str">
        <f t="shared" si="85"/>
        <v>2021130010247 AMPLIACION Y MANTENIMIENTO DE LA SE?ALIZACION VIAL EN EL DISTRITO DE  CARTAGENA DE INDIAS</v>
      </c>
      <c r="Q642" t="str">
        <f t="shared" ref="Q642:Q705" si="90">"06"</f>
        <v>06</v>
      </c>
      <c r="R642" t="str">
        <f t="shared" ref="R642:R705" si="91">"00"</f>
        <v>00</v>
      </c>
      <c r="S642" s="1">
        <v>0</v>
      </c>
      <c r="T642" s="1">
        <v>1283595654.6900001</v>
      </c>
      <c r="U642" s="1">
        <v>1283595654.6900001</v>
      </c>
      <c r="V642" s="1">
        <v>918244439.91999996</v>
      </c>
      <c r="W642" s="1">
        <v>365351214.76999998</v>
      </c>
      <c r="X642" s="1">
        <v>388506528.86000001</v>
      </c>
      <c r="Y642" s="1">
        <v>30.27</v>
      </c>
      <c r="Z642" s="1">
        <v>0</v>
      </c>
      <c r="AA642" s="1">
        <v>0</v>
      </c>
      <c r="AB642" s="1">
        <v>895089125.83000004</v>
      </c>
      <c r="AC642" s="1">
        <v>0</v>
      </c>
    </row>
    <row r="643" spans="1:29" x14ac:dyDescent="0.3">
      <c r="A643">
        <v>2022</v>
      </c>
      <c r="B643">
        <v>100</v>
      </c>
      <c r="C643" t="str">
        <f t="shared" si="89"/>
        <v>12</v>
      </c>
      <c r="D643" t="s">
        <v>736</v>
      </c>
      <c r="E643" t="str">
        <f t="shared" ref="E643:E706" si="92">+CONCATENATE(C643," ",D643)</f>
        <v>12 DEPARTAMENTO ADMINISTRATIVO DE TRANSITO Y TRANSPORTE</v>
      </c>
      <c r="F643" s="2">
        <v>2021130010247</v>
      </c>
      <c r="G643" s="2" t="str">
        <f>+VLOOKUP(F643,Hoja2!$F:$I,2,FALSE)</f>
        <v>07. PILAR CARTAGENA RESILIENTE</v>
      </c>
      <c r="H643" s="2" t="str">
        <f>+VLOOKUP(F643,Hoja2!$F:$I,3,FALSE)</f>
        <v>7.2 LÍNEA ESTRATÉGICA ESPACIO PÚBLICO, MOVILIDAD Y TRANSPORTE RESILIENTE</v>
      </c>
      <c r="I643" s="2" t="str">
        <f>+VLOOKUP(F643,Hoja2!$F:$I,4,FALSE)</f>
        <v>7.2.6 REDUCCIÓN DE LA SINIESTRALIDAD VIAL</v>
      </c>
      <c r="J643" t="s">
        <v>746</v>
      </c>
      <c r="K643" t="str">
        <f>"001"</f>
        <v>001</v>
      </c>
      <c r="L643" t="s">
        <v>25</v>
      </c>
      <c r="M643" t="s">
        <v>26</v>
      </c>
      <c r="N643" t="s">
        <v>27</v>
      </c>
      <c r="O643" t="s">
        <v>761</v>
      </c>
      <c r="P643" t="str">
        <f t="shared" ref="P643:P706" si="93">+CONCATENATE(F643," ",O643)</f>
        <v>2021130010247 AMPLIACION Y MANTENIMIENTO DE LA SE?ALIZACION VIAL EN EL DISTRITO DE  CARTAGENA DE INDIAS</v>
      </c>
      <c r="Q643" t="str">
        <f t="shared" si="90"/>
        <v>06</v>
      </c>
      <c r="R643" t="str">
        <f t="shared" si="91"/>
        <v>00</v>
      </c>
      <c r="S643" s="1">
        <v>2000000000</v>
      </c>
      <c r="T643" s="1">
        <v>0</v>
      </c>
      <c r="U643" s="1">
        <v>2000000000</v>
      </c>
      <c r="V643" s="1">
        <v>1892152647.6500001</v>
      </c>
      <c r="W643" s="1">
        <v>107847352.34999999</v>
      </c>
      <c r="X643" s="1">
        <v>1790581034.6500001</v>
      </c>
      <c r="Y643" s="1">
        <v>89.53</v>
      </c>
      <c r="Z643" s="1">
        <v>237533100</v>
      </c>
      <c r="AA643" s="1">
        <v>11.88</v>
      </c>
      <c r="AB643" s="1">
        <v>209418965.34999999</v>
      </c>
      <c r="AC643" s="1">
        <v>205551600</v>
      </c>
    </row>
    <row r="644" spans="1:29" x14ac:dyDescent="0.3">
      <c r="A644">
        <v>2022</v>
      </c>
      <c r="B644">
        <v>100</v>
      </c>
      <c r="C644" t="str">
        <f t="shared" si="89"/>
        <v>12</v>
      </c>
      <c r="D644" t="s">
        <v>736</v>
      </c>
      <c r="E644" t="str">
        <f t="shared" si="92"/>
        <v>12 DEPARTAMENTO ADMINISTRATIVO DE TRANSITO Y TRANSPORTE</v>
      </c>
      <c r="F644" s="2">
        <v>2021130010247</v>
      </c>
      <c r="G644" s="2" t="str">
        <f>+VLOOKUP(F644,Hoja2!$F:$I,2,FALSE)</f>
        <v>07. PILAR CARTAGENA RESILIENTE</v>
      </c>
      <c r="H644" s="2" t="str">
        <f>+VLOOKUP(F644,Hoja2!$F:$I,3,FALSE)</f>
        <v>7.2 LÍNEA ESTRATÉGICA ESPACIO PÚBLICO, MOVILIDAD Y TRANSPORTE RESILIENTE</v>
      </c>
      <c r="I644" s="2" t="str">
        <f>+VLOOKUP(F644,Hoja2!$F:$I,4,FALSE)</f>
        <v>7.2.6 REDUCCIÓN DE LA SINIESTRALIDAD VIAL</v>
      </c>
      <c r="J644" t="s">
        <v>746</v>
      </c>
      <c r="K644" t="str">
        <f>"022"</f>
        <v>022</v>
      </c>
      <c r="L644" t="s">
        <v>741</v>
      </c>
      <c r="M644" t="s">
        <v>26</v>
      </c>
      <c r="N644" t="s">
        <v>27</v>
      </c>
      <c r="O644" t="s">
        <v>761</v>
      </c>
      <c r="P644" t="str">
        <f t="shared" si="93"/>
        <v>2021130010247 AMPLIACION Y MANTENIMIENTO DE LA SE?ALIZACION VIAL EN EL DISTRITO DE  CARTAGENA DE INDIAS</v>
      </c>
      <c r="Q644" t="str">
        <f t="shared" si="90"/>
        <v>06</v>
      </c>
      <c r="R644" t="str">
        <f t="shared" si="91"/>
        <v>00</v>
      </c>
      <c r="S644" s="1">
        <v>200000000</v>
      </c>
      <c r="T644" s="1">
        <v>0</v>
      </c>
      <c r="U644" s="1">
        <v>200000000</v>
      </c>
      <c r="V644" s="1">
        <v>200000000</v>
      </c>
      <c r="W644" s="1">
        <v>0</v>
      </c>
      <c r="X644" s="1">
        <v>200000000</v>
      </c>
      <c r="Y644" s="1">
        <v>100</v>
      </c>
      <c r="Z644" s="1">
        <v>0</v>
      </c>
      <c r="AA644" s="1">
        <v>0</v>
      </c>
      <c r="AB644" s="1">
        <v>0</v>
      </c>
      <c r="AC644" s="1">
        <v>0</v>
      </c>
    </row>
    <row r="645" spans="1:29" x14ac:dyDescent="0.3">
      <c r="A645">
        <v>2022</v>
      </c>
      <c r="B645">
        <v>100</v>
      </c>
      <c r="C645" t="str">
        <f t="shared" si="89"/>
        <v>12</v>
      </c>
      <c r="D645" t="s">
        <v>736</v>
      </c>
      <c r="E645" t="str">
        <f t="shared" si="92"/>
        <v>12 DEPARTAMENTO ADMINISTRATIVO DE TRANSITO Y TRANSPORTE</v>
      </c>
      <c r="F645" s="2">
        <v>2021130010248</v>
      </c>
      <c r="G645" s="2" t="str">
        <f>+VLOOKUP(F645,Hoja2!$F:$I,2,FALSE)</f>
        <v>07. PILAR CARTAGENA RESILIENTE</v>
      </c>
      <c r="H645" s="2" t="str">
        <f>+VLOOKUP(F645,Hoja2!$F:$I,3,FALSE)</f>
        <v>7.2 LÍNEA ESTRATÉGICA ESPACIO PÚBLICO, MOVILIDAD Y TRANSPORTE RESILIENTE</v>
      </c>
      <c r="I645" s="2" t="str">
        <f>+VLOOKUP(F645,Hoja2!$F:$I,4,FALSE)</f>
        <v>7.2.7 FORTALECIMIENTO DE LA CAPACIDAD DE RESPUESTA DEL DEPARTAMENTO ADMINISTRATIVO DE TRÁNSITO Y TRANSPORTE</v>
      </c>
      <c r="J645" t="s">
        <v>756</v>
      </c>
      <c r="K645" t="str">
        <f>"846"</f>
        <v>846</v>
      </c>
      <c r="L645" t="s">
        <v>743</v>
      </c>
      <c r="M645" t="s">
        <v>26</v>
      </c>
      <c r="N645" t="s">
        <v>27</v>
      </c>
      <c r="O645" t="s">
        <v>757</v>
      </c>
      <c r="P645" t="str">
        <f t="shared" si="93"/>
        <v>2021130010248 IMPLEMENTACION DE REINGENIERIA INSTITUCIONAL Y FORTALECIMIENTO FINANCIERO DEL DEPARTAMENTO ADMINISTRATIVO DE TRANSITO Y TRANSPORTE DE   CARTAGENA DE INDIAS</v>
      </c>
      <c r="Q645" t="str">
        <f t="shared" si="90"/>
        <v>06</v>
      </c>
      <c r="R645" t="str">
        <f t="shared" si="91"/>
        <v>00</v>
      </c>
      <c r="S645" s="1">
        <v>0</v>
      </c>
      <c r="T645" s="1">
        <v>711060801</v>
      </c>
      <c r="U645" s="1">
        <v>711060801</v>
      </c>
      <c r="V645" s="1">
        <v>656341907</v>
      </c>
      <c r="W645" s="1">
        <v>54718894</v>
      </c>
      <c r="X645" s="1">
        <v>388007012.47000003</v>
      </c>
      <c r="Y645" s="1">
        <v>54.57</v>
      </c>
      <c r="Z645" s="1">
        <v>243399467</v>
      </c>
      <c r="AA645" s="1">
        <v>34.229999999999997</v>
      </c>
      <c r="AB645" s="1">
        <v>323053788.52999997</v>
      </c>
      <c r="AC645" s="1">
        <v>233962467</v>
      </c>
    </row>
    <row r="646" spans="1:29" x14ac:dyDescent="0.3">
      <c r="A646">
        <v>2022</v>
      </c>
      <c r="B646">
        <v>100</v>
      </c>
      <c r="C646" t="str">
        <f t="shared" si="89"/>
        <v>12</v>
      </c>
      <c r="D646" t="s">
        <v>736</v>
      </c>
      <c r="E646" t="str">
        <f t="shared" si="92"/>
        <v>12 DEPARTAMENTO ADMINISTRATIVO DE TRANSITO Y TRANSPORTE</v>
      </c>
      <c r="F646" s="2">
        <v>2021130010248</v>
      </c>
      <c r="G646" s="2" t="str">
        <f>+VLOOKUP(F646,Hoja2!$F:$I,2,FALSE)</f>
        <v>07. PILAR CARTAGENA RESILIENTE</v>
      </c>
      <c r="H646" s="2" t="str">
        <f>+VLOOKUP(F646,Hoja2!$F:$I,3,FALSE)</f>
        <v>7.2 LÍNEA ESTRATÉGICA ESPACIO PÚBLICO, MOVILIDAD Y TRANSPORTE RESILIENTE</v>
      </c>
      <c r="I646" s="2" t="str">
        <f>+VLOOKUP(F646,Hoja2!$F:$I,4,FALSE)</f>
        <v>7.2.7 FORTALECIMIENTO DE LA CAPACIDAD DE RESPUESTA DEL DEPARTAMENTO ADMINISTRATIVO DE TRÁNSITO Y TRANSPORTE</v>
      </c>
      <c r="J646" t="s">
        <v>756</v>
      </c>
      <c r="K646" t="str">
        <f>"847"</f>
        <v>847</v>
      </c>
      <c r="L646" t="s">
        <v>758</v>
      </c>
      <c r="M646" t="s">
        <v>26</v>
      </c>
      <c r="N646" t="s">
        <v>27</v>
      </c>
      <c r="O646" t="s">
        <v>757</v>
      </c>
      <c r="P646" t="str">
        <f t="shared" si="93"/>
        <v>2021130010248 IMPLEMENTACION DE REINGENIERIA INSTITUCIONAL Y FORTALECIMIENTO FINANCIERO DEL DEPARTAMENTO ADMINISTRATIVO DE TRANSITO Y TRANSPORTE DE   CARTAGENA DE INDIAS</v>
      </c>
      <c r="Q646" t="str">
        <f t="shared" si="90"/>
        <v>06</v>
      </c>
      <c r="R646" t="str">
        <f t="shared" si="91"/>
        <v>00</v>
      </c>
      <c r="S646" s="1">
        <v>0</v>
      </c>
      <c r="T646" s="1">
        <v>1753062</v>
      </c>
      <c r="U646" s="1">
        <v>1753062</v>
      </c>
      <c r="V646" s="1">
        <v>1753062</v>
      </c>
      <c r="W646" s="1">
        <v>0</v>
      </c>
      <c r="X646" s="1">
        <v>1753062</v>
      </c>
      <c r="Y646" s="1">
        <v>100</v>
      </c>
      <c r="Z646" s="1">
        <v>0</v>
      </c>
      <c r="AA646" s="1">
        <v>0</v>
      </c>
      <c r="AB646" s="1">
        <v>0</v>
      </c>
      <c r="AC646" s="1">
        <v>0</v>
      </c>
    </row>
    <row r="647" spans="1:29" x14ac:dyDescent="0.3">
      <c r="A647">
        <v>2022</v>
      </c>
      <c r="B647">
        <v>100</v>
      </c>
      <c r="C647" t="str">
        <f t="shared" si="89"/>
        <v>12</v>
      </c>
      <c r="D647" t="s">
        <v>736</v>
      </c>
      <c r="E647" t="str">
        <f t="shared" si="92"/>
        <v>12 DEPARTAMENTO ADMINISTRATIVO DE TRANSITO Y TRANSPORTE</v>
      </c>
      <c r="F647" s="2">
        <v>2021130010248</v>
      </c>
      <c r="G647" s="2" t="str">
        <f>+VLOOKUP(F647,Hoja2!$F:$I,2,FALSE)</f>
        <v>07. PILAR CARTAGENA RESILIENTE</v>
      </c>
      <c r="H647" s="2" t="str">
        <f>+VLOOKUP(F647,Hoja2!$F:$I,3,FALSE)</f>
        <v>7.2 LÍNEA ESTRATÉGICA ESPACIO PÚBLICO, MOVILIDAD Y TRANSPORTE RESILIENTE</v>
      </c>
      <c r="I647" s="2" t="str">
        <f>+VLOOKUP(F647,Hoja2!$F:$I,4,FALSE)</f>
        <v>7.2.7 FORTALECIMIENTO DE LA CAPACIDAD DE RESPUESTA DEL DEPARTAMENTO ADMINISTRATIVO DE TRÁNSITO Y TRANSPORTE</v>
      </c>
      <c r="J647" t="s">
        <v>756</v>
      </c>
      <c r="K647" t="str">
        <f>"862"</f>
        <v>862</v>
      </c>
      <c r="L647" t="s">
        <v>759</v>
      </c>
      <c r="M647" t="s">
        <v>26</v>
      </c>
      <c r="N647" t="s">
        <v>27</v>
      </c>
      <c r="O647" t="s">
        <v>757</v>
      </c>
      <c r="P647" t="str">
        <f t="shared" si="93"/>
        <v>2021130010248 IMPLEMENTACION DE REINGENIERIA INSTITUCIONAL Y FORTALECIMIENTO FINANCIERO DEL DEPARTAMENTO ADMINISTRATIVO DE TRANSITO Y TRANSPORTE DE   CARTAGENA DE INDIAS</v>
      </c>
      <c r="Q647" t="str">
        <f t="shared" si="90"/>
        <v>06</v>
      </c>
      <c r="R647" t="str">
        <f t="shared" si="91"/>
        <v>00</v>
      </c>
      <c r="S647" s="1">
        <v>0</v>
      </c>
      <c r="T647" s="1">
        <v>1155295654.6800001</v>
      </c>
      <c r="U647" s="1">
        <v>1155295654.6800001</v>
      </c>
      <c r="V647" s="1">
        <v>1155295654.6800001</v>
      </c>
      <c r="W647" s="1">
        <v>0</v>
      </c>
      <c r="X647" s="1">
        <v>765354445.52999997</v>
      </c>
      <c r="Y647" s="1">
        <v>66.25</v>
      </c>
      <c r="Z647" s="1">
        <v>293031268</v>
      </c>
      <c r="AA647" s="1">
        <v>25.36</v>
      </c>
      <c r="AB647" s="1">
        <v>389941209.14999998</v>
      </c>
      <c r="AC647" s="1">
        <v>0</v>
      </c>
    </row>
    <row r="648" spans="1:29" x14ac:dyDescent="0.3">
      <c r="A648">
        <v>2022</v>
      </c>
      <c r="B648">
        <v>100</v>
      </c>
      <c r="C648" t="str">
        <f t="shared" si="89"/>
        <v>12</v>
      </c>
      <c r="D648" t="s">
        <v>736</v>
      </c>
      <c r="E648" t="str">
        <f t="shared" si="92"/>
        <v>12 DEPARTAMENTO ADMINISTRATIVO DE TRANSITO Y TRANSPORTE</v>
      </c>
      <c r="F648" s="2">
        <v>2021130010248</v>
      </c>
      <c r="G648" s="2" t="str">
        <f>+VLOOKUP(F648,Hoja2!$F:$I,2,FALSE)</f>
        <v>07. PILAR CARTAGENA RESILIENTE</v>
      </c>
      <c r="H648" s="2" t="str">
        <f>+VLOOKUP(F648,Hoja2!$F:$I,3,FALSE)</f>
        <v>7.2 LÍNEA ESTRATÉGICA ESPACIO PÚBLICO, MOVILIDAD Y TRANSPORTE RESILIENTE</v>
      </c>
      <c r="I648" s="2" t="str">
        <f>+VLOOKUP(F648,Hoja2!$F:$I,4,FALSE)</f>
        <v>7.2.7 FORTALECIMIENTO DE LA CAPACIDAD DE RESPUESTA DEL DEPARTAMENTO ADMINISTRATIVO DE TRÁNSITO Y TRANSPORTE</v>
      </c>
      <c r="J648" t="s">
        <v>756</v>
      </c>
      <c r="K648" t="str">
        <f>"168"</f>
        <v>168</v>
      </c>
      <c r="L648" t="s">
        <v>764</v>
      </c>
      <c r="M648" t="s">
        <v>26</v>
      </c>
      <c r="N648" t="s">
        <v>27</v>
      </c>
      <c r="O648" t="s">
        <v>757</v>
      </c>
      <c r="P648" t="str">
        <f t="shared" si="93"/>
        <v>2021130010248 IMPLEMENTACION DE REINGENIERIA INSTITUCIONAL Y FORTALECIMIENTO FINANCIERO DEL DEPARTAMENTO ADMINISTRATIVO DE TRANSITO Y TRANSPORTE DE   CARTAGENA DE INDIAS</v>
      </c>
      <c r="Q648" t="str">
        <f t="shared" si="90"/>
        <v>06</v>
      </c>
      <c r="R648" t="str">
        <f t="shared" si="91"/>
        <v>00</v>
      </c>
      <c r="S648" s="1">
        <v>901000000</v>
      </c>
      <c r="T648" s="1">
        <v>224600000</v>
      </c>
      <c r="U648" s="1">
        <v>1125600000</v>
      </c>
      <c r="V648" s="1">
        <v>1061025583</v>
      </c>
      <c r="W648" s="1">
        <v>64574417</v>
      </c>
      <c r="X648" s="1">
        <v>1061025583</v>
      </c>
      <c r="Y648" s="1">
        <v>94.26</v>
      </c>
      <c r="Z648" s="1">
        <v>438155486</v>
      </c>
      <c r="AA648" s="1">
        <v>38.93</v>
      </c>
      <c r="AB648" s="1">
        <v>64574417</v>
      </c>
      <c r="AC648" s="1">
        <v>419568872</v>
      </c>
    </row>
    <row r="649" spans="1:29" x14ac:dyDescent="0.3">
      <c r="A649">
        <v>2022</v>
      </c>
      <c r="B649">
        <v>100</v>
      </c>
      <c r="C649" t="str">
        <f t="shared" si="89"/>
        <v>12</v>
      </c>
      <c r="D649" t="s">
        <v>736</v>
      </c>
      <c r="E649" t="str">
        <f t="shared" si="92"/>
        <v>12 DEPARTAMENTO ADMINISTRATIVO DE TRANSITO Y TRANSPORTE</v>
      </c>
      <c r="F649" s="2">
        <v>2021130010248</v>
      </c>
      <c r="G649" s="2" t="str">
        <f>+VLOOKUP(F649,Hoja2!$F:$I,2,FALSE)</f>
        <v>07. PILAR CARTAGENA RESILIENTE</v>
      </c>
      <c r="H649" s="2" t="str">
        <f>+VLOOKUP(F649,Hoja2!$F:$I,3,FALSE)</f>
        <v>7.2 LÍNEA ESTRATÉGICA ESPACIO PÚBLICO, MOVILIDAD Y TRANSPORTE RESILIENTE</v>
      </c>
      <c r="I649" s="2" t="str">
        <f>+VLOOKUP(F649,Hoja2!$F:$I,4,FALSE)</f>
        <v>7.2.7 FORTALECIMIENTO DE LA CAPACIDAD DE RESPUESTA DEL DEPARTAMENTO ADMINISTRATIVO DE TRÁNSITO Y TRANSPORTE</v>
      </c>
      <c r="J649" t="s">
        <v>756</v>
      </c>
      <c r="K649" t="str">
        <f>"022"</f>
        <v>022</v>
      </c>
      <c r="L649" t="s">
        <v>741</v>
      </c>
      <c r="M649" t="s">
        <v>26</v>
      </c>
      <c r="N649" t="s">
        <v>27</v>
      </c>
      <c r="O649" t="s">
        <v>757</v>
      </c>
      <c r="P649" t="str">
        <f t="shared" si="93"/>
        <v>2021130010248 IMPLEMENTACION DE REINGENIERIA INSTITUCIONAL Y FORTALECIMIENTO FINANCIERO DEL DEPARTAMENTO ADMINISTRATIVO DE TRANSITO Y TRANSPORTE DE   CARTAGENA DE INDIAS</v>
      </c>
      <c r="Q649" t="str">
        <f t="shared" si="90"/>
        <v>06</v>
      </c>
      <c r="R649" t="str">
        <f t="shared" si="91"/>
        <v>00</v>
      </c>
      <c r="S649" s="1">
        <v>1989600000</v>
      </c>
      <c r="T649" s="1">
        <v>105885889</v>
      </c>
      <c r="U649" s="1">
        <v>2095485889</v>
      </c>
      <c r="V649" s="1">
        <v>2090569725</v>
      </c>
      <c r="W649" s="1">
        <v>4916164</v>
      </c>
      <c r="X649" s="1">
        <v>1894972298</v>
      </c>
      <c r="Y649" s="1">
        <v>90.43</v>
      </c>
      <c r="Z649" s="1">
        <v>615495700</v>
      </c>
      <c r="AA649" s="1">
        <v>29.37</v>
      </c>
      <c r="AB649" s="1">
        <v>200513591</v>
      </c>
      <c r="AC649" s="1">
        <v>610867000</v>
      </c>
    </row>
    <row r="650" spans="1:29" x14ac:dyDescent="0.3">
      <c r="A650">
        <v>2022</v>
      </c>
      <c r="B650">
        <v>100</v>
      </c>
      <c r="C650" t="str">
        <f t="shared" si="89"/>
        <v>12</v>
      </c>
      <c r="D650" t="s">
        <v>736</v>
      </c>
      <c r="E650" t="str">
        <f t="shared" si="92"/>
        <v>12 DEPARTAMENTO ADMINISTRATIVO DE TRANSITO Y TRANSPORTE</v>
      </c>
      <c r="F650" s="2">
        <v>2021130010249</v>
      </c>
      <c r="G650" s="2" t="str">
        <f>+VLOOKUP(F650,Hoja2!$F:$I,2,FALSE)</f>
        <v>07. PILAR CARTAGENA RESILIENTE</v>
      </c>
      <c r="H650" s="2" t="str">
        <f>+VLOOKUP(F650,Hoja2!$F:$I,3,FALSE)</f>
        <v>7.2 LÍNEA ESTRATÉGICA ESPACIO PÚBLICO, MOVILIDAD Y TRANSPORTE RESILIENTE</v>
      </c>
      <c r="I650" s="2" t="str">
        <f>+VLOOKUP(F650,Hoja2!$F:$I,4,FALSE)</f>
        <v>7.2.8 MOVILIDAD SOSTENIBLE EN EL DISTRITO DE CARTAGENA</v>
      </c>
      <c r="J650" t="s">
        <v>748</v>
      </c>
      <c r="K650" t="str">
        <f>"846"</f>
        <v>846</v>
      </c>
      <c r="L650" t="s">
        <v>743</v>
      </c>
      <c r="M650" t="s">
        <v>26</v>
      </c>
      <c r="N650" t="s">
        <v>27</v>
      </c>
      <c r="O650" t="s">
        <v>749</v>
      </c>
      <c r="P650" t="str">
        <f t="shared" si="93"/>
        <v>2021130010249 IMPLEMENTACION SISTEMA DE MOVILIDAD SOSTENIBLE EN EL DISTRITO DE   CARTAGENA DE INDIAS</v>
      </c>
      <c r="Q650" t="str">
        <f t="shared" si="90"/>
        <v>06</v>
      </c>
      <c r="R650" t="str">
        <f t="shared" si="91"/>
        <v>00</v>
      </c>
      <c r="S650" s="1">
        <v>0</v>
      </c>
      <c r="T650" s="1">
        <v>722711007</v>
      </c>
      <c r="U650" s="1">
        <v>722711007</v>
      </c>
      <c r="V650" s="1">
        <v>703633174</v>
      </c>
      <c r="W650" s="1">
        <v>19077833</v>
      </c>
      <c r="X650" s="1">
        <v>533855167</v>
      </c>
      <c r="Y650" s="1">
        <v>73.87</v>
      </c>
      <c r="Z650" s="1">
        <v>33855167</v>
      </c>
      <c r="AA650" s="1">
        <v>4.68</v>
      </c>
      <c r="AB650" s="1">
        <v>188855840</v>
      </c>
      <c r="AC650" s="1">
        <v>33855167</v>
      </c>
    </row>
    <row r="651" spans="1:29" x14ac:dyDescent="0.3">
      <c r="A651">
        <v>2022</v>
      </c>
      <c r="B651">
        <v>100</v>
      </c>
      <c r="C651" t="str">
        <f t="shared" si="89"/>
        <v>12</v>
      </c>
      <c r="D651" t="s">
        <v>736</v>
      </c>
      <c r="E651" t="str">
        <f t="shared" si="92"/>
        <v>12 DEPARTAMENTO ADMINISTRATIVO DE TRANSITO Y TRANSPORTE</v>
      </c>
      <c r="F651" s="2">
        <v>2021130010249</v>
      </c>
      <c r="G651" s="2" t="str">
        <f>+VLOOKUP(F651,Hoja2!$F:$I,2,FALSE)</f>
        <v>07. PILAR CARTAGENA RESILIENTE</v>
      </c>
      <c r="H651" s="2" t="str">
        <f>+VLOOKUP(F651,Hoja2!$F:$I,3,FALSE)</f>
        <v>7.2 LÍNEA ESTRATÉGICA ESPACIO PÚBLICO, MOVILIDAD Y TRANSPORTE RESILIENTE</v>
      </c>
      <c r="I651" s="2" t="str">
        <f>+VLOOKUP(F651,Hoja2!$F:$I,4,FALSE)</f>
        <v>7.2.8 MOVILIDAD SOSTENIBLE EN EL DISTRITO DE CARTAGENA</v>
      </c>
      <c r="J651" t="s">
        <v>748</v>
      </c>
      <c r="K651" t="str">
        <f>"168"</f>
        <v>168</v>
      </c>
      <c r="L651" t="s">
        <v>764</v>
      </c>
      <c r="M651" t="s">
        <v>26</v>
      </c>
      <c r="N651" t="s">
        <v>27</v>
      </c>
      <c r="O651" t="s">
        <v>749</v>
      </c>
      <c r="P651" t="str">
        <f t="shared" si="93"/>
        <v>2021130010249 IMPLEMENTACION SISTEMA DE MOVILIDAD SOSTENIBLE EN EL DISTRITO DE   CARTAGENA DE INDIAS</v>
      </c>
      <c r="Q651" t="str">
        <f t="shared" si="90"/>
        <v>06</v>
      </c>
      <c r="R651" t="str">
        <f t="shared" si="91"/>
        <v>00</v>
      </c>
      <c r="S651" s="1">
        <v>380477076.93000001</v>
      </c>
      <c r="T651" s="1">
        <v>-162498076.93000001</v>
      </c>
      <c r="U651" s="1">
        <v>217979000</v>
      </c>
      <c r="V651" s="1">
        <v>204973200</v>
      </c>
      <c r="W651" s="1">
        <v>13005800</v>
      </c>
      <c r="X651" s="1">
        <v>204973200</v>
      </c>
      <c r="Y651" s="1">
        <v>94.03</v>
      </c>
      <c r="Z651" s="1">
        <v>204973200</v>
      </c>
      <c r="AA651" s="1">
        <v>94.03</v>
      </c>
      <c r="AB651" s="1">
        <v>13005800</v>
      </c>
      <c r="AC651" s="1">
        <v>204973200</v>
      </c>
    </row>
    <row r="652" spans="1:29" x14ac:dyDescent="0.3">
      <c r="A652">
        <v>2022</v>
      </c>
      <c r="B652">
        <v>100</v>
      </c>
      <c r="C652" t="str">
        <f t="shared" si="89"/>
        <v>12</v>
      </c>
      <c r="D652" t="s">
        <v>736</v>
      </c>
      <c r="E652" t="str">
        <f t="shared" si="92"/>
        <v>12 DEPARTAMENTO ADMINISTRATIVO DE TRANSITO Y TRANSPORTE</v>
      </c>
      <c r="F652" s="2">
        <v>2021130010249</v>
      </c>
      <c r="G652" s="2" t="str">
        <f>+VLOOKUP(F652,Hoja2!$F:$I,2,FALSE)</f>
        <v>07. PILAR CARTAGENA RESILIENTE</v>
      </c>
      <c r="H652" s="2" t="str">
        <f>+VLOOKUP(F652,Hoja2!$F:$I,3,FALSE)</f>
        <v>7.2 LÍNEA ESTRATÉGICA ESPACIO PÚBLICO, MOVILIDAD Y TRANSPORTE RESILIENTE</v>
      </c>
      <c r="I652" s="2" t="str">
        <f>+VLOOKUP(F652,Hoja2!$F:$I,4,FALSE)</f>
        <v>7.2.8 MOVILIDAD SOSTENIBLE EN EL DISTRITO DE CARTAGENA</v>
      </c>
      <c r="J652" t="s">
        <v>748</v>
      </c>
      <c r="K652" t="str">
        <f>"022"</f>
        <v>022</v>
      </c>
      <c r="L652" t="s">
        <v>741</v>
      </c>
      <c r="M652" t="s">
        <v>26</v>
      </c>
      <c r="N652" t="s">
        <v>27</v>
      </c>
      <c r="O652" t="s">
        <v>749</v>
      </c>
      <c r="P652" t="str">
        <f t="shared" si="93"/>
        <v>2021130010249 IMPLEMENTACION SISTEMA DE MOVILIDAD SOSTENIBLE EN EL DISTRITO DE   CARTAGENA DE INDIAS</v>
      </c>
      <c r="Q652" t="str">
        <f t="shared" si="90"/>
        <v>06</v>
      </c>
      <c r="R652" t="str">
        <f t="shared" si="91"/>
        <v>00</v>
      </c>
      <c r="S652" s="1">
        <v>0</v>
      </c>
      <c r="T652" s="1">
        <v>408000000</v>
      </c>
      <c r="U652" s="1">
        <v>408000000</v>
      </c>
      <c r="V652" s="1">
        <v>408000000</v>
      </c>
      <c r="W652" s="1">
        <v>0</v>
      </c>
      <c r="X652" s="1">
        <v>385790860</v>
      </c>
      <c r="Y652" s="1">
        <v>94.56</v>
      </c>
      <c r="Z652" s="1">
        <v>135026801</v>
      </c>
      <c r="AA652" s="1">
        <v>33.090000000000003</v>
      </c>
      <c r="AB652" s="1">
        <v>22209140</v>
      </c>
      <c r="AC652" s="1">
        <v>0</v>
      </c>
    </row>
    <row r="653" spans="1:29" x14ac:dyDescent="0.3">
      <c r="A653">
        <v>2022</v>
      </c>
      <c r="B653">
        <v>100</v>
      </c>
      <c r="C653" t="str">
        <f t="shared" si="89"/>
        <v>12</v>
      </c>
      <c r="D653" t="s">
        <v>736</v>
      </c>
      <c r="E653" t="str">
        <f t="shared" si="92"/>
        <v>12 DEPARTAMENTO ADMINISTRATIVO DE TRANSITO Y TRANSPORTE</v>
      </c>
      <c r="F653" s="2">
        <v>2021130010250</v>
      </c>
      <c r="G653" s="2" t="str">
        <f>+VLOOKUP(F653,Hoja2!$F:$I,2,FALSE)</f>
        <v>07. PILAR CARTAGENA RESILIENTE</v>
      </c>
      <c r="H653" s="2" t="str">
        <f>+VLOOKUP(F653,Hoja2!$F:$I,3,FALSE)</f>
        <v>7.2 LÍNEA ESTRATÉGICA ESPACIO PÚBLICO, MOVILIDAD Y TRANSPORTE RESILIENTE</v>
      </c>
      <c r="I653" s="2" t="str">
        <f>+VLOOKUP(F653,Hoja2!$F:$I,4,FALSE)</f>
        <v>7.2.8 MOVILIDAD SOSTENIBLE EN EL DISTRITO DE CARTAGENA</v>
      </c>
      <c r="J653" t="s">
        <v>750</v>
      </c>
      <c r="K653" t="str">
        <f>"846"</f>
        <v>846</v>
      </c>
      <c r="L653" t="s">
        <v>743</v>
      </c>
      <c r="M653" t="s">
        <v>26</v>
      </c>
      <c r="N653" t="s">
        <v>27</v>
      </c>
      <c r="O653" t="s">
        <v>751</v>
      </c>
      <c r="P653" t="str">
        <f t="shared" si="93"/>
        <v>2021130010250 APOYO PARA LA GESTION DEL TRANSPORTE PUBLICO MASIVO COLECTIVO E INDIVIDUAL EN EL DISTRITO DE   CARTAGENA DE INDIAS</v>
      </c>
      <c r="Q653" t="str">
        <f t="shared" si="90"/>
        <v>06</v>
      </c>
      <c r="R653" t="str">
        <f t="shared" si="91"/>
        <v>00</v>
      </c>
      <c r="S653" s="1">
        <v>0</v>
      </c>
      <c r="T653" s="1">
        <v>15860000</v>
      </c>
      <c r="U653" s="1">
        <v>15860000</v>
      </c>
      <c r="V653" s="1">
        <v>0</v>
      </c>
      <c r="W653" s="1">
        <v>15860000</v>
      </c>
      <c r="X653" s="1">
        <v>0</v>
      </c>
      <c r="Y653" s="1">
        <v>0</v>
      </c>
      <c r="Z653" s="1">
        <v>0</v>
      </c>
      <c r="AA653" s="1">
        <v>0</v>
      </c>
      <c r="AB653" s="1">
        <v>15860000</v>
      </c>
      <c r="AC653" s="1">
        <v>0</v>
      </c>
    </row>
    <row r="654" spans="1:29" x14ac:dyDescent="0.3">
      <c r="A654">
        <v>2022</v>
      </c>
      <c r="B654">
        <v>100</v>
      </c>
      <c r="C654" t="str">
        <f t="shared" si="89"/>
        <v>12</v>
      </c>
      <c r="D654" t="s">
        <v>736</v>
      </c>
      <c r="E654" t="str">
        <f t="shared" si="92"/>
        <v>12 DEPARTAMENTO ADMINISTRATIVO DE TRANSITO Y TRANSPORTE</v>
      </c>
      <c r="F654" s="2">
        <v>2021130010250</v>
      </c>
      <c r="G654" s="2" t="str">
        <f>+VLOOKUP(F654,Hoja2!$F:$I,2,FALSE)</f>
        <v>07. PILAR CARTAGENA RESILIENTE</v>
      </c>
      <c r="H654" s="2" t="str">
        <f>+VLOOKUP(F654,Hoja2!$F:$I,3,FALSE)</f>
        <v>7.2 LÍNEA ESTRATÉGICA ESPACIO PÚBLICO, MOVILIDAD Y TRANSPORTE RESILIENTE</v>
      </c>
      <c r="I654" s="2" t="str">
        <f>+VLOOKUP(F654,Hoja2!$F:$I,4,FALSE)</f>
        <v>7.2.8 MOVILIDAD SOSTENIBLE EN EL DISTRITO DE CARTAGENA</v>
      </c>
      <c r="J654" t="s">
        <v>750</v>
      </c>
      <c r="K654" t="str">
        <f>"862"</f>
        <v>862</v>
      </c>
      <c r="L654" t="s">
        <v>759</v>
      </c>
      <c r="M654" t="s">
        <v>26</v>
      </c>
      <c r="N654" t="s">
        <v>27</v>
      </c>
      <c r="O654" t="s">
        <v>751</v>
      </c>
      <c r="P654" t="str">
        <f t="shared" si="93"/>
        <v>2021130010250 APOYO PARA LA GESTION DEL TRANSPORTE PUBLICO MASIVO COLECTIVO E INDIVIDUAL EN EL DISTRITO DE   CARTAGENA DE INDIAS</v>
      </c>
      <c r="Q654" t="str">
        <f t="shared" si="90"/>
        <v>06</v>
      </c>
      <c r="R654" t="str">
        <f t="shared" si="91"/>
        <v>00</v>
      </c>
      <c r="S654" s="1">
        <v>0</v>
      </c>
      <c r="T654" s="1">
        <v>450000000</v>
      </c>
      <c r="U654" s="1">
        <v>450000000</v>
      </c>
      <c r="V654" s="1">
        <v>213365333</v>
      </c>
      <c r="W654" s="1">
        <v>236634667</v>
      </c>
      <c r="X654" s="1">
        <v>213365333</v>
      </c>
      <c r="Y654" s="1">
        <v>47.41</v>
      </c>
      <c r="Z654" s="1">
        <v>36631075.030000001</v>
      </c>
      <c r="AA654" s="1">
        <v>8.14</v>
      </c>
      <c r="AB654" s="1">
        <v>236634667</v>
      </c>
      <c r="AC654" s="1">
        <v>36631075.030000001</v>
      </c>
    </row>
    <row r="655" spans="1:29" x14ac:dyDescent="0.3">
      <c r="A655">
        <v>2022</v>
      </c>
      <c r="B655">
        <v>100</v>
      </c>
      <c r="C655" t="str">
        <f t="shared" si="89"/>
        <v>12</v>
      </c>
      <c r="D655" t="s">
        <v>736</v>
      </c>
      <c r="E655" t="str">
        <f t="shared" si="92"/>
        <v>12 DEPARTAMENTO ADMINISTRATIVO DE TRANSITO Y TRANSPORTE</v>
      </c>
      <c r="F655" s="2">
        <v>2021130010250</v>
      </c>
      <c r="G655" s="2" t="str">
        <f>+VLOOKUP(F655,Hoja2!$F:$I,2,FALSE)</f>
        <v>07. PILAR CARTAGENA RESILIENTE</v>
      </c>
      <c r="H655" s="2" t="str">
        <f>+VLOOKUP(F655,Hoja2!$F:$I,3,FALSE)</f>
        <v>7.2 LÍNEA ESTRATÉGICA ESPACIO PÚBLICO, MOVILIDAD Y TRANSPORTE RESILIENTE</v>
      </c>
      <c r="I655" s="2" t="str">
        <f>+VLOOKUP(F655,Hoja2!$F:$I,4,FALSE)</f>
        <v>7.2.8 MOVILIDAD SOSTENIBLE EN EL DISTRITO DE CARTAGENA</v>
      </c>
      <c r="J655" t="s">
        <v>750</v>
      </c>
      <c r="K655" t="str">
        <f>"168"</f>
        <v>168</v>
      </c>
      <c r="L655" t="s">
        <v>764</v>
      </c>
      <c r="M655" t="s">
        <v>26</v>
      </c>
      <c r="N655" t="s">
        <v>27</v>
      </c>
      <c r="O655" t="s">
        <v>751</v>
      </c>
      <c r="P655" t="str">
        <f t="shared" si="93"/>
        <v>2021130010250 APOYO PARA LA GESTION DEL TRANSPORTE PUBLICO MASIVO COLECTIVO E INDIVIDUAL EN EL DISTRITO DE   CARTAGENA DE INDIAS</v>
      </c>
      <c r="Q655" t="str">
        <f t="shared" si="90"/>
        <v>06</v>
      </c>
      <c r="R655" t="str">
        <f t="shared" si="91"/>
        <v>00</v>
      </c>
      <c r="S655" s="1">
        <v>482511000</v>
      </c>
      <c r="T655" s="1">
        <v>0</v>
      </c>
      <c r="U655" s="1">
        <v>482511000</v>
      </c>
      <c r="V655" s="1">
        <v>388035064</v>
      </c>
      <c r="W655" s="1">
        <v>94475936</v>
      </c>
      <c r="X655" s="1">
        <v>368358797</v>
      </c>
      <c r="Y655" s="1">
        <v>76.34</v>
      </c>
      <c r="Z655" s="1">
        <v>295138993.07999998</v>
      </c>
      <c r="AA655" s="1">
        <v>61.17</v>
      </c>
      <c r="AB655" s="1">
        <v>114152203</v>
      </c>
      <c r="AC655" s="1">
        <v>293119993.07999998</v>
      </c>
    </row>
    <row r="656" spans="1:29" x14ac:dyDescent="0.3">
      <c r="A656">
        <v>2022</v>
      </c>
      <c r="B656">
        <v>100</v>
      </c>
      <c r="C656" t="str">
        <f t="shared" si="89"/>
        <v>12</v>
      </c>
      <c r="D656" t="s">
        <v>736</v>
      </c>
      <c r="E656" t="str">
        <f t="shared" si="92"/>
        <v>12 DEPARTAMENTO ADMINISTRATIVO DE TRANSITO Y TRANSPORTE</v>
      </c>
      <c r="F656" s="2">
        <v>2021130010250</v>
      </c>
      <c r="G656" s="2" t="str">
        <f>+VLOOKUP(F656,Hoja2!$F:$I,2,FALSE)</f>
        <v>07. PILAR CARTAGENA RESILIENTE</v>
      </c>
      <c r="H656" s="2" t="str">
        <f>+VLOOKUP(F656,Hoja2!$F:$I,3,FALSE)</f>
        <v>7.2 LÍNEA ESTRATÉGICA ESPACIO PÚBLICO, MOVILIDAD Y TRANSPORTE RESILIENTE</v>
      </c>
      <c r="I656" s="2" t="str">
        <f>+VLOOKUP(F656,Hoja2!$F:$I,4,FALSE)</f>
        <v>7.2.8 MOVILIDAD SOSTENIBLE EN EL DISTRITO DE CARTAGENA</v>
      </c>
      <c r="J656" t="s">
        <v>750</v>
      </c>
      <c r="K656" t="str">
        <f>"022"</f>
        <v>022</v>
      </c>
      <c r="L656" t="s">
        <v>741</v>
      </c>
      <c r="M656" t="s">
        <v>26</v>
      </c>
      <c r="N656" t="s">
        <v>27</v>
      </c>
      <c r="O656" t="s">
        <v>751</v>
      </c>
      <c r="P656" t="str">
        <f t="shared" si="93"/>
        <v>2021130010250 APOYO PARA LA GESTION DEL TRANSPORTE PUBLICO MASIVO COLECTIVO E INDIVIDUAL EN EL DISTRITO DE   CARTAGENA DE INDIAS</v>
      </c>
      <c r="Q656" t="str">
        <f t="shared" si="90"/>
        <v>06</v>
      </c>
      <c r="R656" t="str">
        <f t="shared" si="91"/>
        <v>00</v>
      </c>
      <c r="S656" s="1">
        <v>1300000000</v>
      </c>
      <c r="T656" s="1">
        <v>-250000000</v>
      </c>
      <c r="U656" s="1">
        <v>1050000000</v>
      </c>
      <c r="V656" s="1">
        <v>924600000</v>
      </c>
      <c r="W656" s="1">
        <v>125400000</v>
      </c>
      <c r="X656" s="1">
        <v>924600000</v>
      </c>
      <c r="Y656" s="1">
        <v>88.06</v>
      </c>
      <c r="Z656" s="1">
        <v>924600000</v>
      </c>
      <c r="AA656" s="1">
        <v>88.06</v>
      </c>
      <c r="AB656" s="1">
        <v>125400000</v>
      </c>
      <c r="AC656" s="1">
        <v>924600000</v>
      </c>
    </row>
    <row r="657" spans="1:29" x14ac:dyDescent="0.3">
      <c r="A657">
        <v>2022</v>
      </c>
      <c r="B657">
        <v>100</v>
      </c>
      <c r="C657" t="str">
        <f t="shared" si="89"/>
        <v>12</v>
      </c>
      <c r="D657" t="s">
        <v>736</v>
      </c>
      <c r="E657" t="str">
        <f t="shared" si="92"/>
        <v>12 DEPARTAMENTO ADMINISTRATIVO DE TRANSITO Y TRANSPORTE</v>
      </c>
      <c r="F657" s="2">
        <v>2021130010251</v>
      </c>
      <c r="G657" s="2" t="str">
        <f>+VLOOKUP(F657,Hoja2!$F:$I,2,FALSE)</f>
        <v>07. PILAR CARTAGENA RESILIENTE</v>
      </c>
      <c r="H657" s="2" t="str">
        <f>+VLOOKUP(F657,Hoja2!$F:$I,3,FALSE)</f>
        <v>7.2 LÍNEA ESTRATÉGICA ESPACIO PÚBLICO, MOVILIDAD Y TRANSPORTE RESILIENTE</v>
      </c>
      <c r="I657" s="2" t="str">
        <f>+VLOOKUP(F657,Hoja2!$F:$I,4,FALSE)</f>
        <v>7.2.6 REDUCCIÓN DE LA SINIESTRALIDAD VIAL</v>
      </c>
      <c r="J657" t="s">
        <v>752</v>
      </c>
      <c r="K657" t="str">
        <f>"846"</f>
        <v>846</v>
      </c>
      <c r="L657" t="s">
        <v>743</v>
      </c>
      <c r="M657" t="s">
        <v>26</v>
      </c>
      <c r="N657" t="s">
        <v>27</v>
      </c>
      <c r="O657" t="s">
        <v>753</v>
      </c>
      <c r="P657" t="str">
        <f t="shared" si="93"/>
        <v>2021130010251 FORMULACION Y ADOPCION DEL PLAN LOCAL DE SEGURIDAD VIAL EN EL DISTRITO DE  CARTAGENA DE INDIAS</v>
      </c>
      <c r="Q657" t="str">
        <f t="shared" si="90"/>
        <v>06</v>
      </c>
      <c r="R657" t="str">
        <f t="shared" si="91"/>
        <v>00</v>
      </c>
      <c r="S657" s="1">
        <v>0</v>
      </c>
      <c r="T657" s="1">
        <v>58008333</v>
      </c>
      <c r="U657" s="1">
        <v>58008333</v>
      </c>
      <c r="V657" s="1">
        <v>58008333</v>
      </c>
      <c r="W657" s="1">
        <v>0</v>
      </c>
      <c r="X657" s="1">
        <v>2000000</v>
      </c>
      <c r="Y657" s="1">
        <v>3.45</v>
      </c>
      <c r="Z657" s="1">
        <v>2000000</v>
      </c>
      <c r="AA657" s="1">
        <v>3.45</v>
      </c>
      <c r="AB657" s="1">
        <v>56008333</v>
      </c>
      <c r="AC657" s="1">
        <v>0</v>
      </c>
    </row>
    <row r="658" spans="1:29" x14ac:dyDescent="0.3">
      <c r="A658">
        <v>2022</v>
      </c>
      <c r="B658">
        <v>100</v>
      </c>
      <c r="C658" t="str">
        <f t="shared" si="89"/>
        <v>12</v>
      </c>
      <c r="D658" t="s">
        <v>736</v>
      </c>
      <c r="E658" t="str">
        <f t="shared" si="92"/>
        <v>12 DEPARTAMENTO ADMINISTRATIVO DE TRANSITO Y TRANSPORTE</v>
      </c>
      <c r="F658" s="2">
        <v>2021130010251</v>
      </c>
      <c r="G658" s="2" t="str">
        <f>+VLOOKUP(F658,Hoja2!$F:$I,2,FALSE)</f>
        <v>07. PILAR CARTAGENA RESILIENTE</v>
      </c>
      <c r="H658" s="2" t="str">
        <f>+VLOOKUP(F658,Hoja2!$F:$I,3,FALSE)</f>
        <v>7.2 LÍNEA ESTRATÉGICA ESPACIO PÚBLICO, MOVILIDAD Y TRANSPORTE RESILIENTE</v>
      </c>
      <c r="I658" s="2" t="str">
        <f>+VLOOKUP(F658,Hoja2!$F:$I,4,FALSE)</f>
        <v>7.2.6 REDUCCIÓN DE LA SINIESTRALIDAD VIAL</v>
      </c>
      <c r="J658" t="s">
        <v>752</v>
      </c>
      <c r="K658" t="str">
        <f>"168"</f>
        <v>168</v>
      </c>
      <c r="L658" t="s">
        <v>764</v>
      </c>
      <c r="M658" t="s">
        <v>26</v>
      </c>
      <c r="N658" t="s">
        <v>27</v>
      </c>
      <c r="O658" t="s">
        <v>753</v>
      </c>
      <c r="P658" t="str">
        <f t="shared" si="93"/>
        <v>2021130010251 FORMULACION Y ADOPCION DEL PLAN LOCAL DE SEGURIDAD VIAL EN EL DISTRITO DE  CARTAGENA DE INDIAS</v>
      </c>
      <c r="Q658" t="str">
        <f t="shared" si="90"/>
        <v>06</v>
      </c>
      <c r="R658" t="str">
        <f t="shared" si="91"/>
        <v>00</v>
      </c>
      <c r="S658" s="1">
        <v>95000000</v>
      </c>
      <c r="T658" s="1">
        <v>0</v>
      </c>
      <c r="U658" s="1">
        <v>95000000</v>
      </c>
      <c r="V658" s="1">
        <v>95000000</v>
      </c>
      <c r="W658" s="1">
        <v>0</v>
      </c>
      <c r="X658" s="1">
        <v>88835200</v>
      </c>
      <c r="Y658" s="1">
        <v>93.51</v>
      </c>
      <c r="Z658" s="1">
        <v>88835200</v>
      </c>
      <c r="AA658" s="1">
        <v>93.51</v>
      </c>
      <c r="AB658" s="1">
        <v>6164800</v>
      </c>
      <c r="AC658" s="1">
        <v>88835200</v>
      </c>
    </row>
    <row r="659" spans="1:29" x14ac:dyDescent="0.3">
      <c r="A659">
        <v>2022</v>
      </c>
      <c r="B659">
        <v>100</v>
      </c>
      <c r="C659" t="str">
        <f t="shared" si="89"/>
        <v>12</v>
      </c>
      <c r="D659" t="s">
        <v>736</v>
      </c>
      <c r="E659" t="str">
        <f t="shared" si="92"/>
        <v>12 DEPARTAMENTO ADMINISTRATIVO DE TRANSITO Y TRANSPORTE</v>
      </c>
      <c r="F659" s="2">
        <v>2021130010252</v>
      </c>
      <c r="G659" s="2" t="str">
        <f>+VLOOKUP(F659,Hoja2!$F:$I,2,FALSE)</f>
        <v>07. PILAR CARTAGENA RESILIENTE</v>
      </c>
      <c r="H659" s="2" t="str">
        <f>+VLOOKUP(F659,Hoja2!$F:$I,3,FALSE)</f>
        <v>7.2 LÍNEA ESTRATÉGICA ESPACIO PÚBLICO, MOVILIDAD Y TRANSPORTE RESILIENTE</v>
      </c>
      <c r="I659" s="2" t="str">
        <f>+VLOOKUP(F659,Hoja2!$F:$I,4,FALSE)</f>
        <v>7.2.7 FORTALECIMIENTO DE LA CAPACIDAD DE RESPUESTA DEL DEPARTAMENTO ADMINISTRATIVO DE TRÁNSITO Y TRANSPORTE</v>
      </c>
      <c r="J659" t="s">
        <v>740</v>
      </c>
      <c r="K659" t="str">
        <f>"022"</f>
        <v>022</v>
      </c>
      <c r="L659" t="s">
        <v>741</v>
      </c>
      <c r="M659" t="s">
        <v>26</v>
      </c>
      <c r="N659" t="s">
        <v>27</v>
      </c>
      <c r="O659" t="s">
        <v>742</v>
      </c>
      <c r="P659" t="str">
        <f t="shared" si="93"/>
        <v>2021130010252 DISE?O E IMPLEMENTACION DE UNA PLATAFORMA TECNOLOGICA  VIRTUAL PARA LA INFORMACION Y LA GESTION DE TRAMITES EN EL DEPARTAMENTO ADMINISTRATIVO DE TRANSITO Y TRANSPORTE EN EL DISTRITO DE   CARTAGENA DE INDIAS</v>
      </c>
      <c r="Q659" t="str">
        <f t="shared" si="90"/>
        <v>06</v>
      </c>
      <c r="R659" t="str">
        <f t="shared" si="91"/>
        <v>00</v>
      </c>
      <c r="S659" s="1">
        <v>84000000</v>
      </c>
      <c r="T659" s="1">
        <v>-80000000</v>
      </c>
      <c r="U659" s="1">
        <v>4000000</v>
      </c>
      <c r="V659" s="1">
        <v>4000000</v>
      </c>
      <c r="W659" s="1">
        <v>0</v>
      </c>
      <c r="X659" s="1">
        <v>0</v>
      </c>
      <c r="Y659" s="1">
        <v>0</v>
      </c>
      <c r="Z659" s="1">
        <v>0</v>
      </c>
      <c r="AA659" s="1">
        <v>0</v>
      </c>
      <c r="AB659" s="1">
        <v>4000000</v>
      </c>
      <c r="AC659" s="1">
        <v>0</v>
      </c>
    </row>
    <row r="660" spans="1:29" x14ac:dyDescent="0.3">
      <c r="A660">
        <v>2022</v>
      </c>
      <c r="B660">
        <v>100</v>
      </c>
      <c r="C660" t="str">
        <f t="shared" si="89"/>
        <v>12</v>
      </c>
      <c r="D660" t="s">
        <v>736</v>
      </c>
      <c r="E660" t="str">
        <f t="shared" si="92"/>
        <v>12 DEPARTAMENTO ADMINISTRATIVO DE TRANSITO Y TRANSPORTE</v>
      </c>
      <c r="F660" s="2">
        <v>2021130010252</v>
      </c>
      <c r="G660" s="2" t="str">
        <f>+VLOOKUP(F660,Hoja2!$F:$I,2,FALSE)</f>
        <v>07. PILAR CARTAGENA RESILIENTE</v>
      </c>
      <c r="H660" s="2" t="str">
        <f>+VLOOKUP(F660,Hoja2!$F:$I,3,FALSE)</f>
        <v>7.2 LÍNEA ESTRATÉGICA ESPACIO PÚBLICO, MOVILIDAD Y TRANSPORTE RESILIENTE</v>
      </c>
      <c r="I660" s="2" t="str">
        <f>+VLOOKUP(F660,Hoja2!$F:$I,4,FALSE)</f>
        <v>7.2.7 FORTALECIMIENTO DE LA CAPACIDAD DE RESPUESTA DEL DEPARTAMENTO ADMINISTRATIVO DE TRÁNSITO Y TRANSPORTE</v>
      </c>
      <c r="J660" t="s">
        <v>740</v>
      </c>
      <c r="K660" t="str">
        <f>"846"</f>
        <v>846</v>
      </c>
      <c r="L660" t="s">
        <v>743</v>
      </c>
      <c r="M660" t="s">
        <v>26</v>
      </c>
      <c r="N660" t="s">
        <v>27</v>
      </c>
      <c r="O660" t="s">
        <v>742</v>
      </c>
      <c r="P660" t="str">
        <f t="shared" si="93"/>
        <v>2021130010252 DISE?O E IMPLEMENTACION DE UNA PLATAFORMA TECNOLOGICA  VIRTUAL PARA LA INFORMACION Y LA GESTION DE TRAMITES EN EL DEPARTAMENTO ADMINISTRATIVO DE TRANSITO Y TRANSPORTE EN EL DISTRITO DE   CARTAGENA DE INDIAS</v>
      </c>
      <c r="Q660" t="str">
        <f t="shared" si="90"/>
        <v>06</v>
      </c>
      <c r="R660" t="str">
        <f t="shared" si="91"/>
        <v>00</v>
      </c>
      <c r="S660" s="1">
        <v>0</v>
      </c>
      <c r="T660" s="1">
        <v>84000297</v>
      </c>
      <c r="U660" s="1">
        <v>84000297</v>
      </c>
      <c r="V660" s="1">
        <v>84000297</v>
      </c>
      <c r="W660" s="1">
        <v>0</v>
      </c>
      <c r="X660" s="1">
        <v>0</v>
      </c>
      <c r="Y660" s="1">
        <v>0</v>
      </c>
      <c r="Z660" s="1">
        <v>0</v>
      </c>
      <c r="AA660" s="1">
        <v>0</v>
      </c>
      <c r="AB660" s="1">
        <v>84000297</v>
      </c>
      <c r="AC660" s="1">
        <v>0</v>
      </c>
    </row>
    <row r="661" spans="1:29" x14ac:dyDescent="0.3">
      <c r="A661">
        <v>2022</v>
      </c>
      <c r="B661">
        <v>100</v>
      </c>
      <c r="C661" t="str">
        <f t="shared" si="89"/>
        <v>12</v>
      </c>
      <c r="D661" t="s">
        <v>736</v>
      </c>
      <c r="E661" t="str">
        <f t="shared" si="92"/>
        <v>12 DEPARTAMENTO ADMINISTRATIVO DE TRANSITO Y TRANSPORTE</v>
      </c>
      <c r="F661" s="2">
        <v>2021130010253</v>
      </c>
      <c r="G661" s="2" t="str">
        <f>+VLOOKUP(F661,Hoja2!$F:$I,2,FALSE)</f>
        <v>07. PILAR CARTAGENA RESILIENTE</v>
      </c>
      <c r="H661" s="2" t="str">
        <f>+VLOOKUP(F661,Hoja2!$F:$I,3,FALSE)</f>
        <v>7.2 LÍNEA ESTRATÉGICA ESPACIO PÚBLICO, MOVILIDAD Y TRANSPORTE RESILIENTE</v>
      </c>
      <c r="I661" s="2" t="str">
        <f>+VLOOKUP(F661,Hoja2!$F:$I,4,FALSE)</f>
        <v>7.2.7 FORTALECIMIENTO DE LA CAPACIDAD DE RESPUESTA DEL DEPARTAMENTO ADMINISTRATIVO DE TRÁNSITO Y TRANSPORTE</v>
      </c>
      <c r="J661" t="s">
        <v>754</v>
      </c>
      <c r="K661" t="str">
        <f>"846"</f>
        <v>846</v>
      </c>
      <c r="L661" t="s">
        <v>743</v>
      </c>
      <c r="M661" t="s">
        <v>26</v>
      </c>
      <c r="N661" t="s">
        <v>27</v>
      </c>
      <c r="O661" t="s">
        <v>755</v>
      </c>
      <c r="P661" t="str">
        <f t="shared" si="93"/>
        <v>2021130010253 ESTUDIOS PARA IMPLEMENTAR EL SISTEMA DE FISCALIZACION ELECTRONICA PARA LA REGULACION Y EL CONTROL DEL TRANSITO EN EL DISTRITO DE   CARTAGENA DE INDIAS</v>
      </c>
      <c r="Q661" t="str">
        <f t="shared" si="90"/>
        <v>06</v>
      </c>
      <c r="R661" t="str">
        <f t="shared" si="91"/>
        <v>00</v>
      </c>
      <c r="S661" s="1">
        <v>0</v>
      </c>
      <c r="T661" s="1">
        <v>84000297</v>
      </c>
      <c r="U661" s="1">
        <v>84000297</v>
      </c>
      <c r="V661" s="1">
        <v>84000297</v>
      </c>
      <c r="W661" s="1">
        <v>0</v>
      </c>
      <c r="X661" s="1">
        <v>0</v>
      </c>
      <c r="Y661" s="1">
        <v>0</v>
      </c>
      <c r="Z661" s="1">
        <v>0</v>
      </c>
      <c r="AA661" s="1">
        <v>0</v>
      </c>
      <c r="AB661" s="1">
        <v>84000297</v>
      </c>
      <c r="AC661" s="1">
        <v>0</v>
      </c>
    </row>
    <row r="662" spans="1:29" x14ac:dyDescent="0.3">
      <c r="A662">
        <v>2022</v>
      </c>
      <c r="B662">
        <v>100</v>
      </c>
      <c r="C662" t="str">
        <f t="shared" si="89"/>
        <v>12</v>
      </c>
      <c r="D662" t="s">
        <v>736</v>
      </c>
      <c r="E662" t="str">
        <f t="shared" si="92"/>
        <v>12 DEPARTAMENTO ADMINISTRATIVO DE TRANSITO Y TRANSPORTE</v>
      </c>
      <c r="F662" s="2">
        <v>2021130010253</v>
      </c>
      <c r="G662" s="2" t="str">
        <f>+VLOOKUP(F662,Hoja2!$F:$I,2,FALSE)</f>
        <v>07. PILAR CARTAGENA RESILIENTE</v>
      </c>
      <c r="H662" s="2" t="str">
        <f>+VLOOKUP(F662,Hoja2!$F:$I,3,FALSE)</f>
        <v>7.2 LÍNEA ESTRATÉGICA ESPACIO PÚBLICO, MOVILIDAD Y TRANSPORTE RESILIENTE</v>
      </c>
      <c r="I662" s="2" t="str">
        <f>+VLOOKUP(F662,Hoja2!$F:$I,4,FALSE)</f>
        <v>7.2.7 FORTALECIMIENTO DE LA CAPACIDAD DE RESPUESTA DEL DEPARTAMENTO ADMINISTRATIVO DE TRÁNSITO Y TRANSPORTE</v>
      </c>
      <c r="J662" t="s">
        <v>754</v>
      </c>
      <c r="K662" t="str">
        <f>"022"</f>
        <v>022</v>
      </c>
      <c r="L662" t="s">
        <v>741</v>
      </c>
      <c r="M662" t="s">
        <v>26</v>
      </c>
      <c r="N662" t="s">
        <v>27</v>
      </c>
      <c r="O662" t="s">
        <v>755</v>
      </c>
      <c r="P662" t="str">
        <f t="shared" si="93"/>
        <v>2021130010253 ESTUDIOS PARA IMPLEMENTAR EL SISTEMA DE FISCALIZACION ELECTRONICA PARA LA REGULACION Y EL CONTROL DEL TRANSITO EN EL DISTRITO DE   CARTAGENA DE INDIAS</v>
      </c>
      <c r="Q662" t="str">
        <f t="shared" si="90"/>
        <v>06</v>
      </c>
      <c r="R662" t="str">
        <f t="shared" si="91"/>
        <v>00</v>
      </c>
      <c r="S662" s="1">
        <v>84000000</v>
      </c>
      <c r="T662" s="1">
        <v>-80000000</v>
      </c>
      <c r="U662" s="1">
        <v>4000000</v>
      </c>
      <c r="V662" s="1">
        <v>4000000</v>
      </c>
      <c r="W662" s="1">
        <v>0</v>
      </c>
      <c r="X662" s="1">
        <v>0</v>
      </c>
      <c r="Y662" s="1">
        <v>0</v>
      </c>
      <c r="Z662" s="1">
        <v>0</v>
      </c>
      <c r="AA662" s="1">
        <v>0</v>
      </c>
      <c r="AB662" s="1">
        <v>4000000</v>
      </c>
      <c r="AC662" s="1">
        <v>0</v>
      </c>
    </row>
    <row r="663" spans="1:29" x14ac:dyDescent="0.3">
      <c r="A663">
        <v>2022</v>
      </c>
      <c r="B663">
        <v>100</v>
      </c>
      <c r="C663" t="str">
        <f t="shared" ref="C663:C668" si="94">"17"</f>
        <v>17</v>
      </c>
      <c r="D663" t="s">
        <v>852</v>
      </c>
      <c r="E663" t="str">
        <f t="shared" si="92"/>
        <v>17 INSTITUTO DE PATRIMONIO Y CULTURA DE CARTAGENA DE INDIAS</v>
      </c>
      <c r="F663" s="2">
        <v>2021130010255</v>
      </c>
      <c r="G663" s="2" t="str">
        <f>+VLOOKUP(F663,Hoja2!$F:$I,2,FALSE)</f>
        <v>08. PILAR CARTAGENA INCLUYENTE</v>
      </c>
      <c r="H663" s="2" t="str">
        <f>+VLOOKUP(F663,Hoja2!$F:$I,3,FALSE)</f>
        <v>8.5 LÍNEA ESTRATÉGICA ARTES, CULTURA Y PATRIMONIO PARA UNA CARTAGENA INCLUYENTE</v>
      </c>
      <c r="I663" s="2" t="str">
        <f>+VLOOKUP(F663,Hoja2!$F:$I,4,FALSE)</f>
        <v>8.5.3 PROGRAMA: PATRIMONIO INMATERIAL: PRACTICAS SIGNIFICATIVAS PARA LA MEMORIA</v>
      </c>
      <c r="J663" t="s">
        <v>853</v>
      </c>
      <c r="K663" t="str">
        <f>"001"</f>
        <v>001</v>
      </c>
      <c r="L663" t="s">
        <v>25</v>
      </c>
      <c r="M663" t="s">
        <v>26</v>
      </c>
      <c r="N663" t="s">
        <v>27</v>
      </c>
      <c r="O663" t="s">
        <v>854</v>
      </c>
      <c r="P663" t="str">
        <f t="shared" si="93"/>
        <v>2021130010255 FORTALECIMIENTO Y SALVAGUARDIA DE LAS PRACTICAS SIGNIFICATIVAS DEL PATRIMONIO INMATERIAL EN EL DISTRITO DE CARTAGENA DE INDIAS</v>
      </c>
      <c r="Q663" t="str">
        <f t="shared" si="90"/>
        <v>06</v>
      </c>
      <c r="R663" t="str">
        <f t="shared" si="91"/>
        <v>00</v>
      </c>
      <c r="S663" s="1">
        <v>450000000</v>
      </c>
      <c r="T663" s="1">
        <v>0</v>
      </c>
      <c r="U663" s="1">
        <v>450000000</v>
      </c>
      <c r="V663" s="1">
        <v>450000000</v>
      </c>
      <c r="W663" s="1">
        <v>0</v>
      </c>
      <c r="X663" s="1">
        <v>450000000</v>
      </c>
      <c r="Y663" s="1">
        <v>100</v>
      </c>
      <c r="Z663" s="1">
        <v>450000000</v>
      </c>
      <c r="AA663" s="1">
        <v>100</v>
      </c>
      <c r="AB663" s="1">
        <v>0</v>
      </c>
      <c r="AC663" s="1">
        <v>450000000</v>
      </c>
    </row>
    <row r="664" spans="1:29" x14ac:dyDescent="0.3">
      <c r="A664">
        <v>2022</v>
      </c>
      <c r="B664">
        <v>100</v>
      </c>
      <c r="C664" t="str">
        <f t="shared" si="94"/>
        <v>17</v>
      </c>
      <c r="D664" t="s">
        <v>852</v>
      </c>
      <c r="E664" t="str">
        <f t="shared" si="92"/>
        <v>17 INSTITUTO DE PATRIMONIO Y CULTURA DE CARTAGENA DE INDIAS</v>
      </c>
      <c r="F664" s="2">
        <v>2021130010255</v>
      </c>
      <c r="G664" s="2" t="str">
        <f>+VLOOKUP(F664,Hoja2!$F:$I,2,FALSE)</f>
        <v>08. PILAR CARTAGENA INCLUYENTE</v>
      </c>
      <c r="H664" s="2" t="str">
        <f>+VLOOKUP(F664,Hoja2!$F:$I,3,FALSE)</f>
        <v>8.5 LÍNEA ESTRATÉGICA ARTES, CULTURA Y PATRIMONIO PARA UNA CARTAGENA INCLUYENTE</v>
      </c>
      <c r="I664" s="2" t="str">
        <f>+VLOOKUP(F664,Hoja2!$F:$I,4,FALSE)</f>
        <v>8.5.3 PROGRAMA: PATRIMONIO INMATERIAL: PRACTICAS SIGNIFICATIVAS PARA LA MEMORIA</v>
      </c>
      <c r="J664" t="s">
        <v>853</v>
      </c>
      <c r="K664" t="str">
        <f>"057"</f>
        <v>057</v>
      </c>
      <c r="L664" t="s">
        <v>861</v>
      </c>
      <c r="M664" t="s">
        <v>26</v>
      </c>
      <c r="N664" t="s">
        <v>27</v>
      </c>
      <c r="O664" t="s">
        <v>854</v>
      </c>
      <c r="P664" t="str">
        <f t="shared" si="93"/>
        <v>2021130010255 FORTALECIMIENTO Y SALVAGUARDIA DE LAS PRACTICAS SIGNIFICATIVAS DEL PATRIMONIO INMATERIAL EN EL DISTRITO DE CARTAGENA DE INDIAS</v>
      </c>
      <c r="Q664" t="str">
        <f t="shared" si="90"/>
        <v>06</v>
      </c>
      <c r="R664" t="str">
        <f t="shared" si="91"/>
        <v>00</v>
      </c>
      <c r="S664" s="1">
        <v>395984604</v>
      </c>
      <c r="T664" s="1">
        <v>0</v>
      </c>
      <c r="U664" s="1">
        <v>395984604</v>
      </c>
      <c r="V664" s="1">
        <v>394994604</v>
      </c>
      <c r="W664" s="1">
        <v>990000</v>
      </c>
      <c r="X664" s="1">
        <v>394994604</v>
      </c>
      <c r="Y664" s="1">
        <v>99.75</v>
      </c>
      <c r="Z664" s="1">
        <v>394994604</v>
      </c>
      <c r="AA664" s="1">
        <v>99.75</v>
      </c>
      <c r="AB664" s="1">
        <v>990000</v>
      </c>
      <c r="AC664" s="1">
        <v>362985887</v>
      </c>
    </row>
    <row r="665" spans="1:29" x14ac:dyDescent="0.3">
      <c r="A665">
        <v>2022</v>
      </c>
      <c r="B665">
        <v>100</v>
      </c>
      <c r="C665" t="str">
        <f t="shared" si="94"/>
        <v>17</v>
      </c>
      <c r="D665" t="s">
        <v>852</v>
      </c>
      <c r="E665" t="str">
        <f t="shared" si="92"/>
        <v>17 INSTITUTO DE PATRIMONIO Y CULTURA DE CARTAGENA DE INDIAS</v>
      </c>
      <c r="F665" s="2">
        <v>2021130010255</v>
      </c>
      <c r="G665" s="2" t="str">
        <f>+VLOOKUP(F665,Hoja2!$F:$I,2,FALSE)</f>
        <v>08. PILAR CARTAGENA INCLUYENTE</v>
      </c>
      <c r="H665" s="2" t="str">
        <f>+VLOOKUP(F665,Hoja2!$F:$I,3,FALSE)</f>
        <v>8.5 LÍNEA ESTRATÉGICA ARTES, CULTURA Y PATRIMONIO PARA UNA CARTAGENA INCLUYENTE</v>
      </c>
      <c r="I665" s="2" t="str">
        <f>+VLOOKUP(F665,Hoja2!$F:$I,4,FALSE)</f>
        <v>8.5.3 PROGRAMA: PATRIMONIO INMATERIAL: PRACTICAS SIGNIFICATIVAS PARA LA MEMORIA</v>
      </c>
      <c r="J665" t="s">
        <v>853</v>
      </c>
      <c r="K665" t="str">
        <f>"073"</f>
        <v>073</v>
      </c>
      <c r="L665" t="s">
        <v>875</v>
      </c>
      <c r="M665" t="s">
        <v>26</v>
      </c>
      <c r="N665" t="s">
        <v>27</v>
      </c>
      <c r="O665" t="s">
        <v>854</v>
      </c>
      <c r="P665" t="str">
        <f t="shared" si="93"/>
        <v>2021130010255 FORTALECIMIENTO Y SALVAGUARDIA DE LAS PRACTICAS SIGNIFICATIVAS DEL PATRIMONIO INMATERIAL EN EL DISTRITO DE CARTAGENA DE INDIAS</v>
      </c>
      <c r="Q665" t="str">
        <f t="shared" si="90"/>
        <v>06</v>
      </c>
      <c r="R665" t="str">
        <f t="shared" si="91"/>
        <v>00</v>
      </c>
      <c r="S665" s="1">
        <v>104679750</v>
      </c>
      <c r="T665" s="1">
        <v>0</v>
      </c>
      <c r="U665" s="1">
        <v>104679750</v>
      </c>
      <c r="V665" s="1">
        <v>0</v>
      </c>
      <c r="W665" s="1">
        <v>104679750</v>
      </c>
      <c r="X665" s="1">
        <v>0</v>
      </c>
      <c r="Y665" s="1">
        <v>0</v>
      </c>
      <c r="Z665" s="1">
        <v>0</v>
      </c>
      <c r="AA665" s="1">
        <v>0</v>
      </c>
      <c r="AB665" s="1">
        <v>104679750</v>
      </c>
      <c r="AC665" s="1">
        <v>0</v>
      </c>
    </row>
    <row r="666" spans="1:29" x14ac:dyDescent="0.3">
      <c r="A666">
        <v>2022</v>
      </c>
      <c r="B666">
        <v>100</v>
      </c>
      <c r="C666" t="str">
        <f t="shared" si="94"/>
        <v>17</v>
      </c>
      <c r="D666" t="s">
        <v>852</v>
      </c>
      <c r="E666" t="str">
        <f t="shared" si="92"/>
        <v>17 INSTITUTO DE PATRIMONIO Y CULTURA DE CARTAGENA DE INDIAS</v>
      </c>
      <c r="F666" s="2">
        <v>2021130010255</v>
      </c>
      <c r="G666" s="2" t="str">
        <f>+VLOOKUP(F666,Hoja2!$F:$I,2,FALSE)</f>
        <v>08. PILAR CARTAGENA INCLUYENTE</v>
      </c>
      <c r="H666" s="2" t="str">
        <f>+VLOOKUP(F666,Hoja2!$F:$I,3,FALSE)</f>
        <v>8.5 LÍNEA ESTRATÉGICA ARTES, CULTURA Y PATRIMONIO PARA UNA CARTAGENA INCLUYENTE</v>
      </c>
      <c r="I666" s="2" t="str">
        <f>+VLOOKUP(F666,Hoja2!$F:$I,4,FALSE)</f>
        <v>8.5.3 PROGRAMA: PATRIMONIO INMATERIAL: PRACTICAS SIGNIFICATIVAS PARA LA MEMORIA</v>
      </c>
      <c r="J666" t="s">
        <v>853</v>
      </c>
      <c r="K666" t="str">
        <f>"082"</f>
        <v>082</v>
      </c>
      <c r="L666" t="s">
        <v>876</v>
      </c>
      <c r="M666" t="s">
        <v>26</v>
      </c>
      <c r="N666" t="s">
        <v>27</v>
      </c>
      <c r="O666" t="s">
        <v>854</v>
      </c>
      <c r="P666" t="str">
        <f t="shared" si="93"/>
        <v>2021130010255 FORTALECIMIENTO Y SALVAGUARDIA DE LAS PRACTICAS SIGNIFICATIVAS DEL PATRIMONIO INMATERIAL EN EL DISTRITO DE CARTAGENA DE INDIAS</v>
      </c>
      <c r="Q666" t="str">
        <f t="shared" si="90"/>
        <v>06</v>
      </c>
      <c r="R666" t="str">
        <f t="shared" si="91"/>
        <v>00</v>
      </c>
      <c r="S666" s="1">
        <v>244800000</v>
      </c>
      <c r="T666" s="1">
        <v>0</v>
      </c>
      <c r="U666" s="1">
        <v>244800000</v>
      </c>
      <c r="V666" s="1">
        <v>0</v>
      </c>
      <c r="W666" s="1">
        <v>244800000</v>
      </c>
      <c r="X666" s="1">
        <v>0</v>
      </c>
      <c r="Y666" s="1">
        <v>0</v>
      </c>
      <c r="Z666" s="1">
        <v>0</v>
      </c>
      <c r="AA666" s="1">
        <v>0</v>
      </c>
      <c r="AB666" s="1">
        <v>244800000</v>
      </c>
      <c r="AC666" s="1">
        <v>0</v>
      </c>
    </row>
    <row r="667" spans="1:29" x14ac:dyDescent="0.3">
      <c r="A667">
        <v>2022</v>
      </c>
      <c r="B667">
        <v>100</v>
      </c>
      <c r="C667" t="str">
        <f t="shared" si="94"/>
        <v>17</v>
      </c>
      <c r="D667" t="s">
        <v>852</v>
      </c>
      <c r="E667" t="str">
        <f t="shared" si="92"/>
        <v>17 INSTITUTO DE PATRIMONIO Y CULTURA DE CARTAGENA DE INDIAS</v>
      </c>
      <c r="F667" s="2">
        <v>2021130010255</v>
      </c>
      <c r="G667" s="2" t="str">
        <f>+VLOOKUP(F667,Hoja2!$F:$I,2,FALSE)</f>
        <v>08. PILAR CARTAGENA INCLUYENTE</v>
      </c>
      <c r="H667" s="2" t="str">
        <f>+VLOOKUP(F667,Hoja2!$F:$I,3,FALSE)</f>
        <v>8.5 LÍNEA ESTRATÉGICA ARTES, CULTURA Y PATRIMONIO PARA UNA CARTAGENA INCLUYENTE</v>
      </c>
      <c r="I667" s="2" t="str">
        <f>+VLOOKUP(F667,Hoja2!$F:$I,4,FALSE)</f>
        <v>8.5.3 PROGRAMA: PATRIMONIO INMATERIAL: PRACTICAS SIGNIFICATIVAS PARA LA MEMORIA</v>
      </c>
      <c r="J667" t="s">
        <v>853</v>
      </c>
      <c r="K667" t="str">
        <f>"166"</f>
        <v>166</v>
      </c>
      <c r="L667" t="s">
        <v>880</v>
      </c>
      <c r="M667" t="s">
        <v>26</v>
      </c>
      <c r="N667" t="s">
        <v>27</v>
      </c>
      <c r="O667" t="s">
        <v>854</v>
      </c>
      <c r="P667" t="str">
        <f t="shared" si="93"/>
        <v>2021130010255 FORTALECIMIENTO Y SALVAGUARDIA DE LAS PRACTICAS SIGNIFICATIVAS DEL PATRIMONIO INMATERIAL EN EL DISTRITO DE CARTAGENA DE INDIAS</v>
      </c>
      <c r="Q667" t="str">
        <f t="shared" si="90"/>
        <v>06</v>
      </c>
      <c r="R667" t="str">
        <f t="shared" si="91"/>
        <v>00</v>
      </c>
      <c r="S667" s="1">
        <v>53985000</v>
      </c>
      <c r="T667" s="1">
        <v>0</v>
      </c>
      <c r="U667" s="1">
        <v>53985000</v>
      </c>
      <c r="V667" s="1">
        <v>0</v>
      </c>
      <c r="W667" s="1">
        <v>53985000</v>
      </c>
      <c r="X667" s="1">
        <v>0</v>
      </c>
      <c r="Y667" s="1">
        <v>0</v>
      </c>
      <c r="Z667" s="1">
        <v>0</v>
      </c>
      <c r="AA667" s="1">
        <v>0</v>
      </c>
      <c r="AB667" s="1">
        <v>53985000</v>
      </c>
      <c r="AC667" s="1">
        <v>0</v>
      </c>
    </row>
    <row r="668" spans="1:29" x14ac:dyDescent="0.3">
      <c r="A668">
        <v>2022</v>
      </c>
      <c r="B668">
        <v>100</v>
      </c>
      <c r="C668" t="str">
        <f t="shared" si="94"/>
        <v>17</v>
      </c>
      <c r="D668" t="s">
        <v>852</v>
      </c>
      <c r="E668" t="str">
        <f t="shared" si="92"/>
        <v>17 INSTITUTO DE PATRIMONIO Y CULTURA DE CARTAGENA DE INDIAS</v>
      </c>
      <c r="F668" s="2">
        <v>2021130010255</v>
      </c>
      <c r="G668" s="2" t="str">
        <f>+VLOOKUP(F668,Hoja2!$F:$I,2,FALSE)</f>
        <v>08. PILAR CARTAGENA INCLUYENTE</v>
      </c>
      <c r="H668" s="2" t="str">
        <f>+VLOOKUP(F668,Hoja2!$F:$I,3,FALSE)</f>
        <v>8.5 LÍNEA ESTRATÉGICA ARTES, CULTURA Y PATRIMONIO PARA UNA CARTAGENA INCLUYENTE</v>
      </c>
      <c r="I668" s="2" t="str">
        <f>+VLOOKUP(F668,Hoja2!$F:$I,4,FALSE)</f>
        <v>8.5.3 PROGRAMA: PATRIMONIO INMATERIAL: PRACTICAS SIGNIFICATIVAS PARA LA MEMORIA</v>
      </c>
      <c r="J668" t="s">
        <v>853</v>
      </c>
      <c r="K668" t="str">
        <f>"012"</f>
        <v>012</v>
      </c>
      <c r="L668" t="s">
        <v>892</v>
      </c>
      <c r="M668" t="s">
        <v>26</v>
      </c>
      <c r="N668" t="s">
        <v>27</v>
      </c>
      <c r="O668" t="s">
        <v>854</v>
      </c>
      <c r="P668" t="str">
        <f t="shared" si="93"/>
        <v>2021130010255 FORTALECIMIENTO Y SALVAGUARDIA DE LAS PRACTICAS SIGNIFICATIVAS DEL PATRIMONIO INMATERIAL EN EL DISTRITO DE CARTAGENA DE INDIAS</v>
      </c>
      <c r="Q668" t="str">
        <f t="shared" si="90"/>
        <v>06</v>
      </c>
      <c r="R668" t="str">
        <f t="shared" si="91"/>
        <v>00</v>
      </c>
      <c r="S668" s="1">
        <v>265613000</v>
      </c>
      <c r="T668" s="1">
        <v>0</v>
      </c>
      <c r="U668" s="1">
        <v>265613000</v>
      </c>
      <c r="V668" s="1">
        <v>0</v>
      </c>
      <c r="W668" s="1">
        <v>265613000</v>
      </c>
      <c r="X668" s="1">
        <v>0</v>
      </c>
      <c r="Y668" s="1">
        <v>0</v>
      </c>
      <c r="Z668" s="1">
        <v>0</v>
      </c>
      <c r="AA668" s="1">
        <v>0</v>
      </c>
      <c r="AB668" s="1">
        <v>265613000</v>
      </c>
      <c r="AC668" s="1">
        <v>0</v>
      </c>
    </row>
    <row r="669" spans="1:29" x14ac:dyDescent="0.3">
      <c r="A669">
        <v>2022</v>
      </c>
      <c r="B669">
        <v>100</v>
      </c>
      <c r="C669" t="str">
        <f t="shared" ref="C669:C675" si="95">"09"</f>
        <v>09</v>
      </c>
      <c r="D669" t="s">
        <v>559</v>
      </c>
      <c r="E669" t="str">
        <f t="shared" si="92"/>
        <v>09 SECRETARIA DE PLANEACION</v>
      </c>
      <c r="F669" s="2">
        <v>2021130010256</v>
      </c>
      <c r="G669" s="2" t="str">
        <f>+VLOOKUP(F669,Hoja2!$F:$I,2,FALSE)</f>
        <v>08. PILAR CARTAGENA INCLUYENTE</v>
      </c>
      <c r="H669" s="2" t="str">
        <f>+VLOOKUP(F669,Hoja2!$F:$I,3,FALSE)</f>
        <v>8.6 LÍNEA ESTRATÉGICA PLANEACIÓN SOCIAL DEL TERRITORIO</v>
      </c>
      <c r="I669" s="2" t="str">
        <f>+VLOOKUP(F669,Hoja2!$F:$I,4,FALSE)</f>
        <v>8.6.1 PROGRAMA: INSTRUMENTOS DE PLANIFICACIÓN SOCIAL DEL TERRITORIO</v>
      </c>
      <c r="J669" t="s">
        <v>568</v>
      </c>
      <c r="K669" t="str">
        <f>"921"</f>
        <v>921</v>
      </c>
      <c r="L669" t="s">
        <v>566</v>
      </c>
      <c r="M669" t="s">
        <v>26</v>
      </c>
      <c r="N669" t="s">
        <v>27</v>
      </c>
      <c r="O669" t="s">
        <v>569</v>
      </c>
      <c r="P669" t="str">
        <f t="shared" si="93"/>
        <v>2021130010256 IMPLEMENTACION DE LA METODOLOGIA IV DEL SISBEN EN   CARTAGENA DE INDIAS</v>
      </c>
      <c r="Q669" t="str">
        <f t="shared" si="90"/>
        <v>06</v>
      </c>
      <c r="R669" t="str">
        <f t="shared" si="91"/>
        <v>00</v>
      </c>
      <c r="S669" s="1">
        <v>0</v>
      </c>
      <c r="T669" s="1">
        <v>44436082</v>
      </c>
      <c r="U669" s="1">
        <v>44436082</v>
      </c>
      <c r="V669" s="1">
        <v>38013333</v>
      </c>
      <c r="W669" s="1">
        <v>6422749</v>
      </c>
      <c r="X669" s="1">
        <v>38013333</v>
      </c>
      <c r="Y669" s="1">
        <v>85.55</v>
      </c>
      <c r="Z669" s="1">
        <v>38013333</v>
      </c>
      <c r="AA669" s="1">
        <v>85.55</v>
      </c>
      <c r="AB669" s="1">
        <v>6422749</v>
      </c>
      <c r="AC669" s="1">
        <v>38013333</v>
      </c>
    </row>
    <row r="670" spans="1:29" x14ac:dyDescent="0.3">
      <c r="A670">
        <v>2022</v>
      </c>
      <c r="B670">
        <v>100</v>
      </c>
      <c r="C670" t="str">
        <f t="shared" si="95"/>
        <v>09</v>
      </c>
      <c r="D670" t="s">
        <v>559</v>
      </c>
      <c r="E670" t="str">
        <f t="shared" si="92"/>
        <v>09 SECRETARIA DE PLANEACION</v>
      </c>
      <c r="F670" s="2">
        <v>2021130010256</v>
      </c>
      <c r="G670" s="2" t="str">
        <f>+VLOOKUP(F670,Hoja2!$F:$I,2,FALSE)</f>
        <v>08. PILAR CARTAGENA INCLUYENTE</v>
      </c>
      <c r="H670" s="2" t="str">
        <f>+VLOOKUP(F670,Hoja2!$F:$I,3,FALSE)</f>
        <v>8.6 LÍNEA ESTRATÉGICA PLANEACIÓN SOCIAL DEL TERRITORIO</v>
      </c>
      <c r="I670" s="2" t="str">
        <f>+VLOOKUP(F670,Hoja2!$F:$I,4,FALSE)</f>
        <v>8.6.1 PROGRAMA: INSTRUMENTOS DE PLANIFICACIÓN SOCIAL DEL TERRITORIO</v>
      </c>
      <c r="J670" t="s">
        <v>568</v>
      </c>
      <c r="K670" t="str">
        <f>"922"</f>
        <v>922</v>
      </c>
      <c r="L670" t="s">
        <v>78</v>
      </c>
      <c r="M670" t="s">
        <v>26</v>
      </c>
      <c r="N670" t="s">
        <v>27</v>
      </c>
      <c r="O670" t="s">
        <v>569</v>
      </c>
      <c r="P670" t="str">
        <f t="shared" si="93"/>
        <v>2021130010256 IMPLEMENTACION DE LA METODOLOGIA IV DEL SISBEN EN   CARTAGENA DE INDIAS</v>
      </c>
      <c r="Q670" t="str">
        <f t="shared" si="90"/>
        <v>06</v>
      </c>
      <c r="R670" t="str">
        <f t="shared" si="91"/>
        <v>00</v>
      </c>
      <c r="S670" s="1">
        <v>0</v>
      </c>
      <c r="T670" s="1">
        <v>42266667</v>
      </c>
      <c r="U670" s="1">
        <v>42266667</v>
      </c>
      <c r="V670" s="1">
        <v>35966666</v>
      </c>
      <c r="W670" s="1">
        <v>6300001</v>
      </c>
      <c r="X670" s="1">
        <v>35966666</v>
      </c>
      <c r="Y670" s="1">
        <v>85.09</v>
      </c>
      <c r="Z670" s="1">
        <v>35966666</v>
      </c>
      <c r="AA670" s="1">
        <v>85.09</v>
      </c>
      <c r="AB670" s="1">
        <v>6300001</v>
      </c>
      <c r="AC670" s="1">
        <v>32166666</v>
      </c>
    </row>
    <row r="671" spans="1:29" x14ac:dyDescent="0.3">
      <c r="A671">
        <v>2022</v>
      </c>
      <c r="B671">
        <v>100</v>
      </c>
      <c r="C671" t="str">
        <f t="shared" si="95"/>
        <v>09</v>
      </c>
      <c r="D671" t="s">
        <v>559</v>
      </c>
      <c r="E671" t="str">
        <f t="shared" si="92"/>
        <v>09 SECRETARIA DE PLANEACION</v>
      </c>
      <c r="F671" s="2">
        <v>2021130010256</v>
      </c>
      <c r="G671" s="2" t="str">
        <f>+VLOOKUP(F671,Hoja2!$F:$I,2,FALSE)</f>
        <v>08. PILAR CARTAGENA INCLUYENTE</v>
      </c>
      <c r="H671" s="2" t="str">
        <f>+VLOOKUP(F671,Hoja2!$F:$I,3,FALSE)</f>
        <v>8.6 LÍNEA ESTRATÉGICA PLANEACIÓN SOCIAL DEL TERRITORIO</v>
      </c>
      <c r="I671" s="2" t="str">
        <f>+VLOOKUP(F671,Hoja2!$F:$I,4,FALSE)</f>
        <v>8.6.1 PROGRAMA: INSTRUMENTOS DE PLANIFICACIÓN SOCIAL DEL TERRITORIO</v>
      </c>
      <c r="J671" t="s">
        <v>568</v>
      </c>
      <c r="K671" t="str">
        <f>"070"</f>
        <v>070</v>
      </c>
      <c r="L671" t="s">
        <v>93</v>
      </c>
      <c r="M671" t="s">
        <v>26</v>
      </c>
      <c r="N671" t="s">
        <v>27</v>
      </c>
      <c r="O671" t="s">
        <v>569</v>
      </c>
      <c r="P671" t="str">
        <f t="shared" si="93"/>
        <v>2021130010256 IMPLEMENTACION DE LA METODOLOGIA IV DEL SISBEN EN   CARTAGENA DE INDIAS</v>
      </c>
      <c r="Q671" t="str">
        <f t="shared" si="90"/>
        <v>06</v>
      </c>
      <c r="R671" t="str">
        <f t="shared" si="91"/>
        <v>00</v>
      </c>
      <c r="S671" s="1">
        <v>0</v>
      </c>
      <c r="T671" s="1">
        <v>96259540</v>
      </c>
      <c r="U671" s="1">
        <v>96259540</v>
      </c>
      <c r="V671" s="1">
        <v>31426666</v>
      </c>
      <c r="W671" s="1">
        <v>64832874</v>
      </c>
      <c r="X671" s="1">
        <v>31426666</v>
      </c>
      <c r="Y671" s="1">
        <v>32.65</v>
      </c>
      <c r="Z671" s="1">
        <v>28653333</v>
      </c>
      <c r="AA671" s="1">
        <v>29.77</v>
      </c>
      <c r="AB671" s="1">
        <v>64832874</v>
      </c>
      <c r="AC671" s="1">
        <v>19480000</v>
      </c>
    </row>
    <row r="672" spans="1:29" x14ac:dyDescent="0.3">
      <c r="A672">
        <v>2022</v>
      </c>
      <c r="B672">
        <v>100</v>
      </c>
      <c r="C672" t="str">
        <f t="shared" si="95"/>
        <v>09</v>
      </c>
      <c r="D672" t="s">
        <v>559</v>
      </c>
      <c r="E672" t="str">
        <f t="shared" si="92"/>
        <v>09 SECRETARIA DE PLANEACION</v>
      </c>
      <c r="F672" s="2">
        <v>2021130010256</v>
      </c>
      <c r="G672" s="2" t="str">
        <f>+VLOOKUP(F672,Hoja2!$F:$I,2,FALSE)</f>
        <v>08. PILAR CARTAGENA INCLUYENTE</v>
      </c>
      <c r="H672" s="2" t="str">
        <f>+VLOOKUP(F672,Hoja2!$F:$I,3,FALSE)</f>
        <v>8.6 LÍNEA ESTRATÉGICA PLANEACIÓN SOCIAL DEL TERRITORIO</v>
      </c>
      <c r="I672" s="2" t="str">
        <f>+VLOOKUP(F672,Hoja2!$F:$I,4,FALSE)</f>
        <v>8.6.1 PROGRAMA: INSTRUMENTOS DE PLANIFICACIÓN SOCIAL DEL TERRITORIO</v>
      </c>
      <c r="J672" t="s">
        <v>568</v>
      </c>
      <c r="K672" t="str">
        <f>"001"</f>
        <v>001</v>
      </c>
      <c r="L672" t="s">
        <v>25</v>
      </c>
      <c r="M672" t="s">
        <v>26</v>
      </c>
      <c r="N672" t="s">
        <v>27</v>
      </c>
      <c r="O672" t="s">
        <v>569</v>
      </c>
      <c r="P672" t="str">
        <f t="shared" si="93"/>
        <v>2021130010256 IMPLEMENTACION DE LA METODOLOGIA IV DEL SISBEN EN   CARTAGENA DE INDIAS</v>
      </c>
      <c r="Q672" t="str">
        <f t="shared" si="90"/>
        <v>06</v>
      </c>
      <c r="R672" t="str">
        <f t="shared" si="91"/>
        <v>00</v>
      </c>
      <c r="S672" s="1">
        <v>1662120000</v>
      </c>
      <c r="T672" s="1">
        <v>-237868</v>
      </c>
      <c r="U672" s="1">
        <v>1661882132</v>
      </c>
      <c r="V672" s="1">
        <v>1645948800.0599999</v>
      </c>
      <c r="W672" s="1">
        <v>15933331.939999999</v>
      </c>
      <c r="X672" s="1">
        <v>1638045275.96</v>
      </c>
      <c r="Y672" s="1">
        <v>98.57</v>
      </c>
      <c r="Z672" s="1">
        <v>1602411248.1700001</v>
      </c>
      <c r="AA672" s="1">
        <v>96.42</v>
      </c>
      <c r="AB672" s="1">
        <v>23836856.039999999</v>
      </c>
      <c r="AC672" s="1">
        <v>1599211248.1700001</v>
      </c>
    </row>
    <row r="673" spans="1:29" x14ac:dyDescent="0.3">
      <c r="A673">
        <v>2022</v>
      </c>
      <c r="B673">
        <v>100</v>
      </c>
      <c r="C673" t="str">
        <f t="shared" si="95"/>
        <v>09</v>
      </c>
      <c r="D673" t="s">
        <v>559</v>
      </c>
      <c r="E673" t="str">
        <f t="shared" si="92"/>
        <v>09 SECRETARIA DE PLANEACION</v>
      </c>
      <c r="F673" s="2">
        <v>2021130010257</v>
      </c>
      <c r="G673" s="2" t="str">
        <f>+VLOOKUP(F673,Hoja2!$F:$I,2,FALSE)</f>
        <v>10. PILAR: CARTAGENA TRANSPARENTE</v>
      </c>
      <c r="H673" s="2" t="str">
        <f>+VLOOKUP(F673,Hoja2!$F:$I,3,FALSE)</f>
        <v>10.7 LÍNEA ESTRATÉGICA: PARTICIPACIÓN Y DESCENTRALIZACIÓN</v>
      </c>
      <c r="I673" s="2" t="str">
        <f>+VLOOKUP(F673,Hoja2!$F:$I,4,FALSE)</f>
        <v xml:space="preserve">10.7.2 PROGRAMA: MODERNIZACIÓN DEL SISTEMA DISTRITAL DE PLANEACIÓN Y DESCENTRALIZACIÓN  </v>
      </c>
      <c r="J673" t="s">
        <v>587</v>
      </c>
      <c r="K673" t="str">
        <f>"922"</f>
        <v>922</v>
      </c>
      <c r="L673" t="s">
        <v>78</v>
      </c>
      <c r="M673" t="s">
        <v>26</v>
      </c>
      <c r="N673" t="s">
        <v>27</v>
      </c>
      <c r="O673" t="s">
        <v>588</v>
      </c>
      <c r="P673" t="str">
        <f t="shared" si="93"/>
        <v>2021130010257 MODERNIZACION DEL SISTEMA DISTRITAL DE PLANEACION EN CARTAGENA DE INDIAS</v>
      </c>
      <c r="Q673" t="str">
        <f t="shared" si="90"/>
        <v>06</v>
      </c>
      <c r="R673" t="str">
        <f t="shared" si="91"/>
        <v>00</v>
      </c>
      <c r="S673" s="1">
        <v>0</v>
      </c>
      <c r="T673" s="1">
        <v>69482633.329999998</v>
      </c>
      <c r="U673" s="1">
        <v>69482633.329999998</v>
      </c>
      <c r="V673" s="1">
        <v>69482633</v>
      </c>
      <c r="W673" s="1">
        <v>0.33</v>
      </c>
      <c r="X673" s="1">
        <v>41950000</v>
      </c>
      <c r="Y673" s="1">
        <v>60.37</v>
      </c>
      <c r="Z673" s="1">
        <v>41950000</v>
      </c>
      <c r="AA673" s="1">
        <v>60.37</v>
      </c>
      <c r="AB673" s="1">
        <v>27532633.329999998</v>
      </c>
      <c r="AC673" s="1">
        <v>41950000</v>
      </c>
    </row>
    <row r="674" spans="1:29" x14ac:dyDescent="0.3">
      <c r="A674">
        <v>2022</v>
      </c>
      <c r="B674">
        <v>100</v>
      </c>
      <c r="C674" t="str">
        <f t="shared" si="95"/>
        <v>09</v>
      </c>
      <c r="D674" t="s">
        <v>559</v>
      </c>
      <c r="E674" t="str">
        <f t="shared" si="92"/>
        <v>09 SECRETARIA DE PLANEACION</v>
      </c>
      <c r="F674" s="2">
        <v>2021130010257</v>
      </c>
      <c r="G674" s="2" t="str">
        <f>+VLOOKUP(F674,Hoja2!$F:$I,2,FALSE)</f>
        <v>10. PILAR: CARTAGENA TRANSPARENTE</v>
      </c>
      <c r="H674" s="2" t="str">
        <f>+VLOOKUP(F674,Hoja2!$F:$I,3,FALSE)</f>
        <v>10.7 LÍNEA ESTRATÉGICA: PARTICIPACIÓN Y DESCENTRALIZACIÓN</v>
      </c>
      <c r="I674" s="2" t="str">
        <f>+VLOOKUP(F674,Hoja2!$F:$I,4,FALSE)</f>
        <v xml:space="preserve">10.7.2 PROGRAMA: MODERNIZACIÓN DEL SISTEMA DISTRITAL DE PLANEACIÓN Y DESCENTRALIZACIÓN  </v>
      </c>
      <c r="J674" t="s">
        <v>587</v>
      </c>
      <c r="K674" t="str">
        <f>"070"</f>
        <v>070</v>
      </c>
      <c r="L674" t="s">
        <v>93</v>
      </c>
      <c r="M674" t="s">
        <v>26</v>
      </c>
      <c r="N674" t="s">
        <v>27</v>
      </c>
      <c r="O674" t="s">
        <v>594</v>
      </c>
      <c r="P674" t="str">
        <f t="shared" si="93"/>
        <v>2021130010257 MODERNIZACION DEL SISTEMA DISTRITAL DE PLANEACION EN  CARTAGENA DE INDIAS</v>
      </c>
      <c r="Q674" t="str">
        <f t="shared" si="90"/>
        <v>06</v>
      </c>
      <c r="R674" t="str">
        <f t="shared" si="91"/>
        <v>00</v>
      </c>
      <c r="S674" s="1">
        <v>965852079</v>
      </c>
      <c r="T674" s="1">
        <v>0</v>
      </c>
      <c r="U674" s="1">
        <v>965852079</v>
      </c>
      <c r="V674" s="1">
        <v>912068131</v>
      </c>
      <c r="W674" s="1">
        <v>53783948</v>
      </c>
      <c r="X674" s="1">
        <v>911594692</v>
      </c>
      <c r="Y674" s="1">
        <v>94.38</v>
      </c>
      <c r="Z674" s="1">
        <v>906663761</v>
      </c>
      <c r="AA674" s="1">
        <v>93.87</v>
      </c>
      <c r="AB674" s="1">
        <v>54257387</v>
      </c>
      <c r="AC674" s="1">
        <v>902163761</v>
      </c>
    </row>
    <row r="675" spans="1:29" x14ac:dyDescent="0.3">
      <c r="A675">
        <v>2022</v>
      </c>
      <c r="B675">
        <v>100</v>
      </c>
      <c r="C675" t="str">
        <f t="shared" si="95"/>
        <v>09</v>
      </c>
      <c r="D675" t="s">
        <v>559</v>
      </c>
      <c r="E675" t="str">
        <f t="shared" si="92"/>
        <v>09 SECRETARIA DE PLANEACION</v>
      </c>
      <c r="F675" s="2">
        <v>2021130010257</v>
      </c>
      <c r="G675" s="2" t="str">
        <f>+VLOOKUP(F675,Hoja2!$F:$I,2,FALSE)</f>
        <v>10. PILAR: CARTAGENA TRANSPARENTE</v>
      </c>
      <c r="H675" s="2" t="str">
        <f>+VLOOKUP(F675,Hoja2!$F:$I,3,FALSE)</f>
        <v>10.7 LÍNEA ESTRATÉGICA: PARTICIPACIÓN Y DESCENTRALIZACIÓN</v>
      </c>
      <c r="I675" s="2" t="str">
        <f>+VLOOKUP(F675,Hoja2!$F:$I,4,FALSE)</f>
        <v xml:space="preserve">10.7.2 PROGRAMA: MODERNIZACIÓN DEL SISTEMA DISTRITAL DE PLANEACIÓN Y DESCENTRALIZACIÓN  </v>
      </c>
      <c r="J675" t="s">
        <v>587</v>
      </c>
      <c r="K675" t="str">
        <f>"001"</f>
        <v>001</v>
      </c>
      <c r="L675" t="s">
        <v>25</v>
      </c>
      <c r="M675" t="s">
        <v>26</v>
      </c>
      <c r="N675" t="s">
        <v>27</v>
      </c>
      <c r="O675" t="s">
        <v>594</v>
      </c>
      <c r="P675" t="str">
        <f t="shared" si="93"/>
        <v>2021130010257 MODERNIZACION DEL SISTEMA DISTRITAL DE PLANEACION EN  CARTAGENA DE INDIAS</v>
      </c>
      <c r="Q675" t="str">
        <f t="shared" si="90"/>
        <v>06</v>
      </c>
      <c r="R675" t="str">
        <f t="shared" si="91"/>
        <v>00</v>
      </c>
      <c r="S675" s="1">
        <v>892707921</v>
      </c>
      <c r="T675" s="1">
        <v>0</v>
      </c>
      <c r="U675" s="1">
        <v>892707921</v>
      </c>
      <c r="V675" s="1">
        <v>727962000</v>
      </c>
      <c r="W675" s="1">
        <v>164745921</v>
      </c>
      <c r="X675" s="1">
        <v>715462000</v>
      </c>
      <c r="Y675" s="1">
        <v>80.150000000000006</v>
      </c>
      <c r="Z675" s="1">
        <v>686962000</v>
      </c>
      <c r="AA675" s="1">
        <v>76.95</v>
      </c>
      <c r="AB675" s="1">
        <v>177245921</v>
      </c>
      <c r="AC675" s="1">
        <v>678168667</v>
      </c>
    </row>
    <row r="676" spans="1:29" x14ac:dyDescent="0.3">
      <c r="A676">
        <v>2022</v>
      </c>
      <c r="B676">
        <v>100</v>
      </c>
      <c r="C676" t="str">
        <f>"01"</f>
        <v>01</v>
      </c>
      <c r="D676" t="s">
        <v>23</v>
      </c>
      <c r="E676" t="str">
        <f t="shared" si="92"/>
        <v>01 DESPACHO DEL ALCALDE</v>
      </c>
      <c r="F676" s="2">
        <v>2021130010259</v>
      </c>
      <c r="G676" s="2" t="str">
        <f>+VLOOKUP(F676,Hoja2!$F:$I,2,FALSE)</f>
        <v>08. PILAR CARTAGENA INCLUYENTE</v>
      </c>
      <c r="H676" s="2" t="str">
        <f>+VLOOKUP(F676,Hoja2!$F:$I,3,FALSE)</f>
        <v>8.1 LÍNEA ESTRATÉGICA: SUPERACIÓN DE LA POBREZA Y DESIGUALDAD.</v>
      </c>
      <c r="I676" s="2" t="str">
        <f>+VLOOKUP(F676,Hoja2!$F:$I,4,FALSE)</f>
        <v xml:space="preserve">8.1.10 PROGRAMA: FORTALECIMIENTO INSTITUCIONAL PARA LA SUPERACION DE LA POBREZA EXTREMA Y DESIGUALDAD </v>
      </c>
      <c r="J676" t="s">
        <v>61</v>
      </c>
      <c r="K676" t="str">
        <f>"815"</f>
        <v>815</v>
      </c>
      <c r="L676" t="s">
        <v>62</v>
      </c>
      <c r="M676" t="s">
        <v>26</v>
      </c>
      <c r="N676" t="s">
        <v>27</v>
      </c>
      <c r="O676" t="s">
        <v>63</v>
      </c>
      <c r="P676" t="str">
        <f t="shared" si="93"/>
        <v>2021130010259 APOYO  IMPLEMENTACION DEL PROGRAMA DE FAMILIAS EN ACCION EN CARTAGENA DE INDIAS -GT+  CARTAGENA DE INDIAS</v>
      </c>
      <c r="Q676" t="str">
        <f t="shared" si="90"/>
        <v>06</v>
      </c>
      <c r="R676" t="str">
        <f t="shared" si="91"/>
        <v>00</v>
      </c>
      <c r="S676" s="1">
        <v>0</v>
      </c>
      <c r="T676" s="1">
        <v>31629890.420000002</v>
      </c>
      <c r="U676" s="1">
        <v>31629890.420000002</v>
      </c>
      <c r="V676" s="1">
        <v>0</v>
      </c>
      <c r="W676" s="1">
        <v>31629890.420000002</v>
      </c>
      <c r="X676" s="1">
        <v>0</v>
      </c>
      <c r="Y676" s="1">
        <v>0</v>
      </c>
      <c r="Z676" s="1">
        <v>0</v>
      </c>
      <c r="AA676" s="1">
        <v>0</v>
      </c>
      <c r="AB676" s="1">
        <v>31629890.420000002</v>
      </c>
      <c r="AC676" s="1">
        <v>0</v>
      </c>
    </row>
    <row r="677" spans="1:29" x14ac:dyDescent="0.3">
      <c r="A677">
        <v>2022</v>
      </c>
      <c r="B677">
        <v>100</v>
      </c>
      <c r="C677" t="str">
        <f>"01"</f>
        <v>01</v>
      </c>
      <c r="D677" t="s">
        <v>23</v>
      </c>
      <c r="E677" t="str">
        <f t="shared" si="92"/>
        <v>01 DESPACHO DEL ALCALDE</v>
      </c>
      <c r="F677" s="2">
        <v>2021130010259</v>
      </c>
      <c r="G677" s="2" t="str">
        <f>+VLOOKUP(F677,Hoja2!$F:$I,2,FALSE)</f>
        <v>08. PILAR CARTAGENA INCLUYENTE</v>
      </c>
      <c r="H677" s="2" t="str">
        <f>+VLOOKUP(F677,Hoja2!$F:$I,3,FALSE)</f>
        <v>8.1 LÍNEA ESTRATÉGICA: SUPERACIÓN DE LA POBREZA Y DESIGUALDAD.</v>
      </c>
      <c r="I677" s="2" t="str">
        <f>+VLOOKUP(F677,Hoja2!$F:$I,4,FALSE)</f>
        <v xml:space="preserve">8.1.10 PROGRAMA: FORTALECIMIENTO INSTITUCIONAL PARA LA SUPERACION DE LA POBREZA EXTREMA Y DESIGUALDAD </v>
      </c>
      <c r="J677" t="s">
        <v>61</v>
      </c>
      <c r="K677" t="str">
        <f>"852"</f>
        <v>852</v>
      </c>
      <c r="L677" t="s">
        <v>76</v>
      </c>
      <c r="M677" t="s">
        <v>26</v>
      </c>
      <c r="N677" t="s">
        <v>27</v>
      </c>
      <c r="O677" t="s">
        <v>63</v>
      </c>
      <c r="P677" t="str">
        <f t="shared" si="93"/>
        <v>2021130010259 APOYO  IMPLEMENTACION DEL PROGRAMA DE FAMILIAS EN ACCION EN CARTAGENA DE INDIAS -GT+  CARTAGENA DE INDIAS</v>
      </c>
      <c r="Q677" t="str">
        <f t="shared" si="90"/>
        <v>06</v>
      </c>
      <c r="R677" t="str">
        <f t="shared" si="91"/>
        <v>00</v>
      </c>
      <c r="S677" s="1">
        <v>0</v>
      </c>
      <c r="T677" s="1">
        <v>127586226</v>
      </c>
      <c r="U677" s="1">
        <v>127586226</v>
      </c>
      <c r="V677" s="1">
        <v>74400000</v>
      </c>
      <c r="W677" s="1">
        <v>53186226</v>
      </c>
      <c r="X677" s="1">
        <v>58500000</v>
      </c>
      <c r="Y677" s="1">
        <v>45.85</v>
      </c>
      <c r="Z677" s="1">
        <v>57536666</v>
      </c>
      <c r="AA677" s="1">
        <v>45.1</v>
      </c>
      <c r="AB677" s="1">
        <v>69086226</v>
      </c>
      <c r="AC677" s="1">
        <v>57536666</v>
      </c>
    </row>
    <row r="678" spans="1:29" x14ac:dyDescent="0.3">
      <c r="A678">
        <v>2022</v>
      </c>
      <c r="B678">
        <v>100</v>
      </c>
      <c r="C678" t="str">
        <f>"01"</f>
        <v>01</v>
      </c>
      <c r="D678" t="s">
        <v>23</v>
      </c>
      <c r="E678" t="str">
        <f t="shared" si="92"/>
        <v>01 DESPACHO DEL ALCALDE</v>
      </c>
      <c r="F678" s="2">
        <v>2021130010259</v>
      </c>
      <c r="G678" s="2" t="str">
        <f>+VLOOKUP(F678,Hoja2!$F:$I,2,FALSE)</f>
        <v>08. PILAR CARTAGENA INCLUYENTE</v>
      </c>
      <c r="H678" s="2" t="str">
        <f>+VLOOKUP(F678,Hoja2!$F:$I,3,FALSE)</f>
        <v>8.1 LÍNEA ESTRATÉGICA: SUPERACIÓN DE LA POBREZA Y DESIGUALDAD.</v>
      </c>
      <c r="I678" s="2" t="str">
        <f>+VLOOKUP(F678,Hoja2!$F:$I,4,FALSE)</f>
        <v xml:space="preserve">8.1.10 PROGRAMA: FORTALECIMIENTO INSTITUCIONAL PARA LA SUPERACION DE LA POBREZA EXTREMA Y DESIGUALDAD </v>
      </c>
      <c r="J678" t="s">
        <v>61</v>
      </c>
      <c r="K678" t="str">
        <f>"053"</f>
        <v>053</v>
      </c>
      <c r="L678" t="s">
        <v>91</v>
      </c>
      <c r="M678" t="s">
        <v>26</v>
      </c>
      <c r="N678" t="s">
        <v>27</v>
      </c>
      <c r="O678" t="s">
        <v>63</v>
      </c>
      <c r="P678" t="str">
        <f t="shared" si="93"/>
        <v>2021130010259 APOYO  IMPLEMENTACION DEL PROGRAMA DE FAMILIAS EN ACCION EN CARTAGENA DE INDIAS -GT+  CARTAGENA DE INDIAS</v>
      </c>
      <c r="Q678" t="str">
        <f t="shared" si="90"/>
        <v>06</v>
      </c>
      <c r="R678" t="str">
        <f t="shared" si="91"/>
        <v>00</v>
      </c>
      <c r="S678" s="1">
        <v>500000000</v>
      </c>
      <c r="T678" s="1">
        <v>0</v>
      </c>
      <c r="U678" s="1">
        <v>500000000</v>
      </c>
      <c r="V678" s="1">
        <v>499999931.61000001</v>
      </c>
      <c r="W678" s="1">
        <v>68.39</v>
      </c>
      <c r="X678" s="1">
        <v>455682115.24000001</v>
      </c>
      <c r="Y678" s="1">
        <v>91.14</v>
      </c>
      <c r="Z678" s="1">
        <v>363394707.24000001</v>
      </c>
      <c r="AA678" s="1">
        <v>72.680000000000007</v>
      </c>
      <c r="AB678" s="1">
        <v>44317884.759999998</v>
      </c>
      <c r="AC678" s="1">
        <v>356394707.24000001</v>
      </c>
    </row>
    <row r="679" spans="1:29" x14ac:dyDescent="0.3">
      <c r="A679">
        <v>2022</v>
      </c>
      <c r="B679">
        <v>100</v>
      </c>
      <c r="C679" t="str">
        <f>"01"</f>
        <v>01</v>
      </c>
      <c r="D679" t="s">
        <v>23</v>
      </c>
      <c r="E679" t="str">
        <f t="shared" si="92"/>
        <v>01 DESPACHO DEL ALCALDE</v>
      </c>
      <c r="F679" s="2">
        <v>2021130010259</v>
      </c>
      <c r="G679" s="2" t="str">
        <f>+VLOOKUP(F679,Hoja2!$F:$I,2,FALSE)</f>
        <v>08. PILAR CARTAGENA INCLUYENTE</v>
      </c>
      <c r="H679" s="2" t="str">
        <f>+VLOOKUP(F679,Hoja2!$F:$I,3,FALSE)</f>
        <v>8.1 LÍNEA ESTRATÉGICA: SUPERACIÓN DE LA POBREZA Y DESIGUALDAD.</v>
      </c>
      <c r="I679" s="2" t="str">
        <f>+VLOOKUP(F679,Hoja2!$F:$I,4,FALSE)</f>
        <v xml:space="preserve">8.1.10 PROGRAMA: FORTALECIMIENTO INSTITUCIONAL PARA LA SUPERACION DE LA POBREZA EXTREMA Y DESIGUALDAD </v>
      </c>
      <c r="J679" t="s">
        <v>61</v>
      </c>
      <c r="K679" t="str">
        <f>"001"</f>
        <v>001</v>
      </c>
      <c r="L679" t="s">
        <v>25</v>
      </c>
      <c r="M679" t="s">
        <v>26</v>
      </c>
      <c r="N679" t="s">
        <v>27</v>
      </c>
      <c r="O679" t="s">
        <v>63</v>
      </c>
      <c r="P679" t="str">
        <f t="shared" si="93"/>
        <v>2021130010259 APOYO  IMPLEMENTACION DEL PROGRAMA DE FAMILIAS EN ACCION EN CARTAGENA DE INDIAS -GT+  CARTAGENA DE INDIAS</v>
      </c>
      <c r="Q679" t="str">
        <f t="shared" si="90"/>
        <v>06</v>
      </c>
      <c r="R679" t="str">
        <f t="shared" si="91"/>
        <v>00</v>
      </c>
      <c r="S679" s="1">
        <v>1537200000</v>
      </c>
      <c r="T679" s="1">
        <v>0</v>
      </c>
      <c r="U679" s="1">
        <v>1537200000</v>
      </c>
      <c r="V679" s="1">
        <v>1537200000</v>
      </c>
      <c r="W679" s="1">
        <v>0</v>
      </c>
      <c r="X679" s="1">
        <v>1504398665</v>
      </c>
      <c r="Y679" s="1">
        <v>97.87</v>
      </c>
      <c r="Z679" s="1">
        <v>1502115335</v>
      </c>
      <c r="AA679" s="1">
        <v>97.72</v>
      </c>
      <c r="AB679" s="1">
        <v>32801335</v>
      </c>
      <c r="AC679" s="1">
        <v>1502115335</v>
      </c>
    </row>
    <row r="680" spans="1:29" x14ac:dyDescent="0.3">
      <c r="A680">
        <v>2022</v>
      </c>
      <c r="B680">
        <v>100</v>
      </c>
      <c r="C680" t="str">
        <f t="shared" ref="C680:C687" si="96">"09"</f>
        <v>09</v>
      </c>
      <c r="D680" t="s">
        <v>559</v>
      </c>
      <c r="E680" t="str">
        <f t="shared" si="92"/>
        <v>09 SECRETARIA DE PLANEACION</v>
      </c>
      <c r="F680" s="2">
        <v>2021130010261</v>
      </c>
      <c r="G680" s="2" t="str">
        <f>+VLOOKUP(F680,Hoja2!$F:$I,2,FALSE)</f>
        <v>07. PILAR CARTAGENA RESILIENTE</v>
      </c>
      <c r="H680" s="2" t="str">
        <f>+VLOOKUP(F680,Hoja2!$F:$I,3,FALSE)</f>
        <v>7.7 LÍNEA ESTRATÉGICA INSTRUMENTOS DE ORDENAMIENTO TERRITORIAL.</v>
      </c>
      <c r="I680" s="2" t="str">
        <f>+VLOOKUP(F680,Hoja2!$F:$I,4,FALSE)</f>
        <v>7.7.1 PLAN DE ORDENAMIENTO TERRITORIAL Y ESPECIAL DE MANEJO DE PATRIMONIO.</v>
      </c>
      <c r="J680" t="s">
        <v>570</v>
      </c>
      <c r="K680" t="str">
        <f>"813"</f>
        <v>813</v>
      </c>
      <c r="L680" t="s">
        <v>169</v>
      </c>
      <c r="M680" t="s">
        <v>26</v>
      </c>
      <c r="N680" t="s">
        <v>27</v>
      </c>
      <c r="O680" t="s">
        <v>571</v>
      </c>
      <c r="P680" t="str">
        <f t="shared" si="93"/>
        <v>2021130010261 CONSTRUCCION DE LOS INSTRUMENTOS DE PLANIFICACION (PEMP Y POT) DE LA CIUDAD DE CARTAGENA DE INDIAS</v>
      </c>
      <c r="Q680" t="str">
        <f t="shared" si="90"/>
        <v>06</v>
      </c>
      <c r="R680" t="str">
        <f t="shared" si="91"/>
        <v>00</v>
      </c>
      <c r="S680" s="1">
        <v>0</v>
      </c>
      <c r="T680" s="1">
        <v>419370026</v>
      </c>
      <c r="U680" s="1">
        <v>419370026</v>
      </c>
      <c r="V680" s="1">
        <v>419370026</v>
      </c>
      <c r="W680" s="1">
        <v>0</v>
      </c>
      <c r="X680" s="1">
        <v>419370026</v>
      </c>
      <c r="Y680" s="1">
        <v>100</v>
      </c>
      <c r="Z680" s="1">
        <v>0</v>
      </c>
      <c r="AA680" s="1">
        <v>0</v>
      </c>
      <c r="AB680" s="1">
        <v>0</v>
      </c>
      <c r="AC680" s="1">
        <v>0</v>
      </c>
    </row>
    <row r="681" spans="1:29" x14ac:dyDescent="0.3">
      <c r="A681">
        <v>2022</v>
      </c>
      <c r="B681">
        <v>100</v>
      </c>
      <c r="C681" t="str">
        <f t="shared" si="96"/>
        <v>09</v>
      </c>
      <c r="D681" t="s">
        <v>559</v>
      </c>
      <c r="E681" t="str">
        <f t="shared" si="92"/>
        <v>09 SECRETARIA DE PLANEACION</v>
      </c>
      <c r="F681" s="2">
        <v>2021130010261</v>
      </c>
      <c r="G681" s="2" t="str">
        <f>+VLOOKUP(F681,Hoja2!$F:$I,2,FALSE)</f>
        <v>07. PILAR CARTAGENA RESILIENTE</v>
      </c>
      <c r="H681" s="2" t="str">
        <f>+VLOOKUP(F681,Hoja2!$F:$I,3,FALSE)</f>
        <v>7.7 LÍNEA ESTRATÉGICA INSTRUMENTOS DE ORDENAMIENTO TERRITORIAL.</v>
      </c>
      <c r="I681" s="2" t="str">
        <f>+VLOOKUP(F681,Hoja2!$F:$I,4,FALSE)</f>
        <v>7.7.1 PLAN DE ORDENAMIENTO TERRITORIAL Y ESPECIAL DE MANEJO DE PATRIMONIO.</v>
      </c>
      <c r="J681" t="s">
        <v>570</v>
      </c>
      <c r="K681" t="str">
        <f>"816"</f>
        <v>816</v>
      </c>
      <c r="L681" t="s">
        <v>116</v>
      </c>
      <c r="M681" t="s">
        <v>26</v>
      </c>
      <c r="N681" t="s">
        <v>27</v>
      </c>
      <c r="O681" t="s">
        <v>571</v>
      </c>
      <c r="P681" t="str">
        <f t="shared" si="93"/>
        <v>2021130010261 CONSTRUCCION DE LOS INSTRUMENTOS DE PLANIFICACION (PEMP Y POT) DE LA CIUDAD DE CARTAGENA DE INDIAS</v>
      </c>
      <c r="Q681" t="str">
        <f t="shared" si="90"/>
        <v>06</v>
      </c>
      <c r="R681" t="str">
        <f t="shared" si="91"/>
        <v>00</v>
      </c>
      <c r="S681" s="1">
        <v>0</v>
      </c>
      <c r="T681" s="1">
        <v>80383826</v>
      </c>
      <c r="U681" s="1">
        <v>80383826</v>
      </c>
      <c r="V681" s="1">
        <v>38836109</v>
      </c>
      <c r="W681" s="1">
        <v>41547717</v>
      </c>
      <c r="X681" s="1">
        <v>38836109</v>
      </c>
      <c r="Y681" s="1">
        <v>48.31</v>
      </c>
      <c r="Z681" s="1">
        <v>0</v>
      </c>
      <c r="AA681" s="1">
        <v>0</v>
      </c>
      <c r="AB681" s="1">
        <v>41547717</v>
      </c>
      <c r="AC681" s="1">
        <v>0</v>
      </c>
    </row>
    <row r="682" spans="1:29" x14ac:dyDescent="0.3">
      <c r="A682">
        <v>2022</v>
      </c>
      <c r="B682">
        <v>100</v>
      </c>
      <c r="C682" t="str">
        <f t="shared" si="96"/>
        <v>09</v>
      </c>
      <c r="D682" t="s">
        <v>559</v>
      </c>
      <c r="E682" t="str">
        <f t="shared" si="92"/>
        <v>09 SECRETARIA DE PLANEACION</v>
      </c>
      <c r="F682" s="2">
        <v>2021130010261</v>
      </c>
      <c r="G682" s="2" t="str">
        <f>+VLOOKUP(F682,Hoja2!$F:$I,2,FALSE)</f>
        <v>07. PILAR CARTAGENA RESILIENTE</v>
      </c>
      <c r="H682" s="2" t="str">
        <f>+VLOOKUP(F682,Hoja2!$F:$I,3,FALSE)</f>
        <v>7.7 LÍNEA ESTRATÉGICA INSTRUMENTOS DE ORDENAMIENTO TERRITORIAL.</v>
      </c>
      <c r="I682" s="2" t="str">
        <f>+VLOOKUP(F682,Hoja2!$F:$I,4,FALSE)</f>
        <v>7.7.1 PLAN DE ORDENAMIENTO TERRITORIAL Y ESPECIAL DE MANEJO DE PATRIMONIO.</v>
      </c>
      <c r="J682" t="s">
        <v>570</v>
      </c>
      <c r="K682" t="str">
        <f>"922"</f>
        <v>922</v>
      </c>
      <c r="L682" t="s">
        <v>78</v>
      </c>
      <c r="M682" t="s">
        <v>26</v>
      </c>
      <c r="N682" t="s">
        <v>27</v>
      </c>
      <c r="O682" t="s">
        <v>584</v>
      </c>
      <c r="P682" t="str">
        <f t="shared" si="93"/>
        <v>2021130010261 CONSTRUCCION DE LOS INSTRUMENTOS DE PLANIFICACION (PEMP Y POT) DE LA CIUDAD DE  CARTAGENA DE INDIAS</v>
      </c>
      <c r="Q682" t="str">
        <f t="shared" si="90"/>
        <v>06</v>
      </c>
      <c r="R682" t="str">
        <f t="shared" si="91"/>
        <v>00</v>
      </c>
      <c r="S682" s="1">
        <v>0</v>
      </c>
      <c r="T682" s="1">
        <v>322115593.32999998</v>
      </c>
      <c r="U682" s="1">
        <v>322115593.32999998</v>
      </c>
      <c r="V682" s="1">
        <v>322100000</v>
      </c>
      <c r="W682" s="1">
        <v>15593.33</v>
      </c>
      <c r="X682" s="1">
        <v>313029999</v>
      </c>
      <c r="Y682" s="1">
        <v>97.18</v>
      </c>
      <c r="Z682" s="1">
        <v>278823332</v>
      </c>
      <c r="AA682" s="1">
        <v>86.56</v>
      </c>
      <c r="AB682" s="1">
        <v>9085594.3300000001</v>
      </c>
      <c r="AC682" s="1">
        <v>259089999</v>
      </c>
    </row>
    <row r="683" spans="1:29" x14ac:dyDescent="0.3">
      <c r="A683">
        <v>2022</v>
      </c>
      <c r="B683">
        <v>100</v>
      </c>
      <c r="C683" t="str">
        <f t="shared" si="96"/>
        <v>09</v>
      </c>
      <c r="D683" t="s">
        <v>559</v>
      </c>
      <c r="E683" t="str">
        <f t="shared" si="92"/>
        <v>09 SECRETARIA DE PLANEACION</v>
      </c>
      <c r="F683" s="2">
        <v>2021130010261</v>
      </c>
      <c r="G683" s="2" t="str">
        <f>+VLOOKUP(F683,Hoja2!$F:$I,2,FALSE)</f>
        <v>07. PILAR CARTAGENA RESILIENTE</v>
      </c>
      <c r="H683" s="2" t="str">
        <f>+VLOOKUP(F683,Hoja2!$F:$I,3,FALSE)</f>
        <v>7.7 LÍNEA ESTRATÉGICA INSTRUMENTOS DE ORDENAMIENTO TERRITORIAL.</v>
      </c>
      <c r="I683" s="2" t="str">
        <f>+VLOOKUP(F683,Hoja2!$F:$I,4,FALSE)</f>
        <v>7.7.1 PLAN DE ORDENAMIENTO TERRITORIAL Y ESPECIAL DE MANEJO DE PATRIMONIO.</v>
      </c>
      <c r="J683" t="s">
        <v>570</v>
      </c>
      <c r="K683" t="str">
        <f>"070"</f>
        <v>070</v>
      </c>
      <c r="L683" t="s">
        <v>93</v>
      </c>
      <c r="M683" t="s">
        <v>26</v>
      </c>
      <c r="N683" t="s">
        <v>27</v>
      </c>
      <c r="O683" t="s">
        <v>571</v>
      </c>
      <c r="P683" t="str">
        <f t="shared" si="93"/>
        <v>2021130010261 CONSTRUCCION DE LOS INSTRUMENTOS DE PLANIFICACION (PEMP Y POT) DE LA CIUDAD DE CARTAGENA DE INDIAS</v>
      </c>
      <c r="Q683" t="str">
        <f t="shared" si="90"/>
        <v>06</v>
      </c>
      <c r="R683" t="str">
        <f t="shared" si="91"/>
        <v>00</v>
      </c>
      <c r="S683" s="1">
        <v>0</v>
      </c>
      <c r="T683" s="1">
        <v>460044813</v>
      </c>
      <c r="U683" s="1">
        <v>460044813</v>
      </c>
      <c r="V683" s="1">
        <v>460044813</v>
      </c>
      <c r="W683" s="1">
        <v>0</v>
      </c>
      <c r="X683" s="1">
        <v>460044813</v>
      </c>
      <c r="Y683" s="1">
        <v>100</v>
      </c>
      <c r="Z683" s="1">
        <v>0</v>
      </c>
      <c r="AA683" s="1">
        <v>0</v>
      </c>
      <c r="AB683" s="1">
        <v>0</v>
      </c>
      <c r="AC683" s="1">
        <v>0</v>
      </c>
    </row>
    <row r="684" spans="1:29" x14ac:dyDescent="0.3">
      <c r="A684">
        <v>2022</v>
      </c>
      <c r="B684">
        <v>100</v>
      </c>
      <c r="C684" t="str">
        <f t="shared" si="96"/>
        <v>09</v>
      </c>
      <c r="D684" t="s">
        <v>559</v>
      </c>
      <c r="E684" t="str">
        <f t="shared" si="92"/>
        <v>09 SECRETARIA DE PLANEACION</v>
      </c>
      <c r="F684" s="2">
        <v>2021130010261</v>
      </c>
      <c r="G684" s="2" t="str">
        <f>+VLOOKUP(F684,Hoja2!$F:$I,2,FALSE)</f>
        <v>07. PILAR CARTAGENA RESILIENTE</v>
      </c>
      <c r="H684" s="2" t="str">
        <f>+VLOOKUP(F684,Hoja2!$F:$I,3,FALSE)</f>
        <v>7.7 LÍNEA ESTRATÉGICA INSTRUMENTOS DE ORDENAMIENTO TERRITORIAL.</v>
      </c>
      <c r="I684" s="2" t="str">
        <f>+VLOOKUP(F684,Hoja2!$F:$I,4,FALSE)</f>
        <v>7.7.1 PLAN DE ORDENAMIENTO TERRITORIAL Y ESPECIAL DE MANEJO DE PATRIMONIO.</v>
      </c>
      <c r="J684" t="s">
        <v>570</v>
      </c>
      <c r="K684" t="str">
        <f>"001"</f>
        <v>001</v>
      </c>
      <c r="L684" t="s">
        <v>25</v>
      </c>
      <c r="M684" t="s">
        <v>26</v>
      </c>
      <c r="N684" t="s">
        <v>27</v>
      </c>
      <c r="O684" t="s">
        <v>584</v>
      </c>
      <c r="P684" t="str">
        <f t="shared" si="93"/>
        <v>2021130010261 CONSTRUCCION DE LOS INSTRUMENTOS DE PLANIFICACION (PEMP Y POT) DE LA CIUDAD DE  CARTAGENA DE INDIAS</v>
      </c>
      <c r="Q684" t="str">
        <f t="shared" si="90"/>
        <v>06</v>
      </c>
      <c r="R684" t="str">
        <f t="shared" si="91"/>
        <v>00</v>
      </c>
      <c r="S684" s="1">
        <v>4436200000</v>
      </c>
      <c r="T684" s="1">
        <v>2099053609</v>
      </c>
      <c r="U684" s="1">
        <v>6535253609</v>
      </c>
      <c r="V684" s="1">
        <v>6479411852.6000004</v>
      </c>
      <c r="W684" s="1">
        <v>55841756.399999999</v>
      </c>
      <c r="X684" s="1">
        <v>6385343214.7299995</v>
      </c>
      <c r="Y684" s="1">
        <v>97.71</v>
      </c>
      <c r="Z684" s="1">
        <v>5668919901.6700001</v>
      </c>
      <c r="AA684" s="1">
        <v>86.74</v>
      </c>
      <c r="AB684" s="1">
        <v>149910394.27000001</v>
      </c>
      <c r="AC684" s="1">
        <v>5508579901.6700001</v>
      </c>
    </row>
    <row r="685" spans="1:29" x14ac:dyDescent="0.3">
      <c r="A685">
        <v>2022</v>
      </c>
      <c r="B685">
        <v>100</v>
      </c>
      <c r="C685" t="str">
        <f t="shared" si="96"/>
        <v>09</v>
      </c>
      <c r="D685" t="s">
        <v>559</v>
      </c>
      <c r="E685" t="str">
        <f t="shared" si="92"/>
        <v>09 SECRETARIA DE PLANEACION</v>
      </c>
      <c r="F685" s="2">
        <v>2021130010262</v>
      </c>
      <c r="G685" s="2" t="str">
        <f>+VLOOKUP(F685,Hoja2!$F:$I,2,FALSE)</f>
        <v>07. PILAR CARTAGENA RESILIENTE</v>
      </c>
      <c r="H685" s="2" t="str">
        <f>+VLOOKUP(F685,Hoja2!$F:$I,3,FALSE)</f>
        <v>7.7 LÍNEA ESTRATÉGICA INSTRUMENTOS DE ORDENAMIENTO TERRITORIAL.</v>
      </c>
      <c r="I685" s="2" t="str">
        <f>+VLOOKUP(F685,Hoja2!$F:$I,4,FALSE)</f>
        <v>7.7.1 PLAN DE ORDENAMIENTO TERRITORIAL Y ESPECIAL DE MANEJO DE PATRIMONIO.</v>
      </c>
      <c r="J685" t="s">
        <v>576</v>
      </c>
      <c r="K685" t="str">
        <f>"813"</f>
        <v>813</v>
      </c>
      <c r="L685" t="s">
        <v>169</v>
      </c>
      <c r="M685" t="s">
        <v>26</v>
      </c>
      <c r="N685" t="s">
        <v>27</v>
      </c>
      <c r="O685" t="s">
        <v>577</v>
      </c>
      <c r="P685" t="str">
        <f t="shared" si="93"/>
        <v>2021130010262 FORTALECIMIENTO A LA REGLAMENTACION URBANISTICA DEL ORDENAMIENTO TERRITORIAL Y ESTRATEGIAS DE PLANEACION PARA PLANES PARCIALES EN EL DISTRITO DE  CARTAGENA DE INDIAS</v>
      </c>
      <c r="Q685" t="str">
        <f t="shared" si="90"/>
        <v>06</v>
      </c>
      <c r="R685" t="str">
        <f t="shared" si="91"/>
        <v>00</v>
      </c>
      <c r="S685" s="1">
        <v>0</v>
      </c>
      <c r="T685" s="1">
        <v>411000000</v>
      </c>
      <c r="U685" s="1">
        <v>411000000</v>
      </c>
      <c r="V685" s="1">
        <v>336450000</v>
      </c>
      <c r="W685" s="1">
        <v>74550000</v>
      </c>
      <c r="X685" s="1">
        <v>336450000</v>
      </c>
      <c r="Y685" s="1">
        <v>81.86</v>
      </c>
      <c r="Z685" s="1">
        <v>303050000</v>
      </c>
      <c r="AA685" s="1">
        <v>73.73</v>
      </c>
      <c r="AB685" s="1">
        <v>74550000</v>
      </c>
      <c r="AC685" s="1">
        <v>297850000</v>
      </c>
    </row>
    <row r="686" spans="1:29" x14ac:dyDescent="0.3">
      <c r="A686">
        <v>2022</v>
      </c>
      <c r="B686">
        <v>100</v>
      </c>
      <c r="C686" t="str">
        <f t="shared" si="96"/>
        <v>09</v>
      </c>
      <c r="D686" t="s">
        <v>559</v>
      </c>
      <c r="E686" t="str">
        <f t="shared" si="92"/>
        <v>09 SECRETARIA DE PLANEACION</v>
      </c>
      <c r="F686" s="2">
        <v>2021130010262</v>
      </c>
      <c r="G686" s="2" t="str">
        <f>+VLOOKUP(F686,Hoja2!$F:$I,2,FALSE)</f>
        <v>07. PILAR CARTAGENA RESILIENTE</v>
      </c>
      <c r="H686" s="2" t="str">
        <f>+VLOOKUP(F686,Hoja2!$F:$I,3,FALSE)</f>
        <v>7.7 LÍNEA ESTRATÉGICA INSTRUMENTOS DE ORDENAMIENTO TERRITORIAL.</v>
      </c>
      <c r="I686" s="2" t="str">
        <f>+VLOOKUP(F686,Hoja2!$F:$I,4,FALSE)</f>
        <v>7.7.1 PLAN DE ORDENAMIENTO TERRITORIAL Y ESPECIAL DE MANEJO DE PATRIMONIO.</v>
      </c>
      <c r="J686" t="s">
        <v>576</v>
      </c>
      <c r="K686" t="str">
        <f>"922"</f>
        <v>922</v>
      </c>
      <c r="L686" t="s">
        <v>78</v>
      </c>
      <c r="M686" t="s">
        <v>26</v>
      </c>
      <c r="N686" t="s">
        <v>27</v>
      </c>
      <c r="O686" t="s">
        <v>577</v>
      </c>
      <c r="P686" t="str">
        <f t="shared" si="93"/>
        <v>2021130010262 FORTALECIMIENTO A LA REGLAMENTACION URBANISTICA DEL ORDENAMIENTO TERRITORIAL Y ESTRATEGIAS DE PLANEACION PARA PLANES PARCIALES EN EL DISTRITO DE  CARTAGENA DE INDIAS</v>
      </c>
      <c r="Q686" t="str">
        <f t="shared" si="90"/>
        <v>06</v>
      </c>
      <c r="R686" t="str">
        <f t="shared" si="91"/>
        <v>00</v>
      </c>
      <c r="S686" s="1">
        <v>0</v>
      </c>
      <c r="T686" s="1">
        <v>0.85</v>
      </c>
      <c r="U686" s="1">
        <v>0.85</v>
      </c>
      <c r="V686" s="1">
        <v>0</v>
      </c>
      <c r="W686" s="1">
        <v>0.85</v>
      </c>
      <c r="X686" s="1">
        <v>0</v>
      </c>
      <c r="Y686" s="1">
        <v>0</v>
      </c>
      <c r="Z686" s="1">
        <v>0</v>
      </c>
      <c r="AA686" s="1">
        <v>0</v>
      </c>
      <c r="AB686" s="1">
        <v>0.85</v>
      </c>
      <c r="AC686" s="1">
        <v>0</v>
      </c>
    </row>
    <row r="687" spans="1:29" x14ac:dyDescent="0.3">
      <c r="A687">
        <v>2022</v>
      </c>
      <c r="B687">
        <v>100</v>
      </c>
      <c r="C687" t="str">
        <f t="shared" si="96"/>
        <v>09</v>
      </c>
      <c r="D687" t="s">
        <v>559</v>
      </c>
      <c r="E687" t="str">
        <f t="shared" si="92"/>
        <v>09 SECRETARIA DE PLANEACION</v>
      </c>
      <c r="F687" s="2">
        <v>2021130010262</v>
      </c>
      <c r="G687" s="2" t="str">
        <f>+VLOOKUP(F687,Hoja2!$F:$I,2,FALSE)</f>
        <v>07. PILAR CARTAGENA RESILIENTE</v>
      </c>
      <c r="H687" s="2" t="str">
        <f>+VLOOKUP(F687,Hoja2!$F:$I,3,FALSE)</f>
        <v>7.7 LÍNEA ESTRATÉGICA INSTRUMENTOS DE ORDENAMIENTO TERRITORIAL.</v>
      </c>
      <c r="I687" s="2" t="str">
        <f>+VLOOKUP(F687,Hoja2!$F:$I,4,FALSE)</f>
        <v>7.7.1 PLAN DE ORDENAMIENTO TERRITORIAL Y ESPECIAL DE MANEJO DE PATRIMONIO.</v>
      </c>
      <c r="J687" t="s">
        <v>576</v>
      </c>
      <c r="K687" t="str">
        <f>"001"</f>
        <v>001</v>
      </c>
      <c r="L687" t="s">
        <v>25</v>
      </c>
      <c r="M687" t="s">
        <v>26</v>
      </c>
      <c r="N687" t="s">
        <v>27</v>
      </c>
      <c r="O687" t="s">
        <v>577</v>
      </c>
      <c r="P687" t="str">
        <f t="shared" si="93"/>
        <v>2021130010262 FORTALECIMIENTO A LA REGLAMENTACION URBANISTICA DEL ORDENAMIENTO TERRITORIAL Y ESTRATEGIAS DE PLANEACION PARA PLANES PARCIALES EN EL DISTRITO DE  CARTAGENA DE INDIAS</v>
      </c>
      <c r="Q687" t="str">
        <f t="shared" si="90"/>
        <v>06</v>
      </c>
      <c r="R687" t="str">
        <f t="shared" si="91"/>
        <v>00</v>
      </c>
      <c r="S687" s="1">
        <v>2114200000</v>
      </c>
      <c r="T687" s="1">
        <v>0</v>
      </c>
      <c r="U687" s="1">
        <v>2114200000</v>
      </c>
      <c r="V687" s="1">
        <v>2036495249.8299999</v>
      </c>
      <c r="W687" s="1">
        <v>77704750.170000002</v>
      </c>
      <c r="X687" s="1">
        <v>2027433916.5</v>
      </c>
      <c r="Y687" s="1">
        <v>95.9</v>
      </c>
      <c r="Z687" s="1">
        <v>1777416663</v>
      </c>
      <c r="AA687" s="1">
        <v>84.07</v>
      </c>
      <c r="AB687" s="1">
        <v>86766083.5</v>
      </c>
      <c r="AC687" s="1">
        <v>1767956664</v>
      </c>
    </row>
    <row r="688" spans="1:29" x14ac:dyDescent="0.3">
      <c r="A688">
        <v>2022</v>
      </c>
      <c r="B688">
        <v>100</v>
      </c>
      <c r="C688" t="str">
        <f>"17"</f>
        <v>17</v>
      </c>
      <c r="D688" t="s">
        <v>852</v>
      </c>
      <c r="E688" t="str">
        <f t="shared" si="92"/>
        <v>17 INSTITUTO DE PATRIMONIO Y CULTURA DE CARTAGENA DE INDIAS</v>
      </c>
      <c r="F688" s="2">
        <v>2021130010264</v>
      </c>
      <c r="G688" s="2" t="str">
        <f>+VLOOKUP(F688,Hoja2!$F:$I,2,FALSE)</f>
        <v>10. PILAR: CARTAGENA TRANSPARENTE</v>
      </c>
      <c r="H688" s="2" t="str">
        <f>+VLOOKUP(F688,Hoja2!$F:$I,3,FALSE)</f>
        <v>10.2 LÍNEA ESTRATÉGICA: CARTAGENA INTELIGENTE CON TODOS Y PARA TODOS</v>
      </c>
      <c r="I688" s="2" t="str">
        <f>+VLOOKUP(F688,Hoja2!$F:$I,4,FALSE)</f>
        <v>10.2.5 PROGRAMA: JORGE PIEDRAHITA ADUEN</v>
      </c>
      <c r="J688" t="s">
        <v>883</v>
      </c>
      <c r="K688" t="str">
        <f>"001"</f>
        <v>001</v>
      </c>
      <c r="L688" t="s">
        <v>25</v>
      </c>
      <c r="M688" t="s">
        <v>26</v>
      </c>
      <c r="N688" t="s">
        <v>27</v>
      </c>
      <c r="O688" t="s">
        <v>884</v>
      </c>
      <c r="P688" t="str">
        <f t="shared" si="93"/>
        <v>2021130010264 INVESTIGACION Y DIVULGACION CULTURAL SOBRE EL IMPACTO DE LA CORRUPCION EN EL MARCO DEL PREMIO JORGE PIEDRAHITA ADUEN EN EL DISTRITO DE CARTAGENA DE INDIAS</v>
      </c>
      <c r="Q688" t="str">
        <f t="shared" si="90"/>
        <v>06</v>
      </c>
      <c r="R688" t="str">
        <f t="shared" si="91"/>
        <v>00</v>
      </c>
      <c r="S688" s="1">
        <v>130000000</v>
      </c>
      <c r="T688" s="1">
        <v>0</v>
      </c>
      <c r="U688" s="1">
        <v>130000000</v>
      </c>
      <c r="V688" s="1">
        <v>130000000</v>
      </c>
      <c r="W688" s="1">
        <v>0</v>
      </c>
      <c r="X688" s="1">
        <v>130000000</v>
      </c>
      <c r="Y688" s="1">
        <v>100</v>
      </c>
      <c r="Z688" s="1">
        <v>130000000</v>
      </c>
      <c r="AA688" s="1">
        <v>100</v>
      </c>
      <c r="AB688" s="1">
        <v>0</v>
      </c>
      <c r="AC688" s="1">
        <v>87282000</v>
      </c>
    </row>
    <row r="689" spans="1:29" x14ac:dyDescent="0.3">
      <c r="A689">
        <v>2022</v>
      </c>
      <c r="B689">
        <v>100</v>
      </c>
      <c r="C689" t="str">
        <f>"17"</f>
        <v>17</v>
      </c>
      <c r="D689" t="s">
        <v>852</v>
      </c>
      <c r="E689" t="str">
        <f t="shared" si="92"/>
        <v>17 INSTITUTO DE PATRIMONIO Y CULTURA DE CARTAGENA DE INDIAS</v>
      </c>
      <c r="F689" s="2">
        <v>2021130010265</v>
      </c>
      <c r="G689" s="2" t="str">
        <f>+VLOOKUP(F689,Hoja2!$F:$I,2,FALSE)</f>
        <v>08. PILAR CARTAGENA INCLUYENTE</v>
      </c>
      <c r="H689" s="2" t="str">
        <f>+VLOOKUP(F689,Hoja2!$F:$I,3,FALSE)</f>
        <v>8.5 LÍNEA ESTRATÉGICA ARTES, CULTURA Y PATRIMONIO PARA UNA CARTAGENA INCLUYENTE</v>
      </c>
      <c r="I689" s="2" t="str">
        <f>+VLOOKUP(F689,Hoja2!$F:$I,4,FALSE)</f>
        <v xml:space="preserve">8.5.4 PROGRAMA: VALORACION, CIUDADO Y APROPIACION SOCIAL DEL PATRIMONIO MATERIAL </v>
      </c>
      <c r="J689" t="s">
        <v>873</v>
      </c>
      <c r="K689" t="str">
        <f>"057"</f>
        <v>057</v>
      </c>
      <c r="L689" t="s">
        <v>861</v>
      </c>
      <c r="M689" t="s">
        <v>26</v>
      </c>
      <c r="N689" t="s">
        <v>27</v>
      </c>
      <c r="O689" t="s">
        <v>874</v>
      </c>
      <c r="P689" t="str">
        <f t="shared" si="93"/>
        <v>2021130010265 FORTALECIMIENTO SALVAGUARDA VALORACION CUIDADO Y CONTROL DEL PATRIMONIO MATERIAL EN EL DISTRITO DE CARTAGENA DE INDIAS</v>
      </c>
      <c r="Q689" t="str">
        <f t="shared" si="90"/>
        <v>06</v>
      </c>
      <c r="R689" t="str">
        <f t="shared" si="91"/>
        <v>00</v>
      </c>
      <c r="S689" s="1">
        <v>104951903</v>
      </c>
      <c r="T689" s="1">
        <v>0</v>
      </c>
      <c r="U689" s="1">
        <v>104951903</v>
      </c>
      <c r="V689" s="1">
        <v>104950912.64</v>
      </c>
      <c r="W689" s="1">
        <v>990.36</v>
      </c>
      <c r="X689" s="1">
        <v>104950912.64</v>
      </c>
      <c r="Y689" s="1">
        <v>100</v>
      </c>
      <c r="Z689" s="1">
        <v>69966945</v>
      </c>
      <c r="AA689" s="1">
        <v>66.67</v>
      </c>
      <c r="AB689" s="1">
        <v>990.36</v>
      </c>
      <c r="AC689" s="1">
        <v>61221944</v>
      </c>
    </row>
    <row r="690" spans="1:29" x14ac:dyDescent="0.3">
      <c r="A690">
        <v>2022</v>
      </c>
      <c r="B690">
        <v>100</v>
      </c>
      <c r="C690" t="str">
        <f>"17"</f>
        <v>17</v>
      </c>
      <c r="D690" t="s">
        <v>852</v>
      </c>
      <c r="E690" t="str">
        <f t="shared" si="92"/>
        <v>17 INSTITUTO DE PATRIMONIO Y CULTURA DE CARTAGENA DE INDIAS</v>
      </c>
      <c r="F690" s="2">
        <v>2021130010265</v>
      </c>
      <c r="G690" s="2" t="str">
        <f>+VLOOKUP(F690,Hoja2!$F:$I,2,FALSE)</f>
        <v>08. PILAR CARTAGENA INCLUYENTE</v>
      </c>
      <c r="H690" s="2" t="str">
        <f>+VLOOKUP(F690,Hoja2!$F:$I,3,FALSE)</f>
        <v>8.5 LÍNEA ESTRATÉGICA ARTES, CULTURA Y PATRIMONIO PARA UNA CARTAGENA INCLUYENTE</v>
      </c>
      <c r="I690" s="2" t="str">
        <f>+VLOOKUP(F690,Hoja2!$F:$I,4,FALSE)</f>
        <v xml:space="preserve">8.5.4 PROGRAMA: VALORACION, CIUDADO Y APROPIACION SOCIAL DEL PATRIMONIO MATERIAL </v>
      </c>
      <c r="J690" t="s">
        <v>873</v>
      </c>
      <c r="K690" t="str">
        <f>"082"</f>
        <v>082</v>
      </c>
      <c r="L690" t="s">
        <v>876</v>
      </c>
      <c r="M690" t="s">
        <v>26</v>
      </c>
      <c r="N690" t="s">
        <v>27</v>
      </c>
      <c r="O690" t="s">
        <v>874</v>
      </c>
      <c r="P690" t="str">
        <f t="shared" si="93"/>
        <v>2021130010265 FORTALECIMIENTO SALVAGUARDA VALORACION CUIDADO Y CONTROL DEL PATRIMONIO MATERIAL EN EL DISTRITO DE CARTAGENA DE INDIAS</v>
      </c>
      <c r="Q690" t="str">
        <f t="shared" si="90"/>
        <v>06</v>
      </c>
      <c r="R690" t="str">
        <f t="shared" si="91"/>
        <v>00</v>
      </c>
      <c r="S690" s="1">
        <v>131600000</v>
      </c>
      <c r="T690" s="1">
        <v>0</v>
      </c>
      <c r="U690" s="1">
        <v>131600000</v>
      </c>
      <c r="V690" s="1">
        <v>0</v>
      </c>
      <c r="W690" s="1">
        <v>131600000</v>
      </c>
      <c r="X690" s="1">
        <v>0</v>
      </c>
      <c r="Y690" s="1">
        <v>0</v>
      </c>
      <c r="Z690" s="1">
        <v>0</v>
      </c>
      <c r="AA690" s="1">
        <v>0</v>
      </c>
      <c r="AB690" s="1">
        <v>131600000</v>
      </c>
      <c r="AC690" s="1">
        <v>0</v>
      </c>
    </row>
    <row r="691" spans="1:29" x14ac:dyDescent="0.3">
      <c r="A691">
        <v>2022</v>
      </c>
      <c r="B691">
        <v>100</v>
      </c>
      <c r="C691" t="str">
        <f>"17"</f>
        <v>17</v>
      </c>
      <c r="D691" t="s">
        <v>852</v>
      </c>
      <c r="E691" t="str">
        <f t="shared" si="92"/>
        <v>17 INSTITUTO DE PATRIMONIO Y CULTURA DE CARTAGENA DE INDIAS</v>
      </c>
      <c r="F691" s="2">
        <v>2021130010265</v>
      </c>
      <c r="G691" s="2" t="str">
        <f>+VLOOKUP(F691,Hoja2!$F:$I,2,FALSE)</f>
        <v>08. PILAR CARTAGENA INCLUYENTE</v>
      </c>
      <c r="H691" s="2" t="str">
        <f>+VLOOKUP(F691,Hoja2!$F:$I,3,FALSE)</f>
        <v>8.5 LÍNEA ESTRATÉGICA ARTES, CULTURA Y PATRIMONIO PARA UNA CARTAGENA INCLUYENTE</v>
      </c>
      <c r="I691" s="2" t="str">
        <f>+VLOOKUP(F691,Hoja2!$F:$I,4,FALSE)</f>
        <v xml:space="preserve">8.5.4 PROGRAMA: VALORACION, CIUDADO Y APROPIACION SOCIAL DEL PATRIMONIO MATERIAL </v>
      </c>
      <c r="J691" t="s">
        <v>873</v>
      </c>
      <c r="K691" t="str">
        <f>"001"</f>
        <v>001</v>
      </c>
      <c r="L691" t="s">
        <v>25</v>
      </c>
      <c r="M691" t="s">
        <v>26</v>
      </c>
      <c r="N691" t="s">
        <v>27</v>
      </c>
      <c r="O691" t="s">
        <v>874</v>
      </c>
      <c r="P691" t="str">
        <f t="shared" si="93"/>
        <v>2021130010265 FORTALECIMIENTO SALVAGUARDA VALORACION CUIDADO Y CONTROL DEL PATRIMONIO MATERIAL EN EL DISTRITO DE CARTAGENA DE INDIAS</v>
      </c>
      <c r="Q691" t="str">
        <f t="shared" si="90"/>
        <v>06</v>
      </c>
      <c r="R691" t="str">
        <f t="shared" si="91"/>
        <v>00</v>
      </c>
      <c r="S691" s="1">
        <v>1650000000</v>
      </c>
      <c r="T691" s="1">
        <v>0</v>
      </c>
      <c r="U691" s="1">
        <v>1650000000</v>
      </c>
      <c r="V691" s="1">
        <v>1650000000</v>
      </c>
      <c r="W691" s="1">
        <v>0</v>
      </c>
      <c r="X691" s="1">
        <v>1650000000</v>
      </c>
      <c r="Y691" s="1">
        <v>100</v>
      </c>
      <c r="Z691" s="1">
        <v>1650000000</v>
      </c>
      <c r="AA691" s="1">
        <v>100</v>
      </c>
      <c r="AB691" s="1">
        <v>0</v>
      </c>
      <c r="AC691" s="1">
        <v>1650000000</v>
      </c>
    </row>
    <row r="692" spans="1:29" x14ac:dyDescent="0.3">
      <c r="A692">
        <v>2022</v>
      </c>
      <c r="B692">
        <v>100</v>
      </c>
      <c r="C692" t="str">
        <f t="shared" ref="C692:C702" si="97">"01"</f>
        <v>01</v>
      </c>
      <c r="D692" t="s">
        <v>23</v>
      </c>
      <c r="E692" t="str">
        <f t="shared" si="92"/>
        <v>01 DESPACHO DEL ALCALDE</v>
      </c>
      <c r="F692" s="2">
        <v>2021130010266</v>
      </c>
      <c r="G692" s="2" t="str">
        <f>+VLOOKUP(F692,Hoja2!$F:$I,2,FALSE)</f>
        <v>07. PILAR CARTAGENA RESILIENTE</v>
      </c>
      <c r="H692" s="2" t="str">
        <f>+VLOOKUP(F692,Hoja2!$F:$I,3,FALSE)</f>
        <v>7.2 LÍNEA ESTRATÉGICA ESPACIO PÚBLICO, MOVILIDAD Y TRANSPORTE RESILIENTE</v>
      </c>
      <c r="I692" s="2" t="str">
        <f>+VLOOKUP(F692,Hoja2!$F:$I,4,FALSE)</f>
        <v xml:space="preserve">7.2.3 GENERACIÓN DEL ESPACIO PÚBLICO  </v>
      </c>
      <c r="J692" t="s">
        <v>87</v>
      </c>
      <c r="K692" t="str">
        <f>"008"</f>
        <v>008</v>
      </c>
      <c r="L692" t="s">
        <v>88</v>
      </c>
      <c r="M692" t="s">
        <v>26</v>
      </c>
      <c r="N692" t="s">
        <v>27</v>
      </c>
      <c r="O692" t="s">
        <v>89</v>
      </c>
      <c r="P692" t="str">
        <f t="shared" si="93"/>
        <v>2021130010266 GENERACION  DEL ESPACIO PUBLICO  CARTAGENA DE INDIAS</v>
      </c>
      <c r="Q692" t="str">
        <f t="shared" si="90"/>
        <v>06</v>
      </c>
      <c r="R692" t="str">
        <f t="shared" si="91"/>
        <v>00</v>
      </c>
      <c r="S692" s="1">
        <v>285465995</v>
      </c>
      <c r="T692" s="1">
        <v>-163965995</v>
      </c>
      <c r="U692" s="1">
        <v>121500000</v>
      </c>
      <c r="V692" s="1">
        <v>121500000</v>
      </c>
      <c r="W692" s="1">
        <v>0</v>
      </c>
      <c r="X692" s="1">
        <v>114500000</v>
      </c>
      <c r="Y692" s="1">
        <v>94.24</v>
      </c>
      <c r="Z692" s="1">
        <v>114500000</v>
      </c>
      <c r="AA692" s="1">
        <v>94.24</v>
      </c>
      <c r="AB692" s="1">
        <v>7000000</v>
      </c>
      <c r="AC692" s="1">
        <v>110500000</v>
      </c>
    </row>
    <row r="693" spans="1:29" x14ac:dyDescent="0.3">
      <c r="A693">
        <v>2022</v>
      </c>
      <c r="B693">
        <v>100</v>
      </c>
      <c r="C693" t="str">
        <f t="shared" si="97"/>
        <v>01</v>
      </c>
      <c r="D693" t="s">
        <v>23</v>
      </c>
      <c r="E693" t="str">
        <f t="shared" si="92"/>
        <v>01 DESPACHO DEL ALCALDE</v>
      </c>
      <c r="F693" s="2">
        <v>2021130010266</v>
      </c>
      <c r="G693" s="2" t="str">
        <f>+VLOOKUP(F693,Hoja2!$F:$I,2,FALSE)</f>
        <v>07. PILAR CARTAGENA RESILIENTE</v>
      </c>
      <c r="H693" s="2" t="str">
        <f>+VLOOKUP(F693,Hoja2!$F:$I,3,FALSE)</f>
        <v>7.2 LÍNEA ESTRATÉGICA ESPACIO PÚBLICO, MOVILIDAD Y TRANSPORTE RESILIENTE</v>
      </c>
      <c r="I693" s="2" t="str">
        <f>+VLOOKUP(F693,Hoja2!$F:$I,4,FALSE)</f>
        <v xml:space="preserve">7.2.3 GENERACIÓN DEL ESPACIO PÚBLICO  </v>
      </c>
      <c r="J693" t="s">
        <v>87</v>
      </c>
      <c r="K693" t="str">
        <f>"001"</f>
        <v>001</v>
      </c>
      <c r="L693" t="s">
        <v>25</v>
      </c>
      <c r="M693" t="s">
        <v>26</v>
      </c>
      <c r="N693" t="s">
        <v>27</v>
      </c>
      <c r="O693" t="s">
        <v>89</v>
      </c>
      <c r="P693" t="str">
        <f t="shared" si="93"/>
        <v>2021130010266 GENERACION  DEL ESPACIO PUBLICO  CARTAGENA DE INDIAS</v>
      </c>
      <c r="Q693" t="str">
        <f t="shared" si="90"/>
        <v>06</v>
      </c>
      <c r="R693" t="str">
        <f t="shared" si="91"/>
        <v>00</v>
      </c>
      <c r="S693" s="1">
        <v>40000000</v>
      </c>
      <c r="T693" s="1">
        <v>528724296</v>
      </c>
      <c r="U693" s="1">
        <v>568724296</v>
      </c>
      <c r="V693" s="1">
        <v>556631226.75</v>
      </c>
      <c r="W693" s="1">
        <v>12093069.25</v>
      </c>
      <c r="X693" s="1">
        <v>262141817.91999999</v>
      </c>
      <c r="Y693" s="1">
        <v>46.09</v>
      </c>
      <c r="Z693" s="1">
        <v>38500000</v>
      </c>
      <c r="AA693" s="1">
        <v>6.77</v>
      </c>
      <c r="AB693" s="1">
        <v>306582478.07999998</v>
      </c>
      <c r="AC693" s="1">
        <v>38500000</v>
      </c>
    </row>
    <row r="694" spans="1:29" x14ac:dyDescent="0.3">
      <c r="A694">
        <v>2022</v>
      </c>
      <c r="B694">
        <v>100</v>
      </c>
      <c r="C694" t="str">
        <f t="shared" si="97"/>
        <v>01</v>
      </c>
      <c r="D694" t="s">
        <v>23</v>
      </c>
      <c r="E694" t="str">
        <f t="shared" si="92"/>
        <v>01 DESPACHO DEL ALCALDE</v>
      </c>
      <c r="F694" s="2">
        <v>2021130010267</v>
      </c>
      <c r="G694" s="2" t="str">
        <f>+VLOOKUP(F694,Hoja2!$F:$I,2,FALSE)</f>
        <v>07. PILAR CARTAGENA RESILIENTE</v>
      </c>
      <c r="H694" s="2" t="str">
        <f>+VLOOKUP(F694,Hoja2!$F:$I,3,FALSE)</f>
        <v>7.2 LÍNEA ESTRATÉGICA ESPACIO PÚBLICO, MOVILIDAD Y TRANSPORTE RESILIENTE</v>
      </c>
      <c r="I694" s="2" t="str">
        <f>+VLOOKUP(F694,Hoja2!$F:$I,4,FALSE)</f>
        <v xml:space="preserve">7.2.2 RECUPERACIÓN DEL ESPACIO PÚBLICO </v>
      </c>
      <c r="J694" t="s">
        <v>43</v>
      </c>
      <c r="K694" t="str">
        <f>"864"</f>
        <v>864</v>
      </c>
      <c r="L694" t="s">
        <v>44</v>
      </c>
      <c r="M694" t="s">
        <v>26</v>
      </c>
      <c r="N694" t="s">
        <v>27</v>
      </c>
      <c r="O694" t="s">
        <v>45</v>
      </c>
      <c r="P694" t="str">
        <f t="shared" si="93"/>
        <v>2021130010267 RECUPERACION DEL ESPACIO PUBLICO  CARTAGENA DE INDIAS</v>
      </c>
      <c r="Q694" t="str">
        <f t="shared" si="90"/>
        <v>06</v>
      </c>
      <c r="R694" t="str">
        <f t="shared" si="91"/>
        <v>00</v>
      </c>
      <c r="S694" s="1">
        <v>0</v>
      </c>
      <c r="T694" s="1">
        <v>573534245.70000005</v>
      </c>
      <c r="U694" s="1">
        <v>573534245.70000005</v>
      </c>
      <c r="V694" s="1">
        <v>558000000</v>
      </c>
      <c r="W694" s="1">
        <v>15534245.699999999</v>
      </c>
      <c r="X694" s="1">
        <v>0</v>
      </c>
      <c r="Y694" s="1">
        <v>0</v>
      </c>
      <c r="Z694" s="1">
        <v>0</v>
      </c>
      <c r="AA694" s="1">
        <v>0</v>
      </c>
      <c r="AB694" s="1">
        <v>573534245.70000005</v>
      </c>
      <c r="AC694" s="1">
        <v>0</v>
      </c>
    </row>
    <row r="695" spans="1:29" x14ac:dyDescent="0.3">
      <c r="A695">
        <v>2022</v>
      </c>
      <c r="B695">
        <v>100</v>
      </c>
      <c r="C695" t="str">
        <f t="shared" si="97"/>
        <v>01</v>
      </c>
      <c r="D695" t="s">
        <v>23</v>
      </c>
      <c r="E695" t="str">
        <f t="shared" si="92"/>
        <v>01 DESPACHO DEL ALCALDE</v>
      </c>
      <c r="F695" s="2">
        <v>2021130010267</v>
      </c>
      <c r="G695" s="2" t="str">
        <f>+VLOOKUP(F695,Hoja2!$F:$I,2,FALSE)</f>
        <v>07. PILAR CARTAGENA RESILIENTE</v>
      </c>
      <c r="H695" s="2" t="str">
        <f>+VLOOKUP(F695,Hoja2!$F:$I,3,FALSE)</f>
        <v>7.2 LÍNEA ESTRATÉGICA ESPACIO PÚBLICO, MOVILIDAD Y TRANSPORTE RESILIENTE</v>
      </c>
      <c r="I695" s="2" t="str">
        <f>+VLOOKUP(F695,Hoja2!$F:$I,4,FALSE)</f>
        <v xml:space="preserve">7.2.2 RECUPERACIÓN DEL ESPACIO PÚBLICO </v>
      </c>
      <c r="J695" t="s">
        <v>43</v>
      </c>
      <c r="K695" t="str">
        <f>"866"</f>
        <v>866</v>
      </c>
      <c r="L695" t="s">
        <v>49</v>
      </c>
      <c r="M695" t="s">
        <v>26</v>
      </c>
      <c r="N695" t="s">
        <v>27</v>
      </c>
      <c r="O695" t="s">
        <v>45</v>
      </c>
      <c r="P695" t="str">
        <f t="shared" si="93"/>
        <v>2021130010267 RECUPERACION DEL ESPACIO PUBLICO  CARTAGENA DE INDIAS</v>
      </c>
      <c r="Q695" t="str">
        <f t="shared" si="90"/>
        <v>06</v>
      </c>
      <c r="R695" t="str">
        <f t="shared" si="91"/>
        <v>00</v>
      </c>
      <c r="S695" s="1">
        <v>0</v>
      </c>
      <c r="T695" s="1">
        <v>9174285.5600000005</v>
      </c>
      <c r="U695" s="1">
        <v>9174285.5600000005</v>
      </c>
      <c r="V695" s="1">
        <v>0</v>
      </c>
      <c r="W695" s="1">
        <v>9174285.5600000005</v>
      </c>
      <c r="X695" s="1">
        <v>0</v>
      </c>
      <c r="Y695" s="1">
        <v>0</v>
      </c>
      <c r="Z695" s="1">
        <v>0</v>
      </c>
      <c r="AA695" s="1">
        <v>0</v>
      </c>
      <c r="AB695" s="1">
        <v>9174285.5600000005</v>
      </c>
      <c r="AC695" s="1">
        <v>0</v>
      </c>
    </row>
    <row r="696" spans="1:29" x14ac:dyDescent="0.3">
      <c r="A696">
        <v>2022</v>
      </c>
      <c r="B696">
        <v>100</v>
      </c>
      <c r="C696" t="str">
        <f t="shared" si="97"/>
        <v>01</v>
      </c>
      <c r="D696" t="s">
        <v>23</v>
      </c>
      <c r="E696" t="str">
        <f t="shared" si="92"/>
        <v>01 DESPACHO DEL ALCALDE</v>
      </c>
      <c r="F696" s="2">
        <v>2021130010267</v>
      </c>
      <c r="G696" s="2" t="str">
        <f>+VLOOKUP(F696,Hoja2!$F:$I,2,FALSE)</f>
        <v>07. PILAR CARTAGENA RESILIENTE</v>
      </c>
      <c r="H696" s="2" t="str">
        <f>+VLOOKUP(F696,Hoja2!$F:$I,3,FALSE)</f>
        <v>7.2 LÍNEA ESTRATÉGICA ESPACIO PÚBLICO, MOVILIDAD Y TRANSPORTE RESILIENTE</v>
      </c>
      <c r="I696" s="2" t="str">
        <f>+VLOOKUP(F696,Hoja2!$F:$I,4,FALSE)</f>
        <v xml:space="preserve">7.2.2 RECUPERACIÓN DEL ESPACIO PÚBLICO </v>
      </c>
      <c r="J696" t="s">
        <v>43</v>
      </c>
      <c r="K696" t="str">
        <f>"868"</f>
        <v>868</v>
      </c>
      <c r="L696" t="s">
        <v>53</v>
      </c>
      <c r="M696" t="s">
        <v>26</v>
      </c>
      <c r="N696" t="s">
        <v>27</v>
      </c>
      <c r="O696" t="s">
        <v>45</v>
      </c>
      <c r="P696" t="str">
        <f t="shared" si="93"/>
        <v>2021130010267 RECUPERACION DEL ESPACIO PUBLICO  CARTAGENA DE INDIAS</v>
      </c>
      <c r="Q696" t="str">
        <f t="shared" si="90"/>
        <v>06</v>
      </c>
      <c r="R696" t="str">
        <f t="shared" si="91"/>
        <v>00</v>
      </c>
      <c r="S696" s="1">
        <v>0</v>
      </c>
      <c r="T696" s="1">
        <v>265459697.66</v>
      </c>
      <c r="U696" s="1">
        <v>265459697.66</v>
      </c>
      <c r="V696" s="1">
        <v>159101447.53999999</v>
      </c>
      <c r="W696" s="1">
        <v>106358250.12</v>
      </c>
      <c r="X696" s="1">
        <v>83907231.650000006</v>
      </c>
      <c r="Y696" s="1">
        <v>31.61</v>
      </c>
      <c r="Z696" s="1">
        <v>49700000</v>
      </c>
      <c r="AA696" s="1">
        <v>18.72</v>
      </c>
      <c r="AB696" s="1">
        <v>181552466.00999999</v>
      </c>
      <c r="AC696" s="1">
        <v>47700000</v>
      </c>
    </row>
    <row r="697" spans="1:29" x14ac:dyDescent="0.3">
      <c r="A697">
        <v>2022</v>
      </c>
      <c r="B697">
        <v>100</v>
      </c>
      <c r="C697" t="str">
        <f t="shared" si="97"/>
        <v>01</v>
      </c>
      <c r="D697" t="s">
        <v>23</v>
      </c>
      <c r="E697" t="str">
        <f t="shared" si="92"/>
        <v>01 DESPACHO DEL ALCALDE</v>
      </c>
      <c r="F697" s="2">
        <v>2021130010267</v>
      </c>
      <c r="G697" s="2" t="str">
        <f>+VLOOKUP(F697,Hoja2!$F:$I,2,FALSE)</f>
        <v>07. PILAR CARTAGENA RESILIENTE</v>
      </c>
      <c r="H697" s="2" t="str">
        <f>+VLOOKUP(F697,Hoja2!$F:$I,3,FALSE)</f>
        <v>7.2 LÍNEA ESTRATÉGICA ESPACIO PÚBLICO, MOVILIDAD Y TRANSPORTE RESILIENTE</v>
      </c>
      <c r="I697" s="2" t="str">
        <f>+VLOOKUP(F697,Hoja2!$F:$I,4,FALSE)</f>
        <v xml:space="preserve">7.2.2 RECUPERACIÓN DEL ESPACIO PÚBLICO </v>
      </c>
      <c r="J697" t="s">
        <v>43</v>
      </c>
      <c r="K697" t="str">
        <f>"873"</f>
        <v>873</v>
      </c>
      <c r="L697" t="s">
        <v>58</v>
      </c>
      <c r="M697" t="s">
        <v>26</v>
      </c>
      <c r="N697" t="s">
        <v>27</v>
      </c>
      <c r="O697" t="s">
        <v>45</v>
      </c>
      <c r="P697" t="str">
        <f t="shared" si="93"/>
        <v>2021130010267 RECUPERACION DEL ESPACIO PUBLICO  CARTAGENA DE INDIAS</v>
      </c>
      <c r="Q697" t="str">
        <f t="shared" si="90"/>
        <v>06</v>
      </c>
      <c r="R697" t="str">
        <f t="shared" si="91"/>
        <v>00</v>
      </c>
      <c r="S697" s="1">
        <v>0</v>
      </c>
      <c r="T697" s="1">
        <v>5497637</v>
      </c>
      <c r="U697" s="1">
        <v>5497637</v>
      </c>
      <c r="V697" s="1">
        <v>0</v>
      </c>
      <c r="W697" s="1">
        <v>5497637</v>
      </c>
      <c r="X697" s="1">
        <v>0</v>
      </c>
      <c r="Y697" s="1">
        <v>0</v>
      </c>
      <c r="Z697" s="1">
        <v>0</v>
      </c>
      <c r="AA697" s="1">
        <v>0</v>
      </c>
      <c r="AB697" s="1">
        <v>5497637</v>
      </c>
      <c r="AC697" s="1">
        <v>0</v>
      </c>
    </row>
    <row r="698" spans="1:29" x14ac:dyDescent="0.3">
      <c r="A698">
        <v>2022</v>
      </c>
      <c r="B698">
        <v>100</v>
      </c>
      <c r="C698" t="str">
        <f t="shared" si="97"/>
        <v>01</v>
      </c>
      <c r="D698" t="s">
        <v>23</v>
      </c>
      <c r="E698" t="str">
        <f t="shared" si="92"/>
        <v>01 DESPACHO DEL ALCALDE</v>
      </c>
      <c r="F698" s="2">
        <v>2021130010267</v>
      </c>
      <c r="G698" s="2" t="str">
        <f>+VLOOKUP(F698,Hoja2!$F:$I,2,FALSE)</f>
        <v>07. PILAR CARTAGENA RESILIENTE</v>
      </c>
      <c r="H698" s="2" t="str">
        <f>+VLOOKUP(F698,Hoja2!$F:$I,3,FALSE)</f>
        <v>7.2 LÍNEA ESTRATÉGICA ESPACIO PÚBLICO, MOVILIDAD Y TRANSPORTE RESILIENTE</v>
      </c>
      <c r="I698" s="2" t="str">
        <f>+VLOOKUP(F698,Hoja2!$F:$I,4,FALSE)</f>
        <v xml:space="preserve">7.2.2 RECUPERACIÓN DEL ESPACIO PÚBLICO </v>
      </c>
      <c r="J698" t="s">
        <v>43</v>
      </c>
      <c r="K698" t="str">
        <f>"147"</f>
        <v>147</v>
      </c>
      <c r="L698" t="s">
        <v>77</v>
      </c>
      <c r="M698" t="s">
        <v>26</v>
      </c>
      <c r="N698" t="s">
        <v>27</v>
      </c>
      <c r="O698" t="s">
        <v>45</v>
      </c>
      <c r="P698" t="str">
        <f t="shared" si="93"/>
        <v>2021130010267 RECUPERACION DEL ESPACIO PUBLICO  CARTAGENA DE INDIAS</v>
      </c>
      <c r="Q698" t="str">
        <f t="shared" si="90"/>
        <v>06</v>
      </c>
      <c r="R698" t="str">
        <f t="shared" si="91"/>
        <v>00</v>
      </c>
      <c r="S698" s="1">
        <v>1</v>
      </c>
      <c r="T698" s="1">
        <v>0</v>
      </c>
      <c r="U698" s="1">
        <v>1</v>
      </c>
      <c r="V698" s="1">
        <v>0</v>
      </c>
      <c r="W698" s="1">
        <v>1</v>
      </c>
      <c r="X698" s="1">
        <v>0</v>
      </c>
      <c r="Y698" s="1">
        <v>0</v>
      </c>
      <c r="Z698" s="1">
        <v>0</v>
      </c>
      <c r="AA698" s="1">
        <v>0</v>
      </c>
      <c r="AB698" s="1">
        <v>1</v>
      </c>
      <c r="AC698" s="1">
        <v>0</v>
      </c>
    </row>
    <row r="699" spans="1:29" x14ac:dyDescent="0.3">
      <c r="A699">
        <v>2022</v>
      </c>
      <c r="B699">
        <v>100</v>
      </c>
      <c r="C699" t="str">
        <f t="shared" si="97"/>
        <v>01</v>
      </c>
      <c r="D699" t="s">
        <v>23</v>
      </c>
      <c r="E699" t="str">
        <f t="shared" si="92"/>
        <v>01 DESPACHO DEL ALCALDE</v>
      </c>
      <c r="F699" s="2">
        <v>2021130010267</v>
      </c>
      <c r="G699" s="2" t="str">
        <f>+VLOOKUP(F699,Hoja2!$F:$I,2,FALSE)</f>
        <v>07. PILAR CARTAGENA RESILIENTE</v>
      </c>
      <c r="H699" s="2" t="str">
        <f>+VLOOKUP(F699,Hoja2!$F:$I,3,FALSE)</f>
        <v>7.2 LÍNEA ESTRATÉGICA ESPACIO PÚBLICO, MOVILIDAD Y TRANSPORTE RESILIENTE</v>
      </c>
      <c r="I699" s="2" t="str">
        <f>+VLOOKUP(F699,Hoja2!$F:$I,4,FALSE)</f>
        <v xml:space="preserve">7.2.2 RECUPERACIÓN DEL ESPACIO PÚBLICO </v>
      </c>
      <c r="J699" t="s">
        <v>43</v>
      </c>
      <c r="K699" t="str">
        <f>"008"</f>
        <v>008</v>
      </c>
      <c r="L699" t="s">
        <v>88</v>
      </c>
      <c r="M699" t="s">
        <v>26</v>
      </c>
      <c r="N699" t="s">
        <v>27</v>
      </c>
      <c r="O699" t="s">
        <v>45</v>
      </c>
      <c r="P699" t="str">
        <f t="shared" si="93"/>
        <v>2021130010267 RECUPERACION DEL ESPACIO PUBLICO  CARTAGENA DE INDIAS</v>
      </c>
      <c r="Q699" t="str">
        <f t="shared" si="90"/>
        <v>06</v>
      </c>
      <c r="R699" t="str">
        <f t="shared" si="91"/>
        <v>00</v>
      </c>
      <c r="S699" s="1">
        <v>427985904</v>
      </c>
      <c r="T699" s="1">
        <v>-128085904</v>
      </c>
      <c r="U699" s="1">
        <v>299900000</v>
      </c>
      <c r="V699" s="1">
        <v>299900000</v>
      </c>
      <c r="W699" s="1">
        <v>0</v>
      </c>
      <c r="X699" s="1">
        <v>299300000</v>
      </c>
      <c r="Y699" s="1">
        <v>99.8</v>
      </c>
      <c r="Z699" s="1">
        <v>299300000</v>
      </c>
      <c r="AA699" s="1">
        <v>99.8</v>
      </c>
      <c r="AB699" s="1">
        <v>600000</v>
      </c>
      <c r="AC699" s="1">
        <v>298450000</v>
      </c>
    </row>
    <row r="700" spans="1:29" x14ac:dyDescent="0.3">
      <c r="A700">
        <v>2022</v>
      </c>
      <c r="B700">
        <v>100</v>
      </c>
      <c r="C700" t="str">
        <f t="shared" si="97"/>
        <v>01</v>
      </c>
      <c r="D700" t="s">
        <v>23</v>
      </c>
      <c r="E700" t="str">
        <f t="shared" si="92"/>
        <v>01 DESPACHO DEL ALCALDE</v>
      </c>
      <c r="F700" s="2">
        <v>2021130010267</v>
      </c>
      <c r="G700" s="2" t="str">
        <f>+VLOOKUP(F700,Hoja2!$F:$I,2,FALSE)</f>
        <v>07. PILAR CARTAGENA RESILIENTE</v>
      </c>
      <c r="H700" s="2" t="str">
        <f>+VLOOKUP(F700,Hoja2!$F:$I,3,FALSE)</f>
        <v>7.2 LÍNEA ESTRATÉGICA ESPACIO PÚBLICO, MOVILIDAD Y TRANSPORTE RESILIENTE</v>
      </c>
      <c r="I700" s="2" t="str">
        <f>+VLOOKUP(F700,Hoja2!$F:$I,4,FALSE)</f>
        <v xml:space="preserve">7.2.2 RECUPERACIÓN DEL ESPACIO PÚBLICO </v>
      </c>
      <c r="J700" t="s">
        <v>43</v>
      </c>
      <c r="K700" t="str">
        <f>"080"</f>
        <v>080</v>
      </c>
      <c r="L700" t="s">
        <v>95</v>
      </c>
      <c r="M700" t="s">
        <v>26</v>
      </c>
      <c r="N700" t="s">
        <v>27</v>
      </c>
      <c r="O700" t="s">
        <v>45</v>
      </c>
      <c r="P700" t="str">
        <f t="shared" si="93"/>
        <v>2021130010267 RECUPERACION DEL ESPACIO PUBLICO  CARTAGENA DE INDIAS</v>
      </c>
      <c r="Q700" t="str">
        <f t="shared" si="90"/>
        <v>06</v>
      </c>
      <c r="R700" t="str">
        <f t="shared" si="91"/>
        <v>00</v>
      </c>
      <c r="S700" s="1">
        <v>325868109</v>
      </c>
      <c r="T700" s="1">
        <v>-325531342</v>
      </c>
      <c r="U700" s="1">
        <v>336767</v>
      </c>
      <c r="V700" s="1">
        <v>0</v>
      </c>
      <c r="W700" s="1">
        <v>336767</v>
      </c>
      <c r="X700" s="1">
        <v>0</v>
      </c>
      <c r="Y700" s="1">
        <v>0</v>
      </c>
      <c r="Z700" s="1">
        <v>0</v>
      </c>
      <c r="AA700" s="1">
        <v>0</v>
      </c>
      <c r="AB700" s="1">
        <v>336767</v>
      </c>
      <c r="AC700" s="1">
        <v>0</v>
      </c>
    </row>
    <row r="701" spans="1:29" x14ac:dyDescent="0.3">
      <c r="A701">
        <v>2022</v>
      </c>
      <c r="B701">
        <v>100</v>
      </c>
      <c r="C701" t="str">
        <f t="shared" si="97"/>
        <v>01</v>
      </c>
      <c r="D701" t="s">
        <v>23</v>
      </c>
      <c r="E701" t="str">
        <f t="shared" si="92"/>
        <v>01 DESPACHO DEL ALCALDE</v>
      </c>
      <c r="F701" s="2">
        <v>2021130010267</v>
      </c>
      <c r="G701" s="2" t="str">
        <f>+VLOOKUP(F701,Hoja2!$F:$I,2,FALSE)</f>
        <v>07. PILAR CARTAGENA RESILIENTE</v>
      </c>
      <c r="H701" s="2" t="str">
        <f>+VLOOKUP(F701,Hoja2!$F:$I,3,FALSE)</f>
        <v>7.2 LÍNEA ESTRATÉGICA ESPACIO PÚBLICO, MOVILIDAD Y TRANSPORTE RESILIENTE</v>
      </c>
      <c r="I701" s="2" t="str">
        <f>+VLOOKUP(F701,Hoja2!$F:$I,4,FALSE)</f>
        <v xml:space="preserve">7.2.2 RECUPERACIÓN DEL ESPACIO PÚBLICO </v>
      </c>
      <c r="J701" t="s">
        <v>43</v>
      </c>
      <c r="K701" t="str">
        <f>"001"</f>
        <v>001</v>
      </c>
      <c r="L701" t="s">
        <v>25</v>
      </c>
      <c r="M701" t="s">
        <v>26</v>
      </c>
      <c r="N701" t="s">
        <v>27</v>
      </c>
      <c r="O701" t="s">
        <v>45</v>
      </c>
      <c r="P701" t="str">
        <f t="shared" si="93"/>
        <v>2021130010267 RECUPERACION DEL ESPACIO PUBLICO  CARTAGENA DE INDIAS</v>
      </c>
      <c r="Q701" t="str">
        <f t="shared" si="90"/>
        <v>06</v>
      </c>
      <c r="R701" t="str">
        <f t="shared" si="91"/>
        <v>00</v>
      </c>
      <c r="S701" s="1">
        <v>1850000000</v>
      </c>
      <c r="T701" s="1">
        <v>-420000000</v>
      </c>
      <c r="U701" s="1">
        <v>1430000000</v>
      </c>
      <c r="V701" s="1">
        <v>1370633278.4200001</v>
      </c>
      <c r="W701" s="1">
        <v>59366721.579999998</v>
      </c>
      <c r="X701" s="1">
        <v>1276472000</v>
      </c>
      <c r="Y701" s="1">
        <v>89.26</v>
      </c>
      <c r="Z701" s="1">
        <v>1210216000</v>
      </c>
      <c r="AA701" s="1">
        <v>84.63</v>
      </c>
      <c r="AB701" s="1">
        <v>153528000</v>
      </c>
      <c r="AC701" s="1">
        <v>1183000000</v>
      </c>
    </row>
    <row r="702" spans="1:29" x14ac:dyDescent="0.3">
      <c r="A702">
        <v>2022</v>
      </c>
      <c r="B702">
        <v>100</v>
      </c>
      <c r="C702" t="str">
        <f t="shared" si="97"/>
        <v>01</v>
      </c>
      <c r="D702" t="s">
        <v>23</v>
      </c>
      <c r="E702" t="str">
        <f t="shared" si="92"/>
        <v>01 DESPACHO DEL ALCALDE</v>
      </c>
      <c r="F702" s="2">
        <v>2021130010268</v>
      </c>
      <c r="G702" s="2" t="str">
        <f>+VLOOKUP(F702,Hoja2!$F:$I,2,FALSE)</f>
        <v>07. PILAR CARTAGENA RESILIENTE</v>
      </c>
      <c r="H702" s="2" t="str">
        <f>+VLOOKUP(F702,Hoja2!$F:$I,3,FALSE)</f>
        <v>7.2 LÍNEA ESTRATÉGICA ESPACIO PÚBLICO, MOVILIDAD Y TRANSPORTE RESILIENTE</v>
      </c>
      <c r="I702" s="2" t="str">
        <f>+VLOOKUP(F702,Hoja2!$F:$I,4,FALSE)</f>
        <v xml:space="preserve">7.2.2 RECUPERACIÓN DEL ESPACIO PÚBLICO </v>
      </c>
      <c r="J702" t="s">
        <v>100</v>
      </c>
      <c r="K702" t="str">
        <f>"001"</f>
        <v>001</v>
      </c>
      <c r="L702" t="s">
        <v>25</v>
      </c>
      <c r="M702" t="s">
        <v>26</v>
      </c>
      <c r="N702" t="s">
        <v>27</v>
      </c>
      <c r="O702" t="s">
        <v>101</v>
      </c>
      <c r="P702" t="str">
        <f t="shared" si="93"/>
        <v>2021130010268 MEJORAMIENTO DE PARQUES Y ZONAS VERDES PARA LA RECUPERACION  DEL  ESPACIO PUBLICO   CARTAGENA DE INDIAS</v>
      </c>
      <c r="Q702" t="str">
        <f t="shared" si="90"/>
        <v>06</v>
      </c>
      <c r="R702" t="str">
        <f t="shared" si="91"/>
        <v>00</v>
      </c>
      <c r="S702" s="1">
        <v>150000000</v>
      </c>
      <c r="T702" s="1">
        <v>-40000000</v>
      </c>
      <c r="U702" s="1">
        <v>110000000</v>
      </c>
      <c r="V702" s="1">
        <v>110000000</v>
      </c>
      <c r="W702" s="1">
        <v>0</v>
      </c>
      <c r="X702" s="1">
        <v>110000000</v>
      </c>
      <c r="Y702" s="1">
        <v>100</v>
      </c>
      <c r="Z702" s="1">
        <v>110000000</v>
      </c>
      <c r="AA702" s="1">
        <v>100</v>
      </c>
      <c r="AB702" s="1">
        <v>0</v>
      </c>
      <c r="AC702" s="1">
        <v>110000000</v>
      </c>
    </row>
    <row r="703" spans="1:29" x14ac:dyDescent="0.3">
      <c r="A703">
        <v>2022</v>
      </c>
      <c r="B703">
        <v>100</v>
      </c>
      <c r="C703" t="str">
        <f>"15"</f>
        <v>15</v>
      </c>
      <c r="D703" t="s">
        <v>793</v>
      </c>
      <c r="E703" t="str">
        <f t="shared" si="92"/>
        <v>15 INSTITUTO DE DEPORTE Y RECREACION</v>
      </c>
      <c r="F703" s="2">
        <v>2021130010270</v>
      </c>
      <c r="G703" s="2" t="str">
        <f>+VLOOKUP(F703,Hoja2!$F:$I,2,FALSE)</f>
        <v>08. PILAR CARTAGENA INCLUYENTE</v>
      </c>
      <c r="H703" s="2" t="str">
        <f>+VLOOKUP(F703,Hoja2!$F:$I,3,FALSE)</f>
        <v xml:space="preserve">8.4 LÍNEA ESTRATÉGICA DEPORTE Y RECREACIÓN PARA LA TRANSFORMACION SOCIAL </v>
      </c>
      <c r="I703" s="2" t="str">
        <f>+VLOOKUP(F703,Hoja2!$F:$I,4,FALSE)</f>
        <v>8.4.6 PROGRAMA: OBSERVATORIO DE CIENCIAS APLICADAS AL DEPORTE, LA RECREACIÓN, LA ACTIVIDAD FÍSICA Y EL APROVECHAMIENTO DEL TIEMPO LIBRE EN EL DISTRITO DE CARTAGENA DE INDIAS.</v>
      </c>
      <c r="J703" t="s">
        <v>801</v>
      </c>
      <c r="K703" t="str">
        <f>"841"</f>
        <v>841</v>
      </c>
      <c r="L703" t="s">
        <v>796</v>
      </c>
      <c r="M703" t="s">
        <v>26</v>
      </c>
      <c r="N703" t="s">
        <v>27</v>
      </c>
      <c r="O703" t="s">
        <v>802</v>
      </c>
      <c r="P703" t="str">
        <f t="shared" si="93"/>
        <v>2021130010270 IMPLEMENTACION DEL OBSERVATORIO DE CIENCIAS APLICADAS AL DEPORTE, LA RECREACION, LA ACTIVIDAD FISICA Y EL APROVECHAMIENTO DEL TIEMPO LIBRE EN EL DISTRITO DE CARTAGENA DE INDIAS</v>
      </c>
      <c r="Q703" t="str">
        <f t="shared" si="90"/>
        <v>06</v>
      </c>
      <c r="R703" t="str">
        <f t="shared" si="91"/>
        <v>00</v>
      </c>
      <c r="S703" s="1">
        <v>0</v>
      </c>
      <c r="T703" s="1">
        <v>50000000</v>
      </c>
      <c r="U703" s="1">
        <v>50000000</v>
      </c>
      <c r="V703" s="1">
        <v>6082332.71</v>
      </c>
      <c r="W703" s="1">
        <v>43917667.289999999</v>
      </c>
      <c r="X703" s="1">
        <v>6082332.71</v>
      </c>
      <c r="Y703" s="1">
        <v>12.16</v>
      </c>
      <c r="Z703" s="1">
        <v>6082332.71</v>
      </c>
      <c r="AA703" s="1">
        <v>12.16</v>
      </c>
      <c r="AB703" s="1">
        <v>43917667.289999999</v>
      </c>
      <c r="AC703" s="1">
        <v>0</v>
      </c>
    </row>
    <row r="704" spans="1:29" x14ac:dyDescent="0.3">
      <c r="A704">
        <v>2022</v>
      </c>
      <c r="B704">
        <v>100</v>
      </c>
      <c r="C704" t="str">
        <f>"15"</f>
        <v>15</v>
      </c>
      <c r="D704" t="s">
        <v>793</v>
      </c>
      <c r="E704" t="str">
        <f t="shared" si="92"/>
        <v>15 INSTITUTO DE DEPORTE Y RECREACION</v>
      </c>
      <c r="F704" s="2">
        <v>2021130010270</v>
      </c>
      <c r="G704" s="2" t="str">
        <f>+VLOOKUP(F704,Hoja2!$F:$I,2,FALSE)</f>
        <v>08. PILAR CARTAGENA INCLUYENTE</v>
      </c>
      <c r="H704" s="2" t="str">
        <f>+VLOOKUP(F704,Hoja2!$F:$I,3,FALSE)</f>
        <v xml:space="preserve">8.4 LÍNEA ESTRATÉGICA DEPORTE Y RECREACIÓN PARA LA TRANSFORMACION SOCIAL </v>
      </c>
      <c r="I704" s="2" t="str">
        <f>+VLOOKUP(F704,Hoja2!$F:$I,4,FALSE)</f>
        <v>8.4.6 PROGRAMA: OBSERVATORIO DE CIENCIAS APLICADAS AL DEPORTE, LA RECREACIÓN, LA ACTIVIDAD FÍSICA Y EL APROVECHAMIENTO DEL TIEMPO LIBRE EN EL DISTRITO DE CARTAGENA DE INDIAS.</v>
      </c>
      <c r="J704" t="s">
        <v>801</v>
      </c>
      <c r="K704" t="str">
        <f>"025"</f>
        <v>025</v>
      </c>
      <c r="L704" t="s">
        <v>822</v>
      </c>
      <c r="M704" t="s">
        <v>26</v>
      </c>
      <c r="N704" t="s">
        <v>27</v>
      </c>
      <c r="O704" t="s">
        <v>823</v>
      </c>
      <c r="P704" t="str">
        <f t="shared" si="93"/>
        <v>2021130010270 IMPLEMENTACION DEL OBSERVATORIO DE CIENCIAS APLICADAS AL DEPORTE, LA RECREACION, LA ACTIVIDAD FISICA Y EL APROVECHAMIENTO DEL TIEMPO LIBRE EN EL DISTRITO DE  CARTAGENA DE INDIAS</v>
      </c>
      <c r="Q704" t="str">
        <f t="shared" si="90"/>
        <v>06</v>
      </c>
      <c r="R704" t="str">
        <f t="shared" si="91"/>
        <v>00</v>
      </c>
      <c r="S704" s="1">
        <v>300000000</v>
      </c>
      <c r="T704" s="1">
        <v>0</v>
      </c>
      <c r="U704" s="1">
        <v>300000000</v>
      </c>
      <c r="V704" s="1">
        <v>246712660</v>
      </c>
      <c r="W704" s="1">
        <v>53287340</v>
      </c>
      <c r="X704" s="1">
        <v>246712660</v>
      </c>
      <c r="Y704" s="1">
        <v>82.24</v>
      </c>
      <c r="Z704" s="1">
        <v>246712660</v>
      </c>
      <c r="AA704" s="1">
        <v>82.24</v>
      </c>
      <c r="AB704" s="1">
        <v>53287340</v>
      </c>
      <c r="AC704" s="1">
        <v>148957475</v>
      </c>
    </row>
    <row r="705" spans="1:29" x14ac:dyDescent="0.3">
      <c r="A705">
        <v>2022</v>
      </c>
      <c r="B705">
        <v>100</v>
      </c>
      <c r="C705" t="str">
        <f>"15"</f>
        <v>15</v>
      </c>
      <c r="D705" t="s">
        <v>793</v>
      </c>
      <c r="E705" t="str">
        <f t="shared" si="92"/>
        <v>15 INSTITUTO DE DEPORTE Y RECREACION</v>
      </c>
      <c r="F705" s="2">
        <v>2021130010270</v>
      </c>
      <c r="G705" s="2" t="str">
        <f>+VLOOKUP(F705,Hoja2!$F:$I,2,FALSE)</f>
        <v>08. PILAR CARTAGENA INCLUYENTE</v>
      </c>
      <c r="H705" s="2" t="str">
        <f>+VLOOKUP(F705,Hoja2!$F:$I,3,FALSE)</f>
        <v xml:space="preserve">8.4 LÍNEA ESTRATÉGICA DEPORTE Y RECREACIÓN PARA LA TRANSFORMACION SOCIAL </v>
      </c>
      <c r="I705" s="2" t="str">
        <f>+VLOOKUP(F705,Hoja2!$F:$I,4,FALSE)</f>
        <v>8.4.6 PROGRAMA: OBSERVATORIO DE CIENCIAS APLICADAS AL DEPORTE, LA RECREACIÓN, LA ACTIVIDAD FÍSICA Y EL APROVECHAMIENTO DEL TIEMPO LIBRE EN EL DISTRITO DE CARTAGENA DE INDIAS.</v>
      </c>
      <c r="J705" t="s">
        <v>801</v>
      </c>
      <c r="K705" t="str">
        <f>"097"</f>
        <v>097</v>
      </c>
      <c r="L705" t="s">
        <v>828</v>
      </c>
      <c r="M705" t="s">
        <v>26</v>
      </c>
      <c r="N705" t="s">
        <v>27</v>
      </c>
      <c r="O705" t="s">
        <v>823</v>
      </c>
      <c r="P705" t="str">
        <f t="shared" si="93"/>
        <v>2021130010270 IMPLEMENTACION DEL OBSERVATORIO DE CIENCIAS APLICADAS AL DEPORTE, LA RECREACION, LA ACTIVIDAD FISICA Y EL APROVECHAMIENTO DEL TIEMPO LIBRE EN EL DISTRITO DE  CARTAGENA DE INDIAS</v>
      </c>
      <c r="Q705" t="str">
        <f t="shared" si="90"/>
        <v>06</v>
      </c>
      <c r="R705" t="str">
        <f t="shared" si="91"/>
        <v>00</v>
      </c>
      <c r="S705" s="1">
        <v>281072622</v>
      </c>
      <c r="T705" s="1">
        <v>0</v>
      </c>
      <c r="U705" s="1">
        <v>281072622</v>
      </c>
      <c r="V705" s="1">
        <v>278215000</v>
      </c>
      <c r="W705" s="1">
        <v>2857622</v>
      </c>
      <c r="X705" s="1">
        <v>278215000</v>
      </c>
      <c r="Y705" s="1">
        <v>98.98</v>
      </c>
      <c r="Z705" s="1">
        <v>278215000</v>
      </c>
      <c r="AA705" s="1">
        <v>98.98</v>
      </c>
      <c r="AB705" s="1">
        <v>2857622</v>
      </c>
      <c r="AC705" s="1">
        <v>198415000</v>
      </c>
    </row>
    <row r="706" spans="1:29" x14ac:dyDescent="0.3">
      <c r="A706">
        <v>2022</v>
      </c>
      <c r="B706">
        <v>100</v>
      </c>
      <c r="C706" t="str">
        <f>"15"</f>
        <v>15</v>
      </c>
      <c r="D706" t="s">
        <v>793</v>
      </c>
      <c r="E706" t="str">
        <f t="shared" si="92"/>
        <v>15 INSTITUTO DE DEPORTE Y RECREACION</v>
      </c>
      <c r="F706" s="2">
        <v>2021130010270</v>
      </c>
      <c r="G706" s="2" t="str">
        <f>+VLOOKUP(F706,Hoja2!$F:$I,2,FALSE)</f>
        <v>08. PILAR CARTAGENA INCLUYENTE</v>
      </c>
      <c r="H706" s="2" t="str">
        <f>+VLOOKUP(F706,Hoja2!$F:$I,3,FALSE)</f>
        <v xml:space="preserve">8.4 LÍNEA ESTRATÉGICA DEPORTE Y RECREACIÓN PARA LA TRANSFORMACION SOCIAL </v>
      </c>
      <c r="I706" s="2" t="str">
        <f>+VLOOKUP(F706,Hoja2!$F:$I,4,FALSE)</f>
        <v>8.4.6 PROGRAMA: OBSERVATORIO DE CIENCIAS APLICADAS AL DEPORTE, LA RECREACIÓN, LA ACTIVIDAD FÍSICA Y EL APROVECHAMIENTO DEL TIEMPO LIBRE EN EL DISTRITO DE CARTAGENA DE INDIAS.</v>
      </c>
      <c r="J706" t="s">
        <v>801</v>
      </c>
      <c r="K706" t="str">
        <f>"011"</f>
        <v>011</v>
      </c>
      <c r="L706" t="s">
        <v>831</v>
      </c>
      <c r="M706" t="s">
        <v>26</v>
      </c>
      <c r="N706" t="s">
        <v>27</v>
      </c>
      <c r="O706" t="s">
        <v>823</v>
      </c>
      <c r="P706" t="str">
        <f t="shared" si="93"/>
        <v>2021130010270 IMPLEMENTACION DEL OBSERVATORIO DE CIENCIAS APLICADAS AL DEPORTE, LA RECREACION, LA ACTIVIDAD FISICA Y EL APROVECHAMIENTO DEL TIEMPO LIBRE EN EL DISTRITO DE  CARTAGENA DE INDIAS</v>
      </c>
      <c r="Q706" t="str">
        <f t="shared" ref="Q706:Q770" si="98">"06"</f>
        <v>06</v>
      </c>
      <c r="R706" t="str">
        <f t="shared" ref="R706:R770" si="99">"00"</f>
        <v>00</v>
      </c>
      <c r="S706" s="1">
        <v>21903864</v>
      </c>
      <c r="T706" s="1">
        <v>0</v>
      </c>
      <c r="U706" s="1">
        <v>21903864</v>
      </c>
      <c r="V706" s="1">
        <v>0</v>
      </c>
      <c r="W706" s="1">
        <v>21903864</v>
      </c>
      <c r="X706" s="1">
        <v>0</v>
      </c>
      <c r="Y706" s="1">
        <v>0</v>
      </c>
      <c r="Z706" s="1">
        <v>0</v>
      </c>
      <c r="AA706" s="1">
        <v>0</v>
      </c>
      <c r="AB706" s="1">
        <v>21903864</v>
      </c>
      <c r="AC706" s="1">
        <v>0</v>
      </c>
    </row>
    <row r="707" spans="1:29" x14ac:dyDescent="0.3">
      <c r="A707">
        <v>2022</v>
      </c>
      <c r="B707">
        <v>100</v>
      </c>
      <c r="C707" t="str">
        <f>"15"</f>
        <v>15</v>
      </c>
      <c r="D707" t="s">
        <v>793</v>
      </c>
      <c r="E707" t="str">
        <f t="shared" ref="E707:E770" si="100">+CONCATENATE(C707," ",D707)</f>
        <v>15 INSTITUTO DE DEPORTE Y RECREACION</v>
      </c>
      <c r="F707" s="2">
        <v>2021130010270</v>
      </c>
      <c r="G707" s="2" t="str">
        <f>+VLOOKUP(F707,Hoja2!$F:$I,2,FALSE)</f>
        <v>08. PILAR CARTAGENA INCLUYENTE</v>
      </c>
      <c r="H707" s="2" t="str">
        <f>+VLOOKUP(F707,Hoja2!$F:$I,3,FALSE)</f>
        <v xml:space="preserve">8.4 LÍNEA ESTRATÉGICA DEPORTE Y RECREACIÓN PARA LA TRANSFORMACION SOCIAL </v>
      </c>
      <c r="I707" s="2" t="str">
        <f>+VLOOKUP(F707,Hoja2!$F:$I,4,FALSE)</f>
        <v>8.4.6 PROGRAMA: OBSERVATORIO DE CIENCIAS APLICADAS AL DEPORTE, LA RECREACIÓN, LA ACTIVIDAD FÍSICA Y EL APROVECHAMIENTO DEL TIEMPO LIBRE EN EL DISTRITO DE CARTAGENA DE INDIAS.</v>
      </c>
      <c r="J707" t="s">
        <v>801</v>
      </c>
      <c r="K707" t="str">
        <f>"024"</f>
        <v>024</v>
      </c>
      <c r="L707" t="s">
        <v>832</v>
      </c>
      <c r="M707" t="s">
        <v>26</v>
      </c>
      <c r="N707" t="s">
        <v>27</v>
      </c>
      <c r="O707" t="s">
        <v>823</v>
      </c>
      <c r="P707" t="str">
        <f t="shared" ref="P707:P770" si="101">+CONCATENATE(F707," ",O707)</f>
        <v>2021130010270 IMPLEMENTACION DEL OBSERVATORIO DE CIENCIAS APLICADAS AL DEPORTE, LA RECREACION, LA ACTIVIDAD FISICA Y EL APROVECHAMIENTO DEL TIEMPO LIBRE EN EL DISTRITO DE  CARTAGENA DE INDIAS</v>
      </c>
      <c r="Q707" t="str">
        <f t="shared" si="98"/>
        <v>06</v>
      </c>
      <c r="R707" t="str">
        <f t="shared" si="99"/>
        <v>00</v>
      </c>
      <c r="S707" s="1">
        <v>42456659</v>
      </c>
      <c r="T707" s="1">
        <v>0</v>
      </c>
      <c r="U707" s="1">
        <v>42456659</v>
      </c>
      <c r="V707" s="1">
        <v>0</v>
      </c>
      <c r="W707" s="1">
        <v>42456659</v>
      </c>
      <c r="X707" s="1">
        <v>0</v>
      </c>
      <c r="Y707" s="1">
        <v>0</v>
      </c>
      <c r="Z707" s="1">
        <v>0</v>
      </c>
      <c r="AA707" s="1">
        <v>0</v>
      </c>
      <c r="AB707" s="1">
        <v>42456659</v>
      </c>
      <c r="AC707" s="1">
        <v>0</v>
      </c>
    </row>
    <row r="708" spans="1:29" x14ac:dyDescent="0.3">
      <c r="A708">
        <v>2022</v>
      </c>
      <c r="B708">
        <v>100</v>
      </c>
      <c r="C708" t="str">
        <f t="shared" ref="C708:C715" si="102">"09"</f>
        <v>09</v>
      </c>
      <c r="D708" t="s">
        <v>559</v>
      </c>
      <c r="E708" t="str">
        <f t="shared" si="100"/>
        <v>09 SECRETARIA DE PLANEACION</v>
      </c>
      <c r="F708" s="2">
        <v>2021130010271</v>
      </c>
      <c r="G708" s="2" t="str">
        <f>+VLOOKUP(F708,Hoja2!$F:$I,2,FALSE)</f>
        <v>07. PILAR CARTAGENA RESILIENTE</v>
      </c>
      <c r="H708" s="2" t="str">
        <f>+VLOOKUP(F708,Hoja2!$F:$I,3,FALSE)</f>
        <v>7.7 LÍNEA ESTRATÉGICA INSTRUMENTOS DE ORDENAMIENTO TERRITORIAL.</v>
      </c>
      <c r="I708" s="2" t="str">
        <f>+VLOOKUP(F708,Hoja2!$F:$I,4,FALSE)</f>
        <v>7.7.2 ADMINISTRANDO JUNTOS EL CONTROL URBANO</v>
      </c>
      <c r="J708" t="s">
        <v>563</v>
      </c>
      <c r="K708" t="str">
        <f>"001"</f>
        <v>001</v>
      </c>
      <c r="L708" t="s">
        <v>25</v>
      </c>
      <c r="M708" t="s">
        <v>26</v>
      </c>
      <c r="N708" t="s">
        <v>27</v>
      </c>
      <c r="O708" t="s">
        <v>564</v>
      </c>
      <c r="P708" t="str">
        <f t="shared" si="101"/>
        <v>2021130010271 NORMALIZACION URBANISTICA DE CARTAGENA DE INDIAS</v>
      </c>
      <c r="Q708" t="str">
        <f t="shared" si="98"/>
        <v>06</v>
      </c>
      <c r="R708" t="str">
        <f t="shared" si="99"/>
        <v>00</v>
      </c>
      <c r="S708" s="1">
        <v>689200641.92999995</v>
      </c>
      <c r="T708" s="1">
        <v>0</v>
      </c>
      <c r="U708" s="1">
        <v>689200641.92999995</v>
      </c>
      <c r="V708" s="1">
        <v>660399999</v>
      </c>
      <c r="W708" s="1">
        <v>28800642.93</v>
      </c>
      <c r="X708" s="1">
        <v>655199999</v>
      </c>
      <c r="Y708" s="1">
        <v>95.07</v>
      </c>
      <c r="Z708" s="1">
        <v>619599999</v>
      </c>
      <c r="AA708" s="1">
        <v>89.9</v>
      </c>
      <c r="AB708" s="1">
        <v>34000642.93</v>
      </c>
      <c r="AC708" s="1">
        <v>617986666</v>
      </c>
    </row>
    <row r="709" spans="1:29" x14ac:dyDescent="0.3">
      <c r="A709">
        <v>2022</v>
      </c>
      <c r="B709">
        <v>100</v>
      </c>
      <c r="C709" t="str">
        <f t="shared" si="102"/>
        <v>09</v>
      </c>
      <c r="D709" t="s">
        <v>559</v>
      </c>
      <c r="E709" t="str">
        <f t="shared" si="100"/>
        <v>09 SECRETARIA DE PLANEACION</v>
      </c>
      <c r="F709" s="2">
        <v>2021130010271</v>
      </c>
      <c r="G709" s="2" t="str">
        <f>+VLOOKUP(F709,Hoja2!$F:$I,2,FALSE)</f>
        <v>07. PILAR CARTAGENA RESILIENTE</v>
      </c>
      <c r="H709" s="2" t="str">
        <f>+VLOOKUP(F709,Hoja2!$F:$I,3,FALSE)</f>
        <v>7.7 LÍNEA ESTRATÉGICA INSTRUMENTOS DE ORDENAMIENTO TERRITORIAL.</v>
      </c>
      <c r="I709" s="2" t="str">
        <f>+VLOOKUP(F709,Hoja2!$F:$I,4,FALSE)</f>
        <v>7.7.2 ADMINISTRANDO JUNTOS EL CONTROL URBANO</v>
      </c>
      <c r="J709" t="s">
        <v>563</v>
      </c>
      <c r="K709" t="str">
        <f>"921"</f>
        <v>921</v>
      </c>
      <c r="L709" t="s">
        <v>566</v>
      </c>
      <c r="M709" t="s">
        <v>26</v>
      </c>
      <c r="N709" t="s">
        <v>27</v>
      </c>
      <c r="O709" t="s">
        <v>564</v>
      </c>
      <c r="P709" t="str">
        <f t="shared" si="101"/>
        <v>2021130010271 NORMALIZACION URBANISTICA DE CARTAGENA DE INDIAS</v>
      </c>
      <c r="Q709" t="str">
        <f t="shared" si="98"/>
        <v>06</v>
      </c>
      <c r="R709" t="str">
        <f t="shared" si="99"/>
        <v>00</v>
      </c>
      <c r="S709" s="1">
        <v>0</v>
      </c>
      <c r="T709" s="1">
        <v>0.16</v>
      </c>
      <c r="U709" s="1">
        <v>0.16</v>
      </c>
      <c r="V709" s="1">
        <v>0</v>
      </c>
      <c r="W709" s="1">
        <v>0.16</v>
      </c>
      <c r="X709" s="1">
        <v>0</v>
      </c>
      <c r="Y709" s="1">
        <v>0</v>
      </c>
      <c r="Z709" s="1">
        <v>0</v>
      </c>
      <c r="AA709" s="1">
        <v>0</v>
      </c>
      <c r="AB709" s="1">
        <v>0.16</v>
      </c>
      <c r="AC709" s="1">
        <v>0</v>
      </c>
    </row>
    <row r="710" spans="1:29" x14ac:dyDescent="0.3">
      <c r="A710">
        <v>2022</v>
      </c>
      <c r="B710">
        <v>100</v>
      </c>
      <c r="C710" t="str">
        <f t="shared" si="102"/>
        <v>09</v>
      </c>
      <c r="D710" t="s">
        <v>559</v>
      </c>
      <c r="E710" t="str">
        <f t="shared" si="100"/>
        <v>09 SECRETARIA DE PLANEACION</v>
      </c>
      <c r="F710" s="2">
        <v>2021130010271</v>
      </c>
      <c r="G710" s="2" t="str">
        <f>+VLOOKUP(F710,Hoja2!$F:$I,2,FALSE)</f>
        <v>07. PILAR CARTAGENA RESILIENTE</v>
      </c>
      <c r="H710" s="2" t="str">
        <f>+VLOOKUP(F710,Hoja2!$F:$I,3,FALSE)</f>
        <v>7.7 LÍNEA ESTRATÉGICA INSTRUMENTOS DE ORDENAMIENTO TERRITORIAL.</v>
      </c>
      <c r="I710" s="2" t="str">
        <f>+VLOOKUP(F710,Hoja2!$F:$I,4,FALSE)</f>
        <v>7.7.2 ADMINISTRANDO JUNTOS EL CONTROL URBANO</v>
      </c>
      <c r="J710" t="s">
        <v>563</v>
      </c>
      <c r="K710" t="str">
        <f>"812"</f>
        <v>812</v>
      </c>
      <c r="L710" t="s">
        <v>386</v>
      </c>
      <c r="M710" t="s">
        <v>26</v>
      </c>
      <c r="N710" t="s">
        <v>27</v>
      </c>
      <c r="O710" t="s">
        <v>564</v>
      </c>
      <c r="P710" t="str">
        <f t="shared" si="101"/>
        <v>2021130010271 NORMALIZACION URBANISTICA DE CARTAGENA DE INDIAS</v>
      </c>
      <c r="Q710" t="str">
        <f t="shared" si="98"/>
        <v>06</v>
      </c>
      <c r="R710" t="str">
        <f t="shared" si="99"/>
        <v>00</v>
      </c>
      <c r="S710" s="1">
        <v>0</v>
      </c>
      <c r="T710" s="1">
        <v>63171482.390000001</v>
      </c>
      <c r="U710" s="1">
        <v>63171482.390000001</v>
      </c>
      <c r="V710" s="1">
        <v>62700000</v>
      </c>
      <c r="W710" s="1">
        <v>471482.39</v>
      </c>
      <c r="X710" s="1">
        <v>62700000</v>
      </c>
      <c r="Y710" s="1">
        <v>99.25</v>
      </c>
      <c r="Z710" s="1">
        <v>62700000</v>
      </c>
      <c r="AA710" s="1">
        <v>99.25</v>
      </c>
      <c r="AB710" s="1">
        <v>471482.39</v>
      </c>
      <c r="AC710" s="1">
        <v>41800000</v>
      </c>
    </row>
    <row r="711" spans="1:29" x14ac:dyDescent="0.3">
      <c r="A711">
        <v>2022</v>
      </c>
      <c r="B711">
        <v>100</v>
      </c>
      <c r="C711" t="str">
        <f t="shared" si="102"/>
        <v>09</v>
      </c>
      <c r="D711" t="s">
        <v>559</v>
      </c>
      <c r="E711" t="str">
        <f t="shared" si="100"/>
        <v>09 SECRETARIA DE PLANEACION</v>
      </c>
      <c r="F711" s="2">
        <v>2021130010271</v>
      </c>
      <c r="G711" s="2" t="str">
        <f>+VLOOKUP(F711,Hoja2!$F:$I,2,FALSE)</f>
        <v>07. PILAR CARTAGENA RESILIENTE</v>
      </c>
      <c r="H711" s="2" t="str">
        <f>+VLOOKUP(F711,Hoja2!$F:$I,3,FALSE)</f>
        <v>7.7 LÍNEA ESTRATÉGICA INSTRUMENTOS DE ORDENAMIENTO TERRITORIAL.</v>
      </c>
      <c r="I711" s="2" t="str">
        <f>+VLOOKUP(F711,Hoja2!$F:$I,4,FALSE)</f>
        <v>7.7.2 ADMINISTRANDO JUNTOS EL CONTROL URBANO</v>
      </c>
      <c r="J711" t="s">
        <v>563</v>
      </c>
      <c r="K711" t="str">
        <f>"813"</f>
        <v>813</v>
      </c>
      <c r="L711" t="s">
        <v>169</v>
      </c>
      <c r="M711" t="s">
        <v>26</v>
      </c>
      <c r="N711" t="s">
        <v>27</v>
      </c>
      <c r="O711" t="s">
        <v>564</v>
      </c>
      <c r="P711" t="str">
        <f t="shared" si="101"/>
        <v>2021130010271 NORMALIZACION URBANISTICA DE CARTAGENA DE INDIAS</v>
      </c>
      <c r="Q711" t="str">
        <f t="shared" si="98"/>
        <v>06</v>
      </c>
      <c r="R711" t="str">
        <f t="shared" si="99"/>
        <v>00</v>
      </c>
      <c r="S711" s="1">
        <v>0</v>
      </c>
      <c r="T711" s="1">
        <v>105389633</v>
      </c>
      <c r="U711" s="1">
        <v>105389633</v>
      </c>
      <c r="V711" s="1">
        <v>105389633</v>
      </c>
      <c r="W711" s="1">
        <v>0</v>
      </c>
      <c r="X711" s="1">
        <v>95000000</v>
      </c>
      <c r="Y711" s="1">
        <v>90.14</v>
      </c>
      <c r="Z711" s="1">
        <v>76000000</v>
      </c>
      <c r="AA711" s="1">
        <v>72.11</v>
      </c>
      <c r="AB711" s="1">
        <v>10389633</v>
      </c>
      <c r="AC711" s="1">
        <v>0</v>
      </c>
    </row>
    <row r="712" spans="1:29" x14ac:dyDescent="0.3">
      <c r="A712">
        <v>2022</v>
      </c>
      <c r="B712">
        <v>100</v>
      </c>
      <c r="C712" t="str">
        <f t="shared" si="102"/>
        <v>09</v>
      </c>
      <c r="D712" t="s">
        <v>559</v>
      </c>
      <c r="E712" t="str">
        <f t="shared" si="100"/>
        <v>09 SECRETARIA DE PLANEACION</v>
      </c>
      <c r="F712" s="2">
        <v>2021130010271</v>
      </c>
      <c r="G712" s="2" t="str">
        <f>+VLOOKUP(F712,Hoja2!$F:$I,2,FALSE)</f>
        <v>07. PILAR CARTAGENA RESILIENTE</v>
      </c>
      <c r="H712" s="2" t="str">
        <f>+VLOOKUP(F712,Hoja2!$F:$I,3,FALSE)</f>
        <v>7.7 LÍNEA ESTRATÉGICA INSTRUMENTOS DE ORDENAMIENTO TERRITORIAL.</v>
      </c>
      <c r="I712" s="2" t="str">
        <f>+VLOOKUP(F712,Hoja2!$F:$I,4,FALSE)</f>
        <v>7.7.2 ADMINISTRANDO JUNTOS EL CONTROL URBANO</v>
      </c>
      <c r="J712" t="s">
        <v>563</v>
      </c>
      <c r="K712" t="str">
        <f>"850"</f>
        <v>850</v>
      </c>
      <c r="L712" t="s">
        <v>487</v>
      </c>
      <c r="M712" t="s">
        <v>26</v>
      </c>
      <c r="N712" t="s">
        <v>27</v>
      </c>
      <c r="O712" t="s">
        <v>564</v>
      </c>
      <c r="P712" t="str">
        <f t="shared" si="101"/>
        <v>2021130010271 NORMALIZACION URBANISTICA DE CARTAGENA DE INDIAS</v>
      </c>
      <c r="Q712" t="str">
        <f t="shared" si="98"/>
        <v>06</v>
      </c>
      <c r="R712" t="str">
        <f t="shared" si="99"/>
        <v>00</v>
      </c>
      <c r="S712" s="1">
        <v>0</v>
      </c>
      <c r="T712" s="1">
        <v>0.72</v>
      </c>
      <c r="U712" s="1">
        <v>0.72</v>
      </c>
      <c r="V712" s="1">
        <v>0</v>
      </c>
      <c r="W712" s="1">
        <v>0.72</v>
      </c>
      <c r="X712" s="1">
        <v>0</v>
      </c>
      <c r="Y712" s="1">
        <v>0</v>
      </c>
      <c r="Z712" s="1">
        <v>0</v>
      </c>
      <c r="AA712" s="1">
        <v>0</v>
      </c>
      <c r="AB712" s="1">
        <v>0.72</v>
      </c>
      <c r="AC712" s="1">
        <v>0</v>
      </c>
    </row>
    <row r="713" spans="1:29" x14ac:dyDescent="0.3">
      <c r="A713">
        <v>2022</v>
      </c>
      <c r="B713">
        <v>100</v>
      </c>
      <c r="C713" t="str">
        <f t="shared" si="102"/>
        <v>09</v>
      </c>
      <c r="D713" t="s">
        <v>559</v>
      </c>
      <c r="E713" t="str">
        <f t="shared" si="100"/>
        <v>09 SECRETARIA DE PLANEACION</v>
      </c>
      <c r="F713" s="2">
        <v>2021130010271</v>
      </c>
      <c r="G713" s="2" t="str">
        <f>+VLOOKUP(F713,Hoja2!$F:$I,2,FALSE)</f>
        <v>07. PILAR CARTAGENA RESILIENTE</v>
      </c>
      <c r="H713" s="2" t="str">
        <f>+VLOOKUP(F713,Hoja2!$F:$I,3,FALSE)</f>
        <v>7.7 LÍNEA ESTRATÉGICA INSTRUMENTOS DE ORDENAMIENTO TERRITORIAL.</v>
      </c>
      <c r="I713" s="2" t="str">
        <f>+VLOOKUP(F713,Hoja2!$F:$I,4,FALSE)</f>
        <v>7.7.2 ADMINISTRANDO JUNTOS EL CONTROL URBANO</v>
      </c>
      <c r="J713" t="s">
        <v>563</v>
      </c>
      <c r="K713" t="str">
        <f>"851"</f>
        <v>851</v>
      </c>
      <c r="L713" t="s">
        <v>582</v>
      </c>
      <c r="M713" t="s">
        <v>26</v>
      </c>
      <c r="N713" t="s">
        <v>27</v>
      </c>
      <c r="O713" t="s">
        <v>564</v>
      </c>
      <c r="P713" t="str">
        <f t="shared" si="101"/>
        <v>2021130010271 NORMALIZACION URBANISTICA DE CARTAGENA DE INDIAS</v>
      </c>
      <c r="Q713" t="str">
        <f t="shared" si="98"/>
        <v>06</v>
      </c>
      <c r="R713" t="str">
        <f t="shared" si="99"/>
        <v>00</v>
      </c>
      <c r="S713" s="1">
        <v>0</v>
      </c>
      <c r="T713" s="1">
        <v>0.62</v>
      </c>
      <c r="U713" s="1">
        <v>0.62</v>
      </c>
      <c r="V713" s="1">
        <v>0</v>
      </c>
      <c r="W713" s="1">
        <v>0.62</v>
      </c>
      <c r="X713" s="1">
        <v>0</v>
      </c>
      <c r="Y713" s="1">
        <v>0</v>
      </c>
      <c r="Z713" s="1">
        <v>0</v>
      </c>
      <c r="AA713" s="1">
        <v>0</v>
      </c>
      <c r="AB713" s="1">
        <v>0.62</v>
      </c>
      <c r="AC713" s="1">
        <v>0</v>
      </c>
    </row>
    <row r="714" spans="1:29" x14ac:dyDescent="0.3">
      <c r="A714">
        <v>2022</v>
      </c>
      <c r="B714">
        <v>100</v>
      </c>
      <c r="C714" t="str">
        <f t="shared" si="102"/>
        <v>09</v>
      </c>
      <c r="D714" t="s">
        <v>559</v>
      </c>
      <c r="E714" t="str">
        <f t="shared" si="100"/>
        <v>09 SECRETARIA DE PLANEACION</v>
      </c>
      <c r="F714" s="2">
        <v>2021130010271</v>
      </c>
      <c r="G714" s="2" t="str">
        <f>+VLOOKUP(F714,Hoja2!$F:$I,2,FALSE)</f>
        <v>07. PILAR CARTAGENA RESILIENTE</v>
      </c>
      <c r="H714" s="2" t="str">
        <f>+VLOOKUP(F714,Hoja2!$F:$I,3,FALSE)</f>
        <v>7.7 LÍNEA ESTRATÉGICA INSTRUMENTOS DE ORDENAMIENTO TERRITORIAL.</v>
      </c>
      <c r="I714" s="2" t="str">
        <f>+VLOOKUP(F714,Hoja2!$F:$I,4,FALSE)</f>
        <v>7.7.2 ADMINISTRANDO JUNTOS EL CONTROL URBANO</v>
      </c>
      <c r="J714" t="s">
        <v>563</v>
      </c>
      <c r="K714" t="str">
        <f>"922"</f>
        <v>922</v>
      </c>
      <c r="L714" t="s">
        <v>78</v>
      </c>
      <c r="M714" t="s">
        <v>26</v>
      </c>
      <c r="N714" t="s">
        <v>27</v>
      </c>
      <c r="O714" t="s">
        <v>564</v>
      </c>
      <c r="P714" t="str">
        <f t="shared" si="101"/>
        <v>2021130010271 NORMALIZACION URBANISTICA DE CARTAGENA DE INDIAS</v>
      </c>
      <c r="Q714" t="str">
        <f t="shared" si="98"/>
        <v>06</v>
      </c>
      <c r="R714" t="str">
        <f t="shared" si="99"/>
        <v>00</v>
      </c>
      <c r="S714" s="1">
        <v>0</v>
      </c>
      <c r="T714" s="1">
        <v>73146669.659999996</v>
      </c>
      <c r="U714" s="1">
        <v>73146669.659999996</v>
      </c>
      <c r="V714" s="1">
        <v>0</v>
      </c>
      <c r="W714" s="1">
        <v>73146669.659999996</v>
      </c>
      <c r="X714" s="1">
        <v>0</v>
      </c>
      <c r="Y714" s="1">
        <v>0</v>
      </c>
      <c r="Z714" s="1">
        <v>0</v>
      </c>
      <c r="AA714" s="1">
        <v>0</v>
      </c>
      <c r="AB714" s="1">
        <v>73146669.659999996</v>
      </c>
      <c r="AC714" s="1">
        <v>0</v>
      </c>
    </row>
    <row r="715" spans="1:29" x14ac:dyDescent="0.3">
      <c r="A715">
        <v>2022</v>
      </c>
      <c r="B715">
        <v>100</v>
      </c>
      <c r="C715" t="str">
        <f t="shared" si="102"/>
        <v>09</v>
      </c>
      <c r="D715" t="s">
        <v>559</v>
      </c>
      <c r="E715" t="str">
        <f t="shared" si="100"/>
        <v>09 SECRETARIA DE PLANEACION</v>
      </c>
      <c r="F715" s="2">
        <v>2021130010271</v>
      </c>
      <c r="G715" s="2" t="str">
        <f>+VLOOKUP(F715,Hoja2!$F:$I,2,FALSE)</f>
        <v>07. PILAR CARTAGENA RESILIENTE</v>
      </c>
      <c r="H715" s="2" t="str">
        <f>+VLOOKUP(F715,Hoja2!$F:$I,3,FALSE)</f>
        <v>7.7 LÍNEA ESTRATÉGICA INSTRUMENTOS DE ORDENAMIENTO TERRITORIAL.</v>
      </c>
      <c r="I715" s="2" t="str">
        <f>+VLOOKUP(F715,Hoja2!$F:$I,4,FALSE)</f>
        <v>7.7.2 ADMINISTRANDO JUNTOS EL CONTROL URBANO</v>
      </c>
      <c r="J715" t="s">
        <v>563</v>
      </c>
      <c r="K715" t="str">
        <f>"070"</f>
        <v>070</v>
      </c>
      <c r="L715" t="s">
        <v>93</v>
      </c>
      <c r="M715" t="s">
        <v>26</v>
      </c>
      <c r="N715" t="s">
        <v>27</v>
      </c>
      <c r="O715" t="s">
        <v>564</v>
      </c>
      <c r="P715" t="str">
        <f t="shared" si="101"/>
        <v>2021130010271 NORMALIZACION URBANISTICA DE CARTAGENA DE INDIAS</v>
      </c>
      <c r="Q715" t="str">
        <f t="shared" si="98"/>
        <v>06</v>
      </c>
      <c r="R715" t="str">
        <f t="shared" si="99"/>
        <v>00</v>
      </c>
      <c r="S715" s="1">
        <v>631000000</v>
      </c>
      <c r="T715" s="1">
        <v>-72735679</v>
      </c>
      <c r="U715" s="1">
        <v>558264321</v>
      </c>
      <c r="V715" s="1">
        <v>515831618</v>
      </c>
      <c r="W715" s="1">
        <v>42432703</v>
      </c>
      <c r="X715" s="1">
        <v>471259600</v>
      </c>
      <c r="Y715" s="1">
        <v>84.42</v>
      </c>
      <c r="Z715" s="1">
        <v>471259600</v>
      </c>
      <c r="AA715" s="1">
        <v>84.42</v>
      </c>
      <c r="AB715" s="1">
        <v>87004721</v>
      </c>
      <c r="AC715" s="1">
        <v>466859600</v>
      </c>
    </row>
    <row r="716" spans="1:29" x14ac:dyDescent="0.3">
      <c r="A716">
        <v>2022</v>
      </c>
      <c r="B716">
        <v>100</v>
      </c>
      <c r="C716" t="str">
        <f>"01"</f>
        <v>01</v>
      </c>
      <c r="D716" t="s">
        <v>23</v>
      </c>
      <c r="E716" t="str">
        <f t="shared" si="100"/>
        <v>01 DESPACHO DEL ALCALDE</v>
      </c>
      <c r="F716" s="2">
        <v>2021130010272</v>
      </c>
      <c r="G716" s="2" t="str">
        <f>+VLOOKUP(F716,Hoja2!$F:$I,2,FALSE)</f>
        <v>07. PILAR CARTAGENA RESILIENTE</v>
      </c>
      <c r="H716" s="2" t="str">
        <f>+VLOOKUP(F716,Hoja2!$F:$I,3,FALSE)</f>
        <v>7.2 LÍNEA ESTRATÉGICA ESPACIO PÚBLICO, MOVILIDAD Y TRANSPORTE RESILIENTE</v>
      </c>
      <c r="I716" s="2" t="str">
        <f>+VLOOKUP(F716,Hoja2!$F:$I,4,FALSE)</f>
        <v xml:space="preserve">7.2.3 GENERACIÓN DEL ESPACIO PÚBLICO  </v>
      </c>
      <c r="J716" t="s">
        <v>39</v>
      </c>
      <c r="K716" t="str">
        <f>"001"</f>
        <v>001</v>
      </c>
      <c r="L716" t="s">
        <v>25</v>
      </c>
      <c r="M716" t="s">
        <v>26</v>
      </c>
      <c r="N716" t="s">
        <v>27</v>
      </c>
      <c r="O716" t="s">
        <v>40</v>
      </c>
      <c r="P716" t="str">
        <f t="shared" si="101"/>
        <v>2021130010272 IMPLEMENTACION DEL SISTEMA DISTRITAL DE CICLOINFRAESTRUCTURA  CARTAGENA DE INDIAS</v>
      </c>
      <c r="Q716" t="str">
        <f t="shared" si="98"/>
        <v>06</v>
      </c>
      <c r="R716" t="str">
        <f t="shared" si="99"/>
        <v>00</v>
      </c>
      <c r="S716" s="1">
        <v>4905727078</v>
      </c>
      <c r="T716" s="1">
        <v>-4905727078</v>
      </c>
      <c r="U716" s="1">
        <v>0</v>
      </c>
      <c r="V716" s="1">
        <v>0</v>
      </c>
      <c r="W716" s="1">
        <v>0</v>
      </c>
      <c r="X716" s="1">
        <v>0</v>
      </c>
      <c r="Y716" s="1">
        <v>0</v>
      </c>
      <c r="Z716" s="1">
        <v>0</v>
      </c>
      <c r="AA716" s="1">
        <v>0</v>
      </c>
      <c r="AB716" s="1">
        <v>0</v>
      </c>
      <c r="AC716" s="1">
        <v>0</v>
      </c>
    </row>
    <row r="717" spans="1:29" x14ac:dyDescent="0.3">
      <c r="A717">
        <v>2022</v>
      </c>
      <c r="B717">
        <v>100</v>
      </c>
      <c r="C717" t="str">
        <f>"03"</f>
        <v>03</v>
      </c>
      <c r="D717" t="s">
        <v>164</v>
      </c>
      <c r="E717" t="str">
        <f t="shared" si="100"/>
        <v>03 SECRETARIA DE HACIENDA PUBLICA</v>
      </c>
      <c r="F717" s="2">
        <v>2021130010274</v>
      </c>
      <c r="G717" s="2" t="str">
        <f>+VLOOKUP(F717,Hoja2!$F:$I,2,FALSE)</f>
        <v>10. PILAR: CARTAGENA TRANSPARENTE</v>
      </c>
      <c r="H717" s="2" t="str">
        <f>+VLOOKUP(F717,Hoja2!$F:$I,3,FALSE)</f>
        <v>10.8 LÍNEA ESTRATÉGICA: FINANZAS PÚBLICAS PARA SALVAR A CARTAGENA</v>
      </c>
      <c r="I717" s="2" t="str">
        <f>+VLOOKUP(F717,Hoja2!$F:$I,4,FALSE)</f>
        <v>10.8.2 PROGRAMA: SANEAMIENTO FISCAL Y FINANCIERO</v>
      </c>
      <c r="J717" t="s">
        <v>193</v>
      </c>
      <c r="K717" t="str">
        <f>"804"</f>
        <v>804</v>
      </c>
      <c r="L717" t="s">
        <v>194</v>
      </c>
      <c r="M717" t="s">
        <v>26</v>
      </c>
      <c r="N717" t="s">
        <v>27</v>
      </c>
      <c r="O717" t="s">
        <v>195</v>
      </c>
      <c r="P717" t="str">
        <f t="shared" si="101"/>
        <v>2021130010274 IMPLEMENTACION DEL PLAN DE SANEAMIENTO FISCAL Y FINANCIERO DEL DISTRITO DE CARTAGENA DE INDIAS</v>
      </c>
      <c r="Q717" t="str">
        <f t="shared" si="98"/>
        <v>06</v>
      </c>
      <c r="R717" t="str">
        <f t="shared" si="99"/>
        <v>00</v>
      </c>
      <c r="S717" s="1">
        <v>0</v>
      </c>
      <c r="T717" s="1">
        <v>8609950282</v>
      </c>
      <c r="U717" s="1">
        <v>8609950282</v>
      </c>
      <c r="V717" s="1">
        <v>8609950282</v>
      </c>
      <c r="W717" s="1">
        <v>0</v>
      </c>
      <c r="X717" s="1">
        <v>8609950282</v>
      </c>
      <c r="Y717" s="1">
        <v>100</v>
      </c>
      <c r="Z717" s="1">
        <v>8395771931.9700003</v>
      </c>
      <c r="AA717" s="1">
        <v>97.51</v>
      </c>
      <c r="AB717" s="1">
        <v>0</v>
      </c>
      <c r="AC717" s="1">
        <v>6314856432.0900002</v>
      </c>
    </row>
    <row r="718" spans="1:29" x14ac:dyDescent="0.3">
      <c r="A718">
        <v>2022</v>
      </c>
      <c r="B718">
        <v>100</v>
      </c>
      <c r="C718" t="str">
        <f>"03"</f>
        <v>03</v>
      </c>
      <c r="D718" t="s">
        <v>164</v>
      </c>
      <c r="E718" t="str">
        <f t="shared" si="100"/>
        <v>03 SECRETARIA DE HACIENDA PUBLICA</v>
      </c>
      <c r="F718" s="2">
        <v>2021130010274</v>
      </c>
      <c r="G718" s="2" t="str">
        <f>+VLOOKUP(F718,Hoja2!$F:$I,2,FALSE)</f>
        <v>10. PILAR: CARTAGENA TRANSPARENTE</v>
      </c>
      <c r="H718" s="2" t="str">
        <f>+VLOOKUP(F718,Hoja2!$F:$I,3,FALSE)</f>
        <v>10.8 LÍNEA ESTRATÉGICA: FINANZAS PÚBLICAS PARA SALVAR A CARTAGENA</v>
      </c>
      <c r="I718" s="2" t="str">
        <f>+VLOOKUP(F718,Hoja2!$F:$I,4,FALSE)</f>
        <v>10.8.2 PROGRAMA: SANEAMIENTO FISCAL Y FINANCIERO</v>
      </c>
      <c r="J718" t="s">
        <v>193</v>
      </c>
      <c r="K718" t="str">
        <f>"001"</f>
        <v>001</v>
      </c>
      <c r="L718" t="s">
        <v>25</v>
      </c>
      <c r="M718" t="s">
        <v>26</v>
      </c>
      <c r="N718" t="s">
        <v>27</v>
      </c>
      <c r="O718" t="s">
        <v>195</v>
      </c>
      <c r="P718" t="str">
        <f t="shared" si="101"/>
        <v>2021130010274 IMPLEMENTACION DEL PLAN DE SANEAMIENTO FISCAL Y FINANCIERO DEL DISTRITO DE CARTAGENA DE INDIAS</v>
      </c>
      <c r="Q718" t="str">
        <f t="shared" si="98"/>
        <v>06</v>
      </c>
      <c r="R718" t="str">
        <f t="shared" si="99"/>
        <v>00</v>
      </c>
      <c r="S718" s="1">
        <v>20000000000</v>
      </c>
      <c r="T718" s="1">
        <v>0</v>
      </c>
      <c r="U718" s="1">
        <v>20000000000</v>
      </c>
      <c r="V718" s="1">
        <v>20000000000</v>
      </c>
      <c r="W718" s="1">
        <v>0</v>
      </c>
      <c r="X718" s="1">
        <v>19998588824</v>
      </c>
      <c r="Y718" s="1">
        <v>99.99</v>
      </c>
      <c r="Z718" s="1">
        <v>19233479591.959999</v>
      </c>
      <c r="AA718" s="1">
        <v>96.17</v>
      </c>
      <c r="AB718" s="1">
        <v>1411176</v>
      </c>
      <c r="AC718" s="1">
        <v>4792737</v>
      </c>
    </row>
    <row r="719" spans="1:29" x14ac:dyDescent="0.3">
      <c r="A719">
        <v>2022</v>
      </c>
      <c r="B719">
        <v>100</v>
      </c>
      <c r="C719" t="str">
        <f>"02"</f>
        <v>02</v>
      </c>
      <c r="D719" t="s">
        <v>106</v>
      </c>
      <c r="E719" t="str">
        <f t="shared" si="100"/>
        <v>02 SECRETARIA DEL INTERIOR Y CONVIVENCIA CIUDADANAL</v>
      </c>
      <c r="F719" s="2">
        <v>2021130010275</v>
      </c>
      <c r="G719" s="2" t="str">
        <f>+VLOOKUP(F719,Hoja2!$F:$I,2,FALSE)</f>
        <v>10. PILAR: CARTAGENA TRANSPARENTE</v>
      </c>
      <c r="H719" s="2" t="str">
        <f>+VLOOKUP(F719,Hoja2!$F:$I,3,FALSE)</f>
        <v>10.3 LÍNEA ESTRATÉGICA: CONVIVENCIA Y SEGURIDAD PARA LA GOBERNABILIDAD</v>
      </c>
      <c r="I719" s="2" t="str">
        <f>+VLOOKUP(F719,Hoja2!$F:$I,4,FALSE)</f>
        <v>10.3.7 PROGRAMA:  FORTALECIMIENTO SISTEMA DE RESPONSABILIDAD PENAL PARA ADOLESCENTES –SRPA</v>
      </c>
      <c r="J719" t="s">
        <v>159</v>
      </c>
      <c r="K719" t="str">
        <f>"001"</f>
        <v>001</v>
      </c>
      <c r="L719" t="s">
        <v>25</v>
      </c>
      <c r="M719" t="s">
        <v>26</v>
      </c>
      <c r="N719" t="s">
        <v>27</v>
      </c>
      <c r="O719" t="s">
        <v>160</v>
      </c>
      <c r="P719" t="str">
        <f t="shared" si="101"/>
        <v>2021130010275 FORTALECIMIENTO DEL SISTEMA DE RESPONSABILIDAD PENAL PARA ADOLESCENTES- SRPA EN EL CARTAGENA DE INDIAS</v>
      </c>
      <c r="Q719" t="str">
        <f t="shared" si="98"/>
        <v>06</v>
      </c>
      <c r="R719" t="str">
        <f t="shared" si="99"/>
        <v>00</v>
      </c>
      <c r="S719" s="1">
        <v>213729577</v>
      </c>
      <c r="T719" s="1">
        <v>0</v>
      </c>
      <c r="U719" s="1">
        <v>213729577</v>
      </c>
      <c r="V719" s="1">
        <v>213729500</v>
      </c>
      <c r="W719" s="1">
        <v>77</v>
      </c>
      <c r="X719" s="1">
        <v>213729500</v>
      </c>
      <c r="Y719" s="1">
        <v>100</v>
      </c>
      <c r="Z719" s="1">
        <v>213729500</v>
      </c>
      <c r="AA719" s="1">
        <v>100</v>
      </c>
      <c r="AB719" s="1">
        <v>77</v>
      </c>
      <c r="AC719" s="1">
        <v>213729500</v>
      </c>
    </row>
    <row r="720" spans="1:29" x14ac:dyDescent="0.3">
      <c r="A720">
        <v>2022</v>
      </c>
      <c r="B720">
        <v>100</v>
      </c>
      <c r="C720" t="str">
        <f>"02"</f>
        <v>02</v>
      </c>
      <c r="D720" t="s">
        <v>106</v>
      </c>
      <c r="E720" t="str">
        <f t="shared" si="100"/>
        <v>02 SECRETARIA DEL INTERIOR Y CONVIVENCIA CIUDADANAL</v>
      </c>
      <c r="F720" s="2">
        <v>2021130010276</v>
      </c>
      <c r="G720" s="2" t="str">
        <f>+VLOOKUP(F720,Hoja2!$F:$I,2,FALSE)</f>
        <v>11. EJE TRANSVERSAL: CARTAGENA CON ATENCION Y GARANTIA DE DERECHOS A POBLACION DIFERENCIAL.</v>
      </c>
      <c r="H720" s="2" t="str">
        <f>+VLOOKUP(F720,Hoja2!$F:$I,3,FALSE)</f>
        <v>11.1 LÍNEA ESTRATÉGICA PARA LA EQUIDAD E INCLUSIÓN DE LOS NEGROS, AFROS, PALENQUEROS E INDÍGENA.</v>
      </c>
      <c r="I720" s="2" t="str">
        <f>+VLOOKUP(F720,Hoja2!$F:$I,4,FALSE)</f>
        <v>11.1.10 PROGRAMA: INTEGRIDAD CULTURAL, GOBIERNO PROPIO, VIVIENDA Y HÁBITAT PARA LAS COMUNIDADES INDÍGENAS EN EL DISTRITO CARTAGENA</v>
      </c>
      <c r="J720" t="s">
        <v>115</v>
      </c>
      <c r="K720" t="str">
        <f>"816"</f>
        <v>816</v>
      </c>
      <c r="L720" t="s">
        <v>116</v>
      </c>
      <c r="M720" t="s">
        <v>26</v>
      </c>
      <c r="N720" t="s">
        <v>27</v>
      </c>
      <c r="O720" t="s">
        <v>117</v>
      </c>
      <c r="P720" t="str">
        <f t="shared" si="101"/>
        <v>2021130010276 IMPLEMENTACION DE LA JURISDICCION ESPECIAL INDIGENA- JEI EN EL DISTRITO DE CARTAGENA DE INDIAS</v>
      </c>
      <c r="Q720" t="str">
        <f t="shared" si="98"/>
        <v>06</v>
      </c>
      <c r="R720" t="str">
        <f t="shared" si="99"/>
        <v>00</v>
      </c>
      <c r="S720" s="1">
        <v>0</v>
      </c>
      <c r="T720" s="1">
        <v>0</v>
      </c>
      <c r="U720" s="1">
        <v>0</v>
      </c>
      <c r="V720" s="1">
        <v>0</v>
      </c>
      <c r="W720" s="1">
        <v>0</v>
      </c>
      <c r="X720" s="1">
        <v>0</v>
      </c>
      <c r="Y720" s="1">
        <v>0</v>
      </c>
      <c r="Z720" s="1">
        <v>0</v>
      </c>
      <c r="AA720" s="1">
        <v>0</v>
      </c>
      <c r="AB720" s="1">
        <v>0</v>
      </c>
      <c r="AC720" s="1">
        <v>0</v>
      </c>
    </row>
    <row r="721" spans="1:29" x14ac:dyDescent="0.3">
      <c r="A721">
        <v>2022</v>
      </c>
      <c r="B721">
        <v>100</v>
      </c>
      <c r="C721" t="str">
        <f>"02"</f>
        <v>02</v>
      </c>
      <c r="D721" t="s">
        <v>106</v>
      </c>
      <c r="E721" t="str">
        <f t="shared" si="100"/>
        <v>02 SECRETARIA DEL INTERIOR Y CONVIVENCIA CIUDADANAL</v>
      </c>
      <c r="F721" s="2">
        <v>2021130010276</v>
      </c>
      <c r="G721" s="2" t="str">
        <f>+VLOOKUP(F721,Hoja2!$F:$I,2,FALSE)</f>
        <v>11. EJE TRANSVERSAL: CARTAGENA CON ATENCION Y GARANTIA DE DERECHOS A POBLACION DIFERENCIAL.</v>
      </c>
      <c r="H721" s="2" t="str">
        <f>+VLOOKUP(F721,Hoja2!$F:$I,3,FALSE)</f>
        <v>11.1 LÍNEA ESTRATÉGICA PARA LA EQUIDAD E INCLUSIÓN DE LOS NEGROS, AFROS, PALENQUEROS E INDÍGENA.</v>
      </c>
      <c r="I721" s="2" t="str">
        <f>+VLOOKUP(F721,Hoja2!$F:$I,4,FALSE)</f>
        <v>11.1.10 PROGRAMA: INTEGRIDAD CULTURAL, GOBIERNO PROPIO, VIVIENDA Y HÁBITAT PARA LAS COMUNIDADES INDÍGENAS EN EL DISTRITO CARTAGENA</v>
      </c>
      <c r="J721" t="s">
        <v>115</v>
      </c>
      <c r="K721" t="str">
        <f>"001"</f>
        <v>001</v>
      </c>
      <c r="L721" t="s">
        <v>25</v>
      </c>
      <c r="M721" t="s">
        <v>26</v>
      </c>
      <c r="N721" t="s">
        <v>27</v>
      </c>
      <c r="O721" t="s">
        <v>117</v>
      </c>
      <c r="P721" t="str">
        <f t="shared" si="101"/>
        <v>2021130010276 IMPLEMENTACION DE LA JURISDICCION ESPECIAL INDIGENA- JEI EN EL DISTRITO DE CARTAGENA DE INDIAS</v>
      </c>
      <c r="Q721" t="str">
        <f t="shared" si="98"/>
        <v>06</v>
      </c>
      <c r="R721" t="str">
        <f t="shared" si="99"/>
        <v>00</v>
      </c>
      <c r="S721" s="1">
        <v>57430985</v>
      </c>
      <c r="T721" s="1">
        <v>0</v>
      </c>
      <c r="U721" s="1">
        <v>57430985</v>
      </c>
      <c r="V721" s="1">
        <v>57420000</v>
      </c>
      <c r="W721" s="1">
        <v>10985</v>
      </c>
      <c r="X721" s="1">
        <v>57420000</v>
      </c>
      <c r="Y721" s="1">
        <v>99.98</v>
      </c>
      <c r="Z721" s="1">
        <v>0</v>
      </c>
      <c r="AA721" s="1">
        <v>0</v>
      </c>
      <c r="AB721" s="1">
        <v>10985</v>
      </c>
      <c r="AC721" s="1">
        <v>0</v>
      </c>
    </row>
    <row r="722" spans="1:29" x14ac:dyDescent="0.3">
      <c r="A722">
        <v>2022</v>
      </c>
      <c r="B722">
        <v>100</v>
      </c>
      <c r="C722" t="str">
        <f>"05"</f>
        <v>05</v>
      </c>
      <c r="D722" t="s">
        <v>292</v>
      </c>
      <c r="E722" t="str">
        <f t="shared" si="100"/>
        <v>05 SECRETARIA GENERAL</v>
      </c>
      <c r="F722" s="2">
        <v>2021130010278</v>
      </c>
      <c r="G722" s="2" t="str">
        <f>+VLOOKUP(F722,Hoja2!$F:$I,2,FALSE)</f>
        <v>09. PILAR CARTAGENA CONTINGENTE</v>
      </c>
      <c r="H722" s="2" t="str">
        <f>+VLOOKUP(F722,Hoja2!$F:$I,3,FALSE)</f>
        <v>9.3 LÍNEA ESTRATÉGICA: TURISMO, MOTOR DE REACTIVACIÓN ECONÓMICA PARA CARTAGENA DE INDIAS</v>
      </c>
      <c r="I722" s="2" t="str">
        <f>+VLOOKUP(F722,Hoja2!$F:$I,4,FALSE)</f>
        <v>9.3.1 PROGRAMA: PROMOCIÓN NACIONAL E INTERNACIONAL DE CARTAGENA DE INDIAS</v>
      </c>
      <c r="J722" t="s">
        <v>365</v>
      </c>
      <c r="K722" t="str">
        <f>"001"</f>
        <v>001</v>
      </c>
      <c r="L722" t="s">
        <v>25</v>
      </c>
      <c r="M722" t="s">
        <v>26</v>
      </c>
      <c r="N722" t="s">
        <v>27</v>
      </c>
      <c r="O722" t="s">
        <v>366</v>
      </c>
      <c r="P722" t="str">
        <f t="shared" si="101"/>
        <v>2021130010278 IMPLEMENTACION DEL PROYECTO CARTAGENA XVI FESTIVAL DE MUSICA CARTAGENA DE INDIAS</v>
      </c>
      <c r="Q722" t="str">
        <f t="shared" si="98"/>
        <v>06</v>
      </c>
      <c r="R722" t="str">
        <f t="shared" si="99"/>
        <v>00</v>
      </c>
      <c r="S722" s="1">
        <v>51300000</v>
      </c>
      <c r="T722" s="1">
        <v>-51300000</v>
      </c>
      <c r="U722" s="1">
        <v>0</v>
      </c>
      <c r="V722" s="1">
        <v>0</v>
      </c>
      <c r="W722" s="1">
        <v>0</v>
      </c>
      <c r="X722" s="1">
        <v>0</v>
      </c>
      <c r="Y722" s="1">
        <v>0</v>
      </c>
      <c r="Z722" s="1">
        <v>0</v>
      </c>
      <c r="AA722" s="1">
        <v>0</v>
      </c>
      <c r="AB722" s="1">
        <v>0</v>
      </c>
      <c r="AC722" s="1">
        <v>0</v>
      </c>
    </row>
    <row r="723" spans="1:29" x14ac:dyDescent="0.3">
      <c r="A723">
        <v>2022</v>
      </c>
      <c r="B723">
        <v>100</v>
      </c>
      <c r="C723" t="str">
        <f>"22"</f>
        <v>22</v>
      </c>
      <c r="D723" t="s">
        <v>936</v>
      </c>
      <c r="E723" t="str">
        <f t="shared" si="100"/>
        <v>22 DISTRISEGURIDAD</v>
      </c>
      <c r="F723" s="2">
        <v>2021130010279</v>
      </c>
      <c r="G723" s="2" t="str">
        <f>+VLOOKUP(F723,Hoja2!$F:$I,2,FALSE)</f>
        <v>10. PILAR: CARTAGENA TRANSPARENTE</v>
      </c>
      <c r="H723" s="2" t="str">
        <f>+VLOOKUP(F723,Hoja2!$F:$I,3,FALSE)</f>
        <v>10.3 LÍNEA ESTRATÉGICA: CONVIVENCIA Y SEGURIDAD PARA LA GOBERNABILIDAD</v>
      </c>
      <c r="I723" s="2" t="str">
        <f>+VLOOKUP(F723,Hoja2!$F:$I,4,FALSE)</f>
        <v>10.3.10 PROGRAMA: VIGILANCIA DE LAS PLAYAS DEL DISTRITO DE CARTAGENA</v>
      </c>
      <c r="J723" t="s">
        <v>942</v>
      </c>
      <c r="K723" t="str">
        <f>"940"</f>
        <v>940</v>
      </c>
      <c r="L723" t="s">
        <v>943</v>
      </c>
      <c r="M723" t="s">
        <v>26</v>
      </c>
      <c r="N723" t="s">
        <v>27</v>
      </c>
      <c r="O723" t="s">
        <v>944</v>
      </c>
      <c r="P723" t="str">
        <f t="shared" si="101"/>
        <v>2021130010279 IMPLEMENTACION DEL PROGRAMA VIGILANCIA DE LAS PLAYAS DEL DISTRITO DE CARTAGENA DE INDIAS</v>
      </c>
      <c r="Q723" t="str">
        <f t="shared" si="98"/>
        <v>06</v>
      </c>
      <c r="R723" t="str">
        <f t="shared" si="99"/>
        <v>00</v>
      </c>
      <c r="S723" s="1">
        <v>0</v>
      </c>
      <c r="T723" s="1">
        <v>13602141</v>
      </c>
      <c r="U723" s="1">
        <v>13602141</v>
      </c>
      <c r="V723" s="1">
        <v>0</v>
      </c>
      <c r="W723" s="1">
        <v>13602141</v>
      </c>
      <c r="X723" s="1">
        <v>0</v>
      </c>
      <c r="Y723" s="1">
        <v>0</v>
      </c>
      <c r="Z723" s="1">
        <v>0</v>
      </c>
      <c r="AA723" s="1">
        <v>0</v>
      </c>
      <c r="AB723" s="1">
        <v>13602141</v>
      </c>
      <c r="AC723" s="1">
        <v>0</v>
      </c>
    </row>
    <row r="724" spans="1:29" x14ac:dyDescent="0.3">
      <c r="A724">
        <v>2022</v>
      </c>
      <c r="B724">
        <v>100</v>
      </c>
      <c r="C724" t="str">
        <f>"22"</f>
        <v>22</v>
      </c>
      <c r="D724" t="s">
        <v>936</v>
      </c>
      <c r="E724" t="str">
        <f t="shared" si="100"/>
        <v>22 DISTRISEGURIDAD</v>
      </c>
      <c r="F724" s="2">
        <v>2021130010279</v>
      </c>
      <c r="G724" s="2" t="str">
        <f>+VLOOKUP(F724,Hoja2!$F:$I,2,FALSE)</f>
        <v>10. PILAR: CARTAGENA TRANSPARENTE</v>
      </c>
      <c r="H724" s="2" t="str">
        <f>+VLOOKUP(F724,Hoja2!$F:$I,3,FALSE)</f>
        <v>10.3 LÍNEA ESTRATÉGICA: CONVIVENCIA Y SEGURIDAD PARA LA GOBERNABILIDAD</v>
      </c>
      <c r="I724" s="2" t="str">
        <f>+VLOOKUP(F724,Hoja2!$F:$I,4,FALSE)</f>
        <v>10.3.10 PROGRAMA: VIGILANCIA DE LAS PLAYAS DEL DISTRITO DE CARTAGENA</v>
      </c>
      <c r="J724" t="s">
        <v>942</v>
      </c>
      <c r="K724" t="str">
        <f>"840"</f>
        <v>840</v>
      </c>
      <c r="L724" t="s">
        <v>74</v>
      </c>
      <c r="M724" t="s">
        <v>26</v>
      </c>
      <c r="N724" t="s">
        <v>27</v>
      </c>
      <c r="O724" t="s">
        <v>944</v>
      </c>
      <c r="P724" t="str">
        <f t="shared" si="101"/>
        <v>2021130010279 IMPLEMENTACION DEL PROGRAMA VIGILANCIA DE LAS PLAYAS DEL DISTRITO DE CARTAGENA DE INDIAS</v>
      </c>
      <c r="Q724" t="str">
        <f t="shared" si="98"/>
        <v>06</v>
      </c>
      <c r="R724" t="str">
        <f t="shared" si="99"/>
        <v>00</v>
      </c>
      <c r="S724" s="1">
        <v>0</v>
      </c>
      <c r="T724" s="1">
        <v>332551035</v>
      </c>
      <c r="U724" s="1">
        <v>332551035</v>
      </c>
      <c r="V724" s="1">
        <v>0</v>
      </c>
      <c r="W724" s="1">
        <v>332551035</v>
      </c>
      <c r="X724" s="1">
        <v>0</v>
      </c>
      <c r="Y724" s="1">
        <v>0</v>
      </c>
      <c r="Z724" s="1">
        <v>0</v>
      </c>
      <c r="AA724" s="1">
        <v>0</v>
      </c>
      <c r="AB724" s="1">
        <v>332551035</v>
      </c>
      <c r="AC724" s="1">
        <v>0</v>
      </c>
    </row>
    <row r="725" spans="1:29" x14ac:dyDescent="0.3">
      <c r="A725">
        <v>2022</v>
      </c>
      <c r="B725">
        <v>100</v>
      </c>
      <c r="C725" t="str">
        <f>"22"</f>
        <v>22</v>
      </c>
      <c r="D725" t="s">
        <v>936</v>
      </c>
      <c r="E725" t="str">
        <f t="shared" si="100"/>
        <v>22 DISTRISEGURIDAD</v>
      </c>
      <c r="F725" s="2">
        <v>2021130010279</v>
      </c>
      <c r="G725" s="2" t="str">
        <f>+VLOOKUP(F725,Hoja2!$F:$I,2,FALSE)</f>
        <v>10. PILAR: CARTAGENA TRANSPARENTE</v>
      </c>
      <c r="H725" s="2" t="str">
        <f>+VLOOKUP(F725,Hoja2!$F:$I,3,FALSE)</f>
        <v>10.3 LÍNEA ESTRATÉGICA: CONVIVENCIA Y SEGURIDAD PARA LA GOBERNABILIDAD</v>
      </c>
      <c r="I725" s="2" t="str">
        <f>+VLOOKUP(F725,Hoja2!$F:$I,4,FALSE)</f>
        <v>10.3.10 PROGRAMA: VIGILANCIA DE LAS PLAYAS DEL DISTRITO DE CARTAGENA</v>
      </c>
      <c r="J725" t="s">
        <v>942</v>
      </c>
      <c r="K725" t="str">
        <f>"838"</f>
        <v>838</v>
      </c>
      <c r="L725" t="s">
        <v>945</v>
      </c>
      <c r="M725" t="s">
        <v>26</v>
      </c>
      <c r="N725" t="s">
        <v>27</v>
      </c>
      <c r="O725" t="s">
        <v>944</v>
      </c>
      <c r="P725" t="str">
        <f t="shared" si="101"/>
        <v>2021130010279 IMPLEMENTACION DEL PROGRAMA VIGILANCIA DE LAS PLAYAS DEL DISTRITO DE CARTAGENA DE INDIAS</v>
      </c>
      <c r="Q725" t="str">
        <f t="shared" si="98"/>
        <v>06</v>
      </c>
      <c r="R725" t="str">
        <f t="shared" si="99"/>
        <v>00</v>
      </c>
      <c r="S725" s="1">
        <v>0</v>
      </c>
      <c r="T725" s="1">
        <v>68793476.879999995</v>
      </c>
      <c r="U725" s="1">
        <v>68793476.879999995</v>
      </c>
      <c r="V725" s="1">
        <v>68793476</v>
      </c>
      <c r="W725" s="1">
        <v>0.88</v>
      </c>
      <c r="X725" s="1">
        <v>68793476</v>
      </c>
      <c r="Y725" s="1">
        <v>100</v>
      </c>
      <c r="Z725" s="1">
        <v>68793476</v>
      </c>
      <c r="AA725" s="1">
        <v>100</v>
      </c>
      <c r="AB725" s="1">
        <v>0.88</v>
      </c>
      <c r="AC725" s="1">
        <v>0</v>
      </c>
    </row>
    <row r="726" spans="1:29" x14ac:dyDescent="0.3">
      <c r="A726">
        <v>2022</v>
      </c>
      <c r="B726">
        <v>100</v>
      </c>
      <c r="C726" t="str">
        <f>"22"</f>
        <v>22</v>
      </c>
      <c r="D726" t="s">
        <v>936</v>
      </c>
      <c r="E726" t="str">
        <f t="shared" si="100"/>
        <v>22 DISTRISEGURIDAD</v>
      </c>
      <c r="F726" s="2">
        <v>2021130010279</v>
      </c>
      <c r="G726" s="2" t="str">
        <f>+VLOOKUP(F726,Hoja2!$F:$I,2,FALSE)</f>
        <v>10. PILAR: CARTAGENA TRANSPARENTE</v>
      </c>
      <c r="H726" s="2" t="str">
        <f>+VLOOKUP(F726,Hoja2!$F:$I,3,FALSE)</f>
        <v>10.3 LÍNEA ESTRATÉGICA: CONVIVENCIA Y SEGURIDAD PARA LA GOBERNABILIDAD</v>
      </c>
      <c r="I726" s="2" t="str">
        <f>+VLOOKUP(F726,Hoja2!$F:$I,4,FALSE)</f>
        <v>10.3.10 PROGRAMA: VIGILANCIA DE LAS PLAYAS DEL DISTRITO DE CARTAGENA</v>
      </c>
      <c r="J726" t="s">
        <v>942</v>
      </c>
      <c r="K726" t="str">
        <f>"832"</f>
        <v>832</v>
      </c>
      <c r="L726" t="s">
        <v>948</v>
      </c>
      <c r="M726" t="s">
        <v>26</v>
      </c>
      <c r="N726" t="s">
        <v>27</v>
      </c>
      <c r="O726" t="s">
        <v>944</v>
      </c>
      <c r="P726" t="str">
        <f t="shared" si="101"/>
        <v>2021130010279 IMPLEMENTACION DEL PROGRAMA VIGILANCIA DE LAS PLAYAS DEL DISTRITO DE CARTAGENA DE INDIAS</v>
      </c>
      <c r="Q726" t="str">
        <f t="shared" si="98"/>
        <v>06</v>
      </c>
      <c r="R726" t="str">
        <f t="shared" si="99"/>
        <v>00</v>
      </c>
      <c r="S726" s="1">
        <v>0</v>
      </c>
      <c r="T726" s="1">
        <v>283745623</v>
      </c>
      <c r="U726" s="1">
        <v>283745623</v>
      </c>
      <c r="V726" s="1">
        <v>283745623</v>
      </c>
      <c r="W726" s="1">
        <v>0</v>
      </c>
      <c r="X726" s="1">
        <v>283745623</v>
      </c>
      <c r="Y726" s="1">
        <v>100</v>
      </c>
      <c r="Z726" s="1">
        <v>283745623</v>
      </c>
      <c r="AA726" s="1">
        <v>100</v>
      </c>
      <c r="AB726" s="1">
        <v>0</v>
      </c>
      <c r="AC726" s="1">
        <v>283745623</v>
      </c>
    </row>
    <row r="727" spans="1:29" x14ac:dyDescent="0.3">
      <c r="A727">
        <v>2022</v>
      </c>
      <c r="B727">
        <v>100</v>
      </c>
      <c r="C727" t="str">
        <f>"22"</f>
        <v>22</v>
      </c>
      <c r="D727" t="s">
        <v>936</v>
      </c>
      <c r="E727" t="str">
        <f t="shared" si="100"/>
        <v>22 DISTRISEGURIDAD</v>
      </c>
      <c r="F727" s="2">
        <v>2021130010279</v>
      </c>
      <c r="G727" s="2" t="str">
        <f>+VLOOKUP(F727,Hoja2!$F:$I,2,FALSE)</f>
        <v>10. PILAR: CARTAGENA TRANSPARENTE</v>
      </c>
      <c r="H727" s="2" t="str">
        <f>+VLOOKUP(F727,Hoja2!$F:$I,3,FALSE)</f>
        <v>10.3 LÍNEA ESTRATÉGICA: CONVIVENCIA Y SEGURIDAD PARA LA GOBERNABILIDAD</v>
      </c>
      <c r="I727" s="2" t="str">
        <f>+VLOOKUP(F727,Hoja2!$F:$I,4,FALSE)</f>
        <v>10.3.10 PROGRAMA: VIGILANCIA DE LAS PLAYAS DEL DISTRITO DE CARTAGENA</v>
      </c>
      <c r="J727" t="s">
        <v>942</v>
      </c>
      <c r="K727" t="str">
        <f>"076"</f>
        <v>076</v>
      </c>
      <c r="L727" t="s">
        <v>953</v>
      </c>
      <c r="M727" t="s">
        <v>26</v>
      </c>
      <c r="N727" t="s">
        <v>27</v>
      </c>
      <c r="O727" t="s">
        <v>954</v>
      </c>
      <c r="P727" t="str">
        <f t="shared" si="101"/>
        <v>2021130010279 IMPLEMENTACION DEL PROGRAMA VIGILANCIA DE LAS PLAYAS DEL DISTRITO DE  CARTAGENA DE INDIAS</v>
      </c>
      <c r="Q727" t="str">
        <f t="shared" si="98"/>
        <v>06</v>
      </c>
      <c r="R727" t="str">
        <f t="shared" si="99"/>
        <v>00</v>
      </c>
      <c r="S727" s="1">
        <v>1444666499</v>
      </c>
      <c r="T727" s="1">
        <v>0</v>
      </c>
      <c r="U727" s="1">
        <v>1444666499</v>
      </c>
      <c r="V727" s="1">
        <v>0</v>
      </c>
      <c r="W727" s="1">
        <v>1444666499</v>
      </c>
      <c r="X727" s="1">
        <v>0</v>
      </c>
      <c r="Y727" s="1">
        <v>0</v>
      </c>
      <c r="Z727" s="1">
        <v>0</v>
      </c>
      <c r="AA727" s="1">
        <v>0</v>
      </c>
      <c r="AB727" s="1">
        <v>1444666499</v>
      </c>
      <c r="AC727" s="1">
        <v>0</v>
      </c>
    </row>
    <row r="728" spans="1:29" x14ac:dyDescent="0.3">
      <c r="A728">
        <v>2022</v>
      </c>
      <c r="B728">
        <v>100</v>
      </c>
      <c r="C728" t="str">
        <f t="shared" ref="C728:C733" si="103">"03"</f>
        <v>03</v>
      </c>
      <c r="D728" t="s">
        <v>164</v>
      </c>
      <c r="E728" t="str">
        <f t="shared" si="100"/>
        <v>03 SECRETARIA DE HACIENDA PUBLICA</v>
      </c>
      <c r="F728" s="2">
        <v>2021130010280</v>
      </c>
      <c r="G728" s="2" t="str">
        <f>+VLOOKUP(F728,Hoja2!$F:$I,2,FALSE)</f>
        <v>09. PILAR CARTAGENA CONTINGENTE</v>
      </c>
      <c r="H728" s="2" t="str">
        <f>+VLOOKUP(F728,Hoja2!$F:$I,3,FALSE)</f>
        <v>9.1 LÍNEA ESTRATÉGICA: DESARROLLO ECONÓMICO Y EMPLEABILIDAD</v>
      </c>
      <c r="I728" s="2" t="str">
        <f>+VLOOKUP(F728,Hoja2!$F:$I,4,FALSE)</f>
        <v>9.1.3 PROGRAMA: "EMPLEO INCLUSIVO PARA LOS JÓVENES”</v>
      </c>
      <c r="J728" t="s">
        <v>177</v>
      </c>
      <c r="K728" t="str">
        <f>"813"</f>
        <v>813</v>
      </c>
      <c r="L728" t="s">
        <v>169</v>
      </c>
      <c r="M728" t="s">
        <v>26</v>
      </c>
      <c r="N728" t="s">
        <v>27</v>
      </c>
      <c r="O728" t="s">
        <v>178</v>
      </c>
      <c r="P728" t="str">
        <f t="shared" si="101"/>
        <v>2021130010280 IDENTIFICACION Y CREACION DE INICIATIVAS PRODUCTIVAS ADAPTADAS A LAS CONDICIONES DE CRISIS SANITARIAS SOCIALES Y AMBIENTALES EN POBLACION JOVEN DEL DISTRITO DE CARTAGENA DE INDIAS</v>
      </c>
      <c r="Q728" t="str">
        <f t="shared" si="98"/>
        <v>06</v>
      </c>
      <c r="R728" t="str">
        <f t="shared" si="99"/>
        <v>00</v>
      </c>
      <c r="S728" s="1">
        <v>0</v>
      </c>
      <c r="T728" s="1">
        <v>300000000</v>
      </c>
      <c r="U728" s="1">
        <v>300000000</v>
      </c>
      <c r="V728" s="1">
        <v>300000000</v>
      </c>
      <c r="W728" s="1">
        <v>0</v>
      </c>
      <c r="X728" s="1">
        <v>0</v>
      </c>
      <c r="Y728" s="1">
        <v>0</v>
      </c>
      <c r="Z728" s="1">
        <v>0</v>
      </c>
      <c r="AA728" s="1">
        <v>0</v>
      </c>
      <c r="AB728" s="1">
        <v>300000000</v>
      </c>
      <c r="AC728" s="1">
        <v>0</v>
      </c>
    </row>
    <row r="729" spans="1:29" x14ac:dyDescent="0.3">
      <c r="A729">
        <v>2022</v>
      </c>
      <c r="B729">
        <v>100</v>
      </c>
      <c r="C729" t="str">
        <f t="shared" si="103"/>
        <v>03</v>
      </c>
      <c r="D729" t="s">
        <v>164</v>
      </c>
      <c r="E729" t="str">
        <f t="shared" si="100"/>
        <v>03 SECRETARIA DE HACIENDA PUBLICA</v>
      </c>
      <c r="F729" s="2">
        <v>2021130010280</v>
      </c>
      <c r="G729" s="2" t="str">
        <f>+VLOOKUP(F729,Hoja2!$F:$I,2,FALSE)</f>
        <v>09. PILAR CARTAGENA CONTINGENTE</v>
      </c>
      <c r="H729" s="2" t="str">
        <f>+VLOOKUP(F729,Hoja2!$F:$I,3,FALSE)</f>
        <v>9.1 LÍNEA ESTRATÉGICA: DESARROLLO ECONÓMICO Y EMPLEABILIDAD</v>
      </c>
      <c r="I729" s="2" t="str">
        <f>+VLOOKUP(F729,Hoja2!$F:$I,4,FALSE)</f>
        <v>9.1.3 PROGRAMA: "EMPLEO INCLUSIVO PARA LOS JÓVENES”</v>
      </c>
      <c r="J729" t="s">
        <v>177</v>
      </c>
      <c r="K729" t="str">
        <f>"001"</f>
        <v>001</v>
      </c>
      <c r="L729" t="s">
        <v>25</v>
      </c>
      <c r="M729" t="s">
        <v>26</v>
      </c>
      <c r="N729" t="s">
        <v>27</v>
      </c>
      <c r="O729" t="s">
        <v>178</v>
      </c>
      <c r="P729" t="str">
        <f t="shared" si="101"/>
        <v>2021130010280 IDENTIFICACION Y CREACION DE INICIATIVAS PRODUCTIVAS ADAPTADAS A LAS CONDICIONES DE CRISIS SANITARIAS SOCIALES Y AMBIENTALES EN POBLACION JOVEN DEL DISTRITO DE CARTAGENA DE INDIAS</v>
      </c>
      <c r="Q729" t="str">
        <f t="shared" si="98"/>
        <v>06</v>
      </c>
      <c r="R729" t="str">
        <f t="shared" si="99"/>
        <v>00</v>
      </c>
      <c r="S729" s="1">
        <v>102872690</v>
      </c>
      <c r="T729" s="1">
        <v>0</v>
      </c>
      <c r="U729" s="1">
        <v>102872690</v>
      </c>
      <c r="V729" s="1">
        <v>102872690</v>
      </c>
      <c r="W729" s="1">
        <v>0</v>
      </c>
      <c r="X729" s="1">
        <v>0</v>
      </c>
      <c r="Y729" s="1">
        <v>0</v>
      </c>
      <c r="Z729" s="1">
        <v>0</v>
      </c>
      <c r="AA729" s="1">
        <v>0</v>
      </c>
      <c r="AB729" s="1">
        <v>102872690</v>
      </c>
      <c r="AC729" s="1">
        <v>0</v>
      </c>
    </row>
    <row r="730" spans="1:29" x14ac:dyDescent="0.3">
      <c r="A730">
        <v>2022</v>
      </c>
      <c r="B730">
        <v>100</v>
      </c>
      <c r="C730" t="str">
        <f t="shared" si="103"/>
        <v>03</v>
      </c>
      <c r="D730" t="s">
        <v>164</v>
      </c>
      <c r="E730" t="str">
        <f t="shared" si="100"/>
        <v>03 SECRETARIA DE HACIENDA PUBLICA</v>
      </c>
      <c r="F730" s="2">
        <v>2021130010281</v>
      </c>
      <c r="G730" s="2" t="str">
        <f>+VLOOKUP(F730,Hoja2!$F:$I,2,FALSE)</f>
        <v>11. EJE TRANSVERSAL: CARTAGENA CON ATENCION Y GARANTIA DE DERECHOS A POBLACION DIFERENCIAL.</v>
      </c>
      <c r="H730" s="2" t="str">
        <f>+VLOOKUP(F730,Hoja2!$F:$I,3,FALSE)</f>
        <v>11.1 LÍNEA ESTRATÉGICA PARA LA EQUIDAD E INCLUSIÓN DE LOS NEGROS, AFROS, PALENQUEROS E INDÍGENA.</v>
      </c>
      <c r="I730" s="2" t="str">
        <f>+VLOOKUP(F730,Hoja2!$F:$I,4,FALSE)</f>
        <v>11.1.7 PROGRAMA: FORTALECIMIENTO DE LA POBLACIÓN INDÍGENA EN EL DISTRITO DE CARTAGENA.</v>
      </c>
      <c r="J730" t="s">
        <v>181</v>
      </c>
      <c r="K730" t="str">
        <f>"816"</f>
        <v>816</v>
      </c>
      <c r="L730" t="s">
        <v>116</v>
      </c>
      <c r="M730" t="s">
        <v>26</v>
      </c>
      <c r="N730" t="s">
        <v>27</v>
      </c>
      <c r="O730" t="s">
        <v>182</v>
      </c>
      <c r="P730" t="str">
        <f t="shared" si="101"/>
        <v>2021130010281 FORTALECIMIENTO DE LAS ESTRATEGIAS PARA LA GENERACION DE INGRESOS DE LA POBLACION INDIGENA EN EL DISTRITO DE CARTAGENA,</v>
      </c>
      <c r="Q730" t="str">
        <f t="shared" si="98"/>
        <v>06</v>
      </c>
      <c r="R730" t="str">
        <f t="shared" si="99"/>
        <v>00</v>
      </c>
      <c r="S730" s="1">
        <v>0</v>
      </c>
      <c r="T730" s="1">
        <v>200000000</v>
      </c>
      <c r="U730" s="1">
        <v>200000000</v>
      </c>
      <c r="V730" s="1">
        <v>95000000</v>
      </c>
      <c r="W730" s="1">
        <v>105000000</v>
      </c>
      <c r="X730" s="1">
        <v>86450000</v>
      </c>
      <c r="Y730" s="1">
        <v>43.23</v>
      </c>
      <c r="Z730" s="1">
        <v>43225000</v>
      </c>
      <c r="AA730" s="1">
        <v>21.61</v>
      </c>
      <c r="AB730" s="1">
        <v>113550000</v>
      </c>
      <c r="AC730" s="1">
        <v>0</v>
      </c>
    </row>
    <row r="731" spans="1:29" x14ac:dyDescent="0.3">
      <c r="A731">
        <v>2022</v>
      </c>
      <c r="B731">
        <v>100</v>
      </c>
      <c r="C731" t="str">
        <f t="shared" si="103"/>
        <v>03</v>
      </c>
      <c r="D731" t="s">
        <v>164</v>
      </c>
      <c r="E731" t="str">
        <f t="shared" si="100"/>
        <v>03 SECRETARIA DE HACIENDA PUBLICA</v>
      </c>
      <c r="F731" s="2">
        <v>2021130010281</v>
      </c>
      <c r="G731" s="2" t="str">
        <f>+VLOOKUP(F731,Hoja2!$F:$I,2,FALSE)</f>
        <v>11. EJE TRANSVERSAL: CARTAGENA CON ATENCION Y GARANTIA DE DERECHOS A POBLACION DIFERENCIAL.</v>
      </c>
      <c r="H731" s="2" t="str">
        <f>+VLOOKUP(F731,Hoja2!$F:$I,3,FALSE)</f>
        <v>11.1 LÍNEA ESTRATÉGICA PARA LA EQUIDAD E INCLUSIÓN DE LOS NEGROS, AFROS, PALENQUEROS E INDÍGENA.</v>
      </c>
      <c r="I731" s="2" t="str">
        <f>+VLOOKUP(F731,Hoja2!$F:$I,4,FALSE)</f>
        <v>11.1.7 PROGRAMA: FORTALECIMIENTO DE LA POBLACIÓN INDÍGENA EN EL DISTRITO DE CARTAGENA.</v>
      </c>
      <c r="J731" t="s">
        <v>181</v>
      </c>
      <c r="K731" t="str">
        <f>"001"</f>
        <v>001</v>
      </c>
      <c r="L731" t="s">
        <v>25</v>
      </c>
      <c r="M731" t="s">
        <v>26</v>
      </c>
      <c r="N731" t="s">
        <v>27</v>
      </c>
      <c r="O731" t="s">
        <v>182</v>
      </c>
      <c r="P731" t="str">
        <f t="shared" si="101"/>
        <v>2021130010281 FORTALECIMIENTO DE LAS ESTRATEGIAS PARA LA GENERACION DE INGRESOS DE LA POBLACION INDIGENA EN EL DISTRITO DE CARTAGENA,</v>
      </c>
      <c r="Q731" t="str">
        <f t="shared" si="98"/>
        <v>06</v>
      </c>
      <c r="R731" t="str">
        <f t="shared" si="99"/>
        <v>00</v>
      </c>
      <c r="S731" s="1">
        <v>100000000</v>
      </c>
      <c r="T731" s="1">
        <v>0</v>
      </c>
      <c r="U731" s="1">
        <v>100000000</v>
      </c>
      <c r="V731" s="1">
        <v>57647120</v>
      </c>
      <c r="W731" s="1">
        <v>42352880</v>
      </c>
      <c r="X731" s="1">
        <v>41447120</v>
      </c>
      <c r="Y731" s="1">
        <v>41.45</v>
      </c>
      <c r="Z731" s="1">
        <v>41447120</v>
      </c>
      <c r="AA731" s="1">
        <v>41.45</v>
      </c>
      <c r="AB731" s="1">
        <v>58552880</v>
      </c>
      <c r="AC731" s="1">
        <v>41447120</v>
      </c>
    </row>
    <row r="732" spans="1:29" x14ac:dyDescent="0.3">
      <c r="A732">
        <v>2022</v>
      </c>
      <c r="B732">
        <v>100</v>
      </c>
      <c r="C732" t="str">
        <f t="shared" si="103"/>
        <v>03</v>
      </c>
      <c r="D732" t="s">
        <v>164</v>
      </c>
      <c r="E732" t="str">
        <f t="shared" si="100"/>
        <v>03 SECRETARIA DE HACIENDA PUBLICA</v>
      </c>
      <c r="F732" s="2">
        <v>2021130010282</v>
      </c>
      <c r="G732" s="2" t="str">
        <f>+VLOOKUP(F732,Hoja2!$F:$I,2,FALSE)</f>
        <v>11. EJE TRANSVERSAL: CARTAGENA CON ATENCION Y GARANTIA DE DERECHOS A POBLACION DIFERENCIAL.</v>
      </c>
      <c r="H732" s="2" t="str">
        <f>+VLOOKUP(F732,Hoja2!$F:$I,3,FALSE)</f>
        <v>11.1 LÍNEA ESTRATÉGICA PARA LA EQUIDAD E INCLUSIÓN DE LOS NEGROS, AFROS, PALENQUEROS E INDÍGENA.</v>
      </c>
      <c r="I732" s="2" t="str">
        <f>+VLOOKUP(F732,Hoja2!$F:$I,4,FALSE)</f>
        <v>11.1.2 FORTALECIMIENTO E INCLUSIÓN PRODUCTIVA PARA POBLACIÓN NEGRA, AFROCOLOMBIANA, RAIZAL Y PALENQUERA EN EL DISTRITO DE CARTAGENA</v>
      </c>
      <c r="J732" t="s">
        <v>183</v>
      </c>
      <c r="K732" t="str">
        <f>"816"</f>
        <v>816</v>
      </c>
      <c r="L732" t="s">
        <v>116</v>
      </c>
      <c r="M732" t="s">
        <v>26</v>
      </c>
      <c r="N732" t="s">
        <v>27</v>
      </c>
      <c r="O732" t="s">
        <v>184</v>
      </c>
      <c r="P732" t="str">
        <f t="shared" si="101"/>
        <v xml:space="preserve">2021130010282 FORTALECIMIENTO DE LAS ESTRATEGIAS DE INCLUSION PRODUCTIVA PARA POBLACION NEGRA, AFROCOLOMBIANA, RAIZAL Y PALENQUERA EN EL DISTRITO DE CARTAGENA </v>
      </c>
      <c r="Q732" t="str">
        <f t="shared" si="98"/>
        <v>06</v>
      </c>
      <c r="R732" t="str">
        <f t="shared" si="99"/>
        <v>00</v>
      </c>
      <c r="S732" s="1">
        <v>0</v>
      </c>
      <c r="T732" s="1">
        <v>300000000</v>
      </c>
      <c r="U732" s="1">
        <v>300000000</v>
      </c>
      <c r="V732" s="1">
        <v>9000000</v>
      </c>
      <c r="W732" s="1">
        <v>291000000</v>
      </c>
      <c r="X732" s="1">
        <v>0</v>
      </c>
      <c r="Y732" s="1">
        <v>0</v>
      </c>
      <c r="Z732" s="1">
        <v>0</v>
      </c>
      <c r="AA732" s="1">
        <v>0</v>
      </c>
      <c r="AB732" s="1">
        <v>300000000</v>
      </c>
      <c r="AC732" s="1">
        <v>0</v>
      </c>
    </row>
    <row r="733" spans="1:29" x14ac:dyDescent="0.3">
      <c r="A733">
        <v>2022</v>
      </c>
      <c r="B733">
        <v>100</v>
      </c>
      <c r="C733" t="str">
        <f t="shared" si="103"/>
        <v>03</v>
      </c>
      <c r="D733" t="s">
        <v>164</v>
      </c>
      <c r="E733" t="str">
        <f t="shared" si="100"/>
        <v>03 SECRETARIA DE HACIENDA PUBLICA</v>
      </c>
      <c r="F733" s="2">
        <v>2021130010282</v>
      </c>
      <c r="G733" s="2" t="str">
        <f>+VLOOKUP(F733,Hoja2!$F:$I,2,FALSE)</f>
        <v>11. EJE TRANSVERSAL: CARTAGENA CON ATENCION Y GARANTIA DE DERECHOS A POBLACION DIFERENCIAL.</v>
      </c>
      <c r="H733" s="2" t="str">
        <f>+VLOOKUP(F733,Hoja2!$F:$I,3,FALSE)</f>
        <v>11.1 LÍNEA ESTRATÉGICA PARA LA EQUIDAD E INCLUSIÓN DE LOS NEGROS, AFROS, PALENQUEROS E INDÍGENA.</v>
      </c>
      <c r="I733" s="2" t="str">
        <f>+VLOOKUP(F733,Hoja2!$F:$I,4,FALSE)</f>
        <v>11.1.2 FORTALECIMIENTO E INCLUSIÓN PRODUCTIVA PARA POBLACIÓN NEGRA, AFROCOLOMBIANA, RAIZAL Y PALENQUERA EN EL DISTRITO DE CARTAGENA</v>
      </c>
      <c r="J733" t="s">
        <v>183</v>
      </c>
      <c r="K733" t="str">
        <f>"001"</f>
        <v>001</v>
      </c>
      <c r="L733" t="s">
        <v>25</v>
      </c>
      <c r="M733" t="s">
        <v>26</v>
      </c>
      <c r="N733" t="s">
        <v>27</v>
      </c>
      <c r="O733" t="s">
        <v>184</v>
      </c>
      <c r="P733" t="str">
        <f t="shared" si="101"/>
        <v xml:space="preserve">2021130010282 FORTALECIMIENTO DE LAS ESTRATEGIAS DE INCLUSION PRODUCTIVA PARA POBLACION NEGRA, AFROCOLOMBIANA, RAIZAL Y PALENQUERA EN EL DISTRITO DE CARTAGENA </v>
      </c>
      <c r="Q733" t="str">
        <f t="shared" si="98"/>
        <v>06</v>
      </c>
      <c r="R733" t="str">
        <f t="shared" si="99"/>
        <v>00</v>
      </c>
      <c r="S733" s="1">
        <v>400000000</v>
      </c>
      <c r="T733" s="1">
        <v>0</v>
      </c>
      <c r="U733" s="1">
        <v>400000000</v>
      </c>
      <c r="V733" s="1">
        <v>400000000</v>
      </c>
      <c r="W733" s="1">
        <v>0</v>
      </c>
      <c r="X733" s="1">
        <v>0</v>
      </c>
      <c r="Y733" s="1">
        <v>0</v>
      </c>
      <c r="Z733" s="1">
        <v>0</v>
      </c>
      <c r="AA733" s="1">
        <v>0</v>
      </c>
      <c r="AB733" s="1">
        <v>400000000</v>
      </c>
      <c r="AC733" s="1">
        <v>0</v>
      </c>
    </row>
    <row r="734" spans="1:29" x14ac:dyDescent="0.3">
      <c r="A734">
        <v>2022</v>
      </c>
      <c r="B734">
        <v>100</v>
      </c>
      <c r="C734" t="str">
        <f>"02"</f>
        <v>02</v>
      </c>
      <c r="D734" t="s">
        <v>106</v>
      </c>
      <c r="E734" t="str">
        <f t="shared" si="100"/>
        <v>02 SECRETARIA DEL INTERIOR Y CONVIVENCIA CIUDADANAL</v>
      </c>
      <c r="F734" s="2">
        <v>2021130010283</v>
      </c>
      <c r="G734" s="2" t="str">
        <f>+VLOOKUP(F734,Hoja2!$F:$I,2,FALSE)</f>
        <v>10. PILAR: CARTAGENA TRANSPARENTE</v>
      </c>
      <c r="H734" s="2" t="str">
        <f>+VLOOKUP(F734,Hoja2!$F:$I,3,FALSE)</f>
        <v>10.3 LÍNEA ESTRATÉGICA: CONVIVENCIA Y SEGURIDAD PARA LA GOBERNABILIDAD</v>
      </c>
      <c r="I734" s="2" t="str">
        <f>+VLOOKUP(F734,Hoja2!$F:$I,4,FALSE)</f>
        <v>10.3.1 PLAN INTEGRAL DE SEGURIDAD Y CONVIVENCIA CIUDADANA</v>
      </c>
      <c r="J734" t="s">
        <v>132</v>
      </c>
      <c r="K734" t="str">
        <f>"856"</f>
        <v>856</v>
      </c>
      <c r="L734" t="s">
        <v>126</v>
      </c>
      <c r="M734" t="s">
        <v>26</v>
      </c>
      <c r="N734" t="s">
        <v>27</v>
      </c>
      <c r="O734" t="s">
        <v>133</v>
      </c>
      <c r="P734" t="str">
        <f t="shared" si="101"/>
        <v>2021130010283 FORTALECIMIENTO DE LAS CAPACIDADES TECNOLOGICAS Y OPERATIVAS DE LA UNIDAD ADMINISTRATIVA ESPECIAL MIGRACION COLOMBIA EN EL DISTRITO DE   CARTAGENA DE INDIAS</v>
      </c>
      <c r="Q734" t="str">
        <f t="shared" si="98"/>
        <v>06</v>
      </c>
      <c r="R734" t="str">
        <f t="shared" si="99"/>
        <v>00</v>
      </c>
      <c r="S734" s="1">
        <v>0</v>
      </c>
      <c r="T734" s="1">
        <v>1021123073.04</v>
      </c>
      <c r="U734" s="1">
        <v>1021123073.04</v>
      </c>
      <c r="V734" s="1">
        <v>960989437.38</v>
      </c>
      <c r="W734" s="1">
        <v>60133635.659999996</v>
      </c>
      <c r="X734" s="1">
        <v>706014392.38999999</v>
      </c>
      <c r="Y734" s="1">
        <v>69.14</v>
      </c>
      <c r="Z734" s="1">
        <v>605642783.30999994</v>
      </c>
      <c r="AA734" s="1">
        <v>59.31</v>
      </c>
      <c r="AB734" s="1">
        <v>315108680.64999998</v>
      </c>
      <c r="AC734" s="1">
        <v>1424653.06</v>
      </c>
    </row>
    <row r="735" spans="1:29" x14ac:dyDescent="0.3">
      <c r="A735">
        <v>2022</v>
      </c>
      <c r="B735">
        <v>100</v>
      </c>
      <c r="C735" t="str">
        <f>"02"</f>
        <v>02</v>
      </c>
      <c r="D735" t="s">
        <v>106</v>
      </c>
      <c r="E735" t="str">
        <f t="shared" si="100"/>
        <v>02 SECRETARIA DEL INTERIOR Y CONVIVENCIA CIUDADANAL</v>
      </c>
      <c r="F735" s="2">
        <v>2021130010283</v>
      </c>
      <c r="G735" s="2" t="str">
        <f>+VLOOKUP(F735,Hoja2!$F:$I,2,FALSE)</f>
        <v>10. PILAR: CARTAGENA TRANSPARENTE</v>
      </c>
      <c r="H735" s="2" t="str">
        <f>+VLOOKUP(F735,Hoja2!$F:$I,3,FALSE)</f>
        <v>10.3 LÍNEA ESTRATÉGICA: CONVIVENCIA Y SEGURIDAD PARA LA GOBERNABILIDAD</v>
      </c>
      <c r="I735" s="2" t="str">
        <f>+VLOOKUP(F735,Hoja2!$F:$I,4,FALSE)</f>
        <v>10.3.1 PLAN INTEGRAL DE SEGURIDAD Y CONVIVENCIA CIUDADANA</v>
      </c>
      <c r="J735" t="s">
        <v>132</v>
      </c>
      <c r="K735" t="str">
        <f>"040"</f>
        <v>040</v>
      </c>
      <c r="L735" t="s">
        <v>148</v>
      </c>
      <c r="M735" t="s">
        <v>26</v>
      </c>
      <c r="N735" t="s">
        <v>27</v>
      </c>
      <c r="O735" t="s">
        <v>133</v>
      </c>
      <c r="P735" t="str">
        <f t="shared" si="101"/>
        <v>2021130010283 FORTALECIMIENTO DE LAS CAPACIDADES TECNOLOGICAS Y OPERATIVAS DE LA UNIDAD ADMINISTRATIVA ESPECIAL MIGRACION COLOMBIA EN EL DISTRITO DE   CARTAGENA DE INDIAS</v>
      </c>
      <c r="Q735" t="str">
        <f t="shared" si="98"/>
        <v>06</v>
      </c>
      <c r="R735" t="str">
        <f t="shared" si="99"/>
        <v>00</v>
      </c>
      <c r="S735" s="1">
        <v>1021476709</v>
      </c>
      <c r="T735" s="1">
        <v>0</v>
      </c>
      <c r="U735" s="1">
        <v>1021476709</v>
      </c>
      <c r="V735" s="1">
        <v>0</v>
      </c>
      <c r="W735" s="1">
        <v>1021476709</v>
      </c>
      <c r="X735" s="1">
        <v>0</v>
      </c>
      <c r="Y735" s="1">
        <v>0</v>
      </c>
      <c r="Z735" s="1">
        <v>0</v>
      </c>
      <c r="AA735" s="1">
        <v>0</v>
      </c>
      <c r="AB735" s="1">
        <v>1021476709</v>
      </c>
      <c r="AC735" s="1">
        <v>0</v>
      </c>
    </row>
    <row r="736" spans="1:29" x14ac:dyDescent="0.3">
      <c r="A736">
        <v>2022</v>
      </c>
      <c r="B736">
        <v>100</v>
      </c>
      <c r="C736" t="str">
        <f t="shared" ref="C736:C745" si="104">"05"</f>
        <v>05</v>
      </c>
      <c r="D736" t="s">
        <v>292</v>
      </c>
      <c r="E736" t="str">
        <f t="shared" si="100"/>
        <v>05 SECRETARIA GENERAL</v>
      </c>
      <c r="F736" s="2">
        <v>2021130010284</v>
      </c>
      <c r="G736" s="2" t="str">
        <f>+VLOOKUP(F736,Hoja2!$F:$I,2,FALSE)</f>
        <v>10. PILAR: CARTAGENA TRANSPARENTE</v>
      </c>
      <c r="H736" s="2" t="str">
        <f>+VLOOKUP(F736,Hoja2!$F:$I,3,FALSE)</f>
        <v>10.2 LÍNEA ESTRATÉGICA: CARTAGENA INTELIGENTE CON TODOS Y PARA TODOS</v>
      </c>
      <c r="I736" s="2" t="str">
        <f>+VLOOKUP(F736,Hoja2!$F:$I,4,FALSE)</f>
        <v xml:space="preserve">10.2.4 PROGRAMA: ORGANIZACIÓN Y RECUPERACIÓN DEL PATRIMONIO PÚBLICO DE CARTAGENA </v>
      </c>
      <c r="J736" t="s">
        <v>344</v>
      </c>
      <c r="K736" t="str">
        <f t="shared" ref="K736:K742" si="105">"001"</f>
        <v>001</v>
      </c>
      <c r="L736" t="s">
        <v>25</v>
      </c>
      <c r="M736" t="s">
        <v>26</v>
      </c>
      <c r="N736" t="s">
        <v>27</v>
      </c>
      <c r="O736" t="s">
        <v>345</v>
      </c>
      <c r="P736" t="str">
        <f t="shared" si="101"/>
        <v>2021130010284 INVENTARIO ?SANEAMIENTO INTEGRAL DEL PATRIMONIO INMOBILIARIO DEL DISTRITO DE CARTAGENA?, CARTAGENA DE INDIAS</v>
      </c>
      <c r="Q736" t="str">
        <f t="shared" si="98"/>
        <v>06</v>
      </c>
      <c r="R736" t="str">
        <f t="shared" si="99"/>
        <v>00</v>
      </c>
      <c r="S736" s="1">
        <v>300000000</v>
      </c>
      <c r="T736" s="1">
        <v>0</v>
      </c>
      <c r="U736" s="1">
        <v>300000000</v>
      </c>
      <c r="V736" s="1">
        <v>259394131</v>
      </c>
      <c r="W736" s="1">
        <v>40605869</v>
      </c>
      <c r="X736" s="1">
        <v>232153638.00999999</v>
      </c>
      <c r="Y736" s="1">
        <v>77.38</v>
      </c>
      <c r="Z736" s="1">
        <v>232153638.00999999</v>
      </c>
      <c r="AA736" s="1">
        <v>77.38</v>
      </c>
      <c r="AB736" s="1">
        <v>67846361.989999995</v>
      </c>
      <c r="AC736" s="1">
        <v>214716971.34</v>
      </c>
    </row>
    <row r="737" spans="1:29" x14ac:dyDescent="0.3">
      <c r="A737">
        <v>2022</v>
      </c>
      <c r="B737">
        <v>100</v>
      </c>
      <c r="C737" t="str">
        <f t="shared" si="104"/>
        <v>05</v>
      </c>
      <c r="D737" t="s">
        <v>292</v>
      </c>
      <c r="E737" t="str">
        <f t="shared" si="100"/>
        <v>05 SECRETARIA GENERAL</v>
      </c>
      <c r="F737" s="2">
        <v>2021130010285</v>
      </c>
      <c r="G737" s="2" t="str">
        <f>+VLOOKUP(F737,Hoja2!$F:$I,2,FALSE)</f>
        <v>10. PILAR: CARTAGENA TRANSPARENTE</v>
      </c>
      <c r="H737" s="2" t="str">
        <f>+VLOOKUP(F737,Hoja2!$F:$I,3,FALSE)</f>
        <v>10.1 LÍNEA ESTRATÉGICA GESTIÓN Y DESEMPEÑO INSTITUCIONAL PARA LA GOBERNANZA</v>
      </c>
      <c r="I737" s="2" t="str">
        <f>+VLOOKUP(F737,Hoja2!$F:$I,4,FALSE)</f>
        <v>10.1.2 PROGRAMA: TRANSPARENCIA PARA EL FORTALECIMIENTO DE LA CONFIANZA EN LAS INSTITUCIONES DEL DISTRITO DE CARTAGENA.</v>
      </c>
      <c r="J737" t="s">
        <v>329</v>
      </c>
      <c r="K737" t="str">
        <f t="shared" si="105"/>
        <v>001</v>
      </c>
      <c r="L737" t="s">
        <v>25</v>
      </c>
      <c r="M737" t="s">
        <v>26</v>
      </c>
      <c r="N737" t="s">
        <v>27</v>
      </c>
      <c r="O737" t="s">
        <v>330</v>
      </c>
      <c r="P737" t="str">
        <f t="shared" si="101"/>
        <v>2021130010285 DISE?O IMPLEMENTACION DE LA ESTRATEGIA DISTRITAL DE TRANSPARENCIA, PREVENCION DE LA CORRUPCION Y CULTURA CIUDADANA ANTICORRUPCION, PARA EL FORTALECIMIENTO DE LA CONFIANZA EN LAS INSTITUCIONES DEL DISTRITO DE CARTAGENA DE INDIAS</v>
      </c>
      <c r="Q737" t="str">
        <f t="shared" si="98"/>
        <v>06</v>
      </c>
      <c r="R737" t="str">
        <f t="shared" si="99"/>
        <v>00</v>
      </c>
      <c r="S737" s="1">
        <v>43092000</v>
      </c>
      <c r="T737" s="1">
        <v>90000000</v>
      </c>
      <c r="U737" s="1">
        <v>133092000</v>
      </c>
      <c r="V737" s="1">
        <v>78000000</v>
      </c>
      <c r="W737" s="1">
        <v>55092000</v>
      </c>
      <c r="X737" s="1">
        <v>72857100</v>
      </c>
      <c r="Y737" s="1">
        <v>54.74</v>
      </c>
      <c r="Z737" s="1">
        <v>72857100</v>
      </c>
      <c r="AA737" s="1">
        <v>54.74</v>
      </c>
      <c r="AB737" s="1">
        <v>60234900</v>
      </c>
      <c r="AC737" s="1">
        <v>43000000</v>
      </c>
    </row>
    <row r="738" spans="1:29" x14ac:dyDescent="0.3">
      <c r="A738">
        <v>2022</v>
      </c>
      <c r="B738">
        <v>100</v>
      </c>
      <c r="C738" t="str">
        <f t="shared" si="104"/>
        <v>05</v>
      </c>
      <c r="D738" t="s">
        <v>292</v>
      </c>
      <c r="E738" t="str">
        <f t="shared" si="100"/>
        <v>05 SECRETARIA GENERAL</v>
      </c>
      <c r="F738" s="2">
        <v>2021130010286</v>
      </c>
      <c r="G738" s="2" t="str">
        <f>+VLOOKUP(F738,Hoja2!$F:$I,2,FALSE)</f>
        <v>10. PILAR: CARTAGENA TRANSPARENTE</v>
      </c>
      <c r="H738" s="2" t="str">
        <f>+VLOOKUP(F738,Hoja2!$F:$I,3,FALSE)</f>
        <v>10.2 LÍNEA ESTRATÉGICA: CARTAGENA INTELIGENTE CON TODOS Y PARA TODOS</v>
      </c>
      <c r="I738" s="2" t="str">
        <f>+VLOOKUP(F738,Hoja2!$F:$I,4,FALSE)</f>
        <v xml:space="preserve">10.2.4 PROGRAMA: ORGANIZACIÓN Y RECUPERACIÓN DEL PATRIMONIO PÚBLICO DE CARTAGENA </v>
      </c>
      <c r="J738" t="s">
        <v>346</v>
      </c>
      <c r="K738" t="str">
        <f t="shared" si="105"/>
        <v>001</v>
      </c>
      <c r="L738" t="s">
        <v>25</v>
      </c>
      <c r="M738" t="s">
        <v>26</v>
      </c>
      <c r="N738" t="s">
        <v>27</v>
      </c>
      <c r="O738" t="s">
        <v>347</v>
      </c>
      <c r="P738" t="str">
        <f t="shared" si="101"/>
        <v>2021130010286 DISE?O IMPLEMENTACION DE AUDITORIA FORENSE PARA LA PROTECCION Y RECUPERACION DEL PATRIMONIO PUBLICO DE CARTAGENA DE INDIAS</v>
      </c>
      <c r="Q738" t="str">
        <f t="shared" si="98"/>
        <v>06</v>
      </c>
      <c r="R738" t="str">
        <f t="shared" si="99"/>
        <v>00</v>
      </c>
      <c r="S738" s="1">
        <v>300000000</v>
      </c>
      <c r="T738" s="1">
        <v>-213600000</v>
      </c>
      <c r="U738" s="1">
        <v>86400000</v>
      </c>
      <c r="V738" s="1">
        <v>0</v>
      </c>
      <c r="W738" s="1">
        <v>86400000</v>
      </c>
      <c r="X738" s="1">
        <v>0</v>
      </c>
      <c r="Y738" s="1">
        <v>0</v>
      </c>
      <c r="Z738" s="1">
        <v>0</v>
      </c>
      <c r="AA738" s="1">
        <v>0</v>
      </c>
      <c r="AB738" s="1">
        <v>86400000</v>
      </c>
      <c r="AC738" s="1">
        <v>0</v>
      </c>
    </row>
    <row r="739" spans="1:29" x14ac:dyDescent="0.3">
      <c r="A739">
        <v>2022</v>
      </c>
      <c r="B739">
        <v>100</v>
      </c>
      <c r="C739" t="str">
        <f t="shared" si="104"/>
        <v>05</v>
      </c>
      <c r="D739" t="s">
        <v>292</v>
      </c>
      <c r="E739" t="str">
        <f t="shared" si="100"/>
        <v>05 SECRETARIA GENERAL</v>
      </c>
      <c r="F739" s="2">
        <v>2021130010287</v>
      </c>
      <c r="G739" s="2" t="str">
        <f>+VLOOKUP(F739,Hoja2!$F:$I,2,FALSE)</f>
        <v>10. PILAR: CARTAGENA TRANSPARENTE</v>
      </c>
      <c r="H739" s="2" t="str">
        <f>+VLOOKUP(F739,Hoja2!$F:$I,3,FALSE)</f>
        <v>10.2 LÍNEA ESTRATÉGICA: CARTAGENA INTELIGENTE CON TODOS Y PARA TODOS</v>
      </c>
      <c r="I739" s="2" t="str">
        <f>+VLOOKUP(F739,Hoja2!$F:$I,4,FALSE)</f>
        <v>10.2.2 PROGRAMA: CARTAGENEROS CONECTADOS Y ALFABETIZADOS</v>
      </c>
      <c r="J739" t="s">
        <v>352</v>
      </c>
      <c r="K739" t="str">
        <f t="shared" si="105"/>
        <v>001</v>
      </c>
      <c r="L739" t="s">
        <v>25</v>
      </c>
      <c r="M739" t="s">
        <v>26</v>
      </c>
      <c r="N739" t="s">
        <v>27</v>
      </c>
      <c r="O739" t="s">
        <v>353</v>
      </c>
      <c r="P739" t="str">
        <f t="shared" si="101"/>
        <v>2021130010287 INSTALACION DE ZONAS WIFI EN LA ALCALDIA DISTRITAL DE CARTAGENA DE INDIAS</v>
      </c>
      <c r="Q739" t="str">
        <f t="shared" si="98"/>
        <v>06</v>
      </c>
      <c r="R739" t="str">
        <f t="shared" si="99"/>
        <v>00</v>
      </c>
      <c r="S739" s="1">
        <v>384615384</v>
      </c>
      <c r="T739" s="1">
        <v>0</v>
      </c>
      <c r="U739" s="1">
        <v>384615384</v>
      </c>
      <c r="V739" s="1">
        <v>384615384</v>
      </c>
      <c r="W739" s="1">
        <v>0</v>
      </c>
      <c r="X739" s="1">
        <v>384147383.75999999</v>
      </c>
      <c r="Y739" s="1">
        <v>99.88</v>
      </c>
      <c r="Z739" s="1">
        <v>266117597</v>
      </c>
      <c r="AA739" s="1">
        <v>69.19</v>
      </c>
      <c r="AB739" s="1">
        <v>468000.24</v>
      </c>
      <c r="AC739" s="1">
        <v>195722484</v>
      </c>
    </row>
    <row r="740" spans="1:29" x14ac:dyDescent="0.3">
      <c r="A740">
        <v>2022</v>
      </c>
      <c r="B740">
        <v>100</v>
      </c>
      <c r="C740" t="str">
        <f t="shared" si="104"/>
        <v>05</v>
      </c>
      <c r="D740" t="s">
        <v>292</v>
      </c>
      <c r="E740" t="str">
        <f t="shared" si="100"/>
        <v>05 SECRETARIA GENERAL</v>
      </c>
      <c r="F740" s="2">
        <v>2021130010288</v>
      </c>
      <c r="G740" s="2" t="str">
        <f>+VLOOKUP(F740,Hoja2!$F:$I,2,FALSE)</f>
        <v>07. PILAR CARTAGENA RESILIENTE</v>
      </c>
      <c r="H740" s="2" t="str">
        <f>+VLOOKUP(F740,Hoja2!$F:$I,3,FALSE)</f>
        <v>7.6 LÍNEA ESTRATÉGICA SERVICIOS PÚBLICOS BÁSICOS DEL DISTRITO DE CARTAGENA DE INDIAS: “TODOS CON TODO”</v>
      </c>
      <c r="I740" s="2" t="str">
        <f>+VLOOKUP(F740,Hoja2!$F:$I,4,FALSE)</f>
        <v>7.6.4 SISTEMA DE INFORMACIÓN DE LOS SERVICIOS PÚBLICOS, “SERVINFO”</v>
      </c>
      <c r="J740" t="s">
        <v>348</v>
      </c>
      <c r="K740" t="str">
        <f t="shared" si="105"/>
        <v>001</v>
      </c>
      <c r="L740" t="s">
        <v>25</v>
      </c>
      <c r="M740" t="s">
        <v>26</v>
      </c>
      <c r="N740" t="s">
        <v>27</v>
      </c>
      <c r="O740" t="s">
        <v>349</v>
      </c>
      <c r="P740" t="str">
        <f t="shared" si="101"/>
        <v>2021130010288 DESARROLLO DE UN SISTEMA DE INFORMACION DE LOS SERVICIOS PUBLICOS DEL DISTRITO CARTAGENA DE INDIAS</v>
      </c>
      <c r="Q740" t="str">
        <f t="shared" si="98"/>
        <v>06</v>
      </c>
      <c r="R740" t="str">
        <f t="shared" si="99"/>
        <v>00</v>
      </c>
      <c r="S740" s="1">
        <v>150000000</v>
      </c>
      <c r="T740" s="1">
        <v>0</v>
      </c>
      <c r="U740" s="1">
        <v>150000000</v>
      </c>
      <c r="V740" s="1">
        <v>149300000</v>
      </c>
      <c r="W740" s="1">
        <v>700000</v>
      </c>
      <c r="X740" s="1">
        <v>140733333</v>
      </c>
      <c r="Y740" s="1">
        <v>93.82</v>
      </c>
      <c r="Z740" s="1">
        <v>129933333</v>
      </c>
      <c r="AA740" s="1">
        <v>86.62</v>
      </c>
      <c r="AB740" s="1">
        <v>9266667</v>
      </c>
      <c r="AC740" s="1">
        <v>54800000</v>
      </c>
    </row>
    <row r="741" spans="1:29" x14ac:dyDescent="0.3">
      <c r="A741">
        <v>2022</v>
      </c>
      <c r="B741">
        <v>100</v>
      </c>
      <c r="C741" t="str">
        <f t="shared" si="104"/>
        <v>05</v>
      </c>
      <c r="D741" t="s">
        <v>292</v>
      </c>
      <c r="E741" t="str">
        <f t="shared" si="100"/>
        <v>05 SECRETARIA GENERAL</v>
      </c>
      <c r="F741" s="2">
        <v>2021130010289</v>
      </c>
      <c r="G741" s="2" t="str">
        <f>+VLOOKUP(F741,Hoja2!$F:$I,2,FALSE)</f>
        <v>09. PILAR CARTAGENA CONTINGENTE</v>
      </c>
      <c r="H741" s="2" t="str">
        <f>+VLOOKUP(F741,Hoja2!$F:$I,3,FALSE)</f>
        <v>9.3 LÍNEA ESTRATÉGICA: TURISMO, MOTOR DE REACTIVACIÓN ECONÓMICA PARA CARTAGENA DE INDIAS</v>
      </c>
      <c r="I741" s="2" t="str">
        <f>+VLOOKUP(F741,Hoja2!$F:$I,4,FALSE)</f>
        <v>9.3.1 PROGRAMA: PROMOCIÓN NACIONAL E INTERNACIONAL DE CARTAGENA DE INDIAS</v>
      </c>
      <c r="J741" t="s">
        <v>350</v>
      </c>
      <c r="K741" t="str">
        <f t="shared" si="105"/>
        <v>001</v>
      </c>
      <c r="L741" t="s">
        <v>25</v>
      </c>
      <c r="M741" t="s">
        <v>26</v>
      </c>
      <c r="N741" t="s">
        <v>27</v>
      </c>
      <c r="O741" t="s">
        <v>351</v>
      </c>
      <c r="P741" t="str">
        <f t="shared" si="101"/>
        <v xml:space="preserve">2021130010289 APOYO PARA LA IMPLEMENTACION DE HAY FESTIVAL CARTAGENA DE INDIAS DIGITAL EN EL DISTRITO DE CARTAGENA DE INDIAS </v>
      </c>
      <c r="Q741" t="str">
        <f t="shared" si="98"/>
        <v>06</v>
      </c>
      <c r="R741" t="str">
        <f t="shared" si="99"/>
        <v>00</v>
      </c>
      <c r="S741" s="1">
        <v>25650000</v>
      </c>
      <c r="T741" s="1">
        <v>-25650000</v>
      </c>
      <c r="U741" s="1">
        <v>0</v>
      </c>
      <c r="V741" s="1">
        <v>0</v>
      </c>
      <c r="W741" s="1">
        <v>0</v>
      </c>
      <c r="X741" s="1">
        <v>0</v>
      </c>
      <c r="Y741" s="1">
        <v>0</v>
      </c>
      <c r="Z741" s="1">
        <v>0</v>
      </c>
      <c r="AA741" s="1">
        <v>0</v>
      </c>
      <c r="AB741" s="1">
        <v>0</v>
      </c>
      <c r="AC741" s="1">
        <v>0</v>
      </c>
    </row>
    <row r="742" spans="1:29" x14ac:dyDescent="0.3">
      <c r="A742">
        <v>2022</v>
      </c>
      <c r="B742">
        <v>100</v>
      </c>
      <c r="C742" t="str">
        <f t="shared" si="104"/>
        <v>05</v>
      </c>
      <c r="D742" t="s">
        <v>292</v>
      </c>
      <c r="E742" t="str">
        <f t="shared" si="100"/>
        <v>05 SECRETARIA GENERAL</v>
      </c>
      <c r="F742" s="2">
        <v>2021130010290</v>
      </c>
      <c r="G742" s="2" t="str">
        <f>+VLOOKUP(F742,Hoja2!$F:$I,2,FALSE)</f>
        <v>09. PILAR CARTAGENA CONTINGENTE</v>
      </c>
      <c r="H742" s="2" t="str">
        <f>+VLOOKUP(F742,Hoja2!$F:$I,3,FALSE)</f>
        <v>9.1 LÍNEA ESTRATÉGICA: DESARROLLO ECONÓMICO Y EMPLEABILIDAD</v>
      </c>
      <c r="I742" s="2" t="str">
        <f>+VLOOKUP(F742,Hoja2!$F:$I,4,FALSE)</f>
        <v xml:space="preserve">9.1.9 PROGRAMA: DESARROLLO DEL ECOSISTEMA DIGITAL BASADO EN LA CUARTA REVOLUCION INDUSTRIAL </v>
      </c>
      <c r="J742" t="s">
        <v>373</v>
      </c>
      <c r="K742" t="str">
        <f t="shared" si="105"/>
        <v>001</v>
      </c>
      <c r="L742" t="s">
        <v>25</v>
      </c>
      <c r="M742" t="s">
        <v>26</v>
      </c>
      <c r="N742" t="s">
        <v>27</v>
      </c>
      <c r="O742" t="s">
        <v>374</v>
      </c>
      <c r="P742" t="str">
        <f t="shared" si="101"/>
        <v xml:space="preserve">2021130010290 DESARROLLO DEL ECOSISTEMA DIGITAL BASADO EN LA CUARTA REVOLUCION INDUSTRIAL CARTAGENA DE INDIAS </v>
      </c>
      <c r="Q742" t="str">
        <f t="shared" si="98"/>
        <v>06</v>
      </c>
      <c r="R742" t="str">
        <f t="shared" si="99"/>
        <v>00</v>
      </c>
      <c r="S742" s="1">
        <v>1</v>
      </c>
      <c r="T742" s="1">
        <v>0</v>
      </c>
      <c r="U742" s="1">
        <v>1</v>
      </c>
      <c r="V742" s="1">
        <v>0</v>
      </c>
      <c r="W742" s="1">
        <v>1</v>
      </c>
      <c r="X742" s="1">
        <v>0</v>
      </c>
      <c r="Y742" s="1">
        <v>0</v>
      </c>
      <c r="Z742" s="1">
        <v>0</v>
      </c>
      <c r="AA742" s="1">
        <v>0</v>
      </c>
      <c r="AB742" s="1">
        <v>1</v>
      </c>
      <c r="AC742" s="1">
        <v>0</v>
      </c>
    </row>
    <row r="743" spans="1:29" x14ac:dyDescent="0.3">
      <c r="A743">
        <v>2022</v>
      </c>
      <c r="B743">
        <v>100</v>
      </c>
      <c r="C743" t="str">
        <f t="shared" si="104"/>
        <v>05</v>
      </c>
      <c r="D743" t="s">
        <v>292</v>
      </c>
      <c r="E743" t="str">
        <f t="shared" si="100"/>
        <v>05 SECRETARIA GENERAL</v>
      </c>
      <c r="F743" s="2">
        <v>2021130010292</v>
      </c>
      <c r="G743" s="2" t="str">
        <f>+VLOOKUP(F743,Hoja2!$F:$I,2,FALSE)</f>
        <v>07. PILAR CARTAGENA RESILIENTE</v>
      </c>
      <c r="H743" s="2" t="str">
        <f>+VLOOKUP(F743,Hoja2!$F:$I,3,FALSE)</f>
        <v>7.6 LÍNEA ESTRATÉGICA SERVICIOS PÚBLICOS BÁSICOS DEL DISTRITO DE CARTAGENA DE INDIAS: “TODOS CON TODO”</v>
      </c>
      <c r="I743" s="2" t="str">
        <f>+VLOOKUP(F743,Hoja2!$F:$I,4,FALSE)</f>
        <v>7.6.1 DE AHORRO Y USO EFICIENTE DE LOS SERVICIOS PÚBLICOS, "AGUA Y SANEAMIENTO BÁSICO PARA TODOS"</v>
      </c>
      <c r="J743" t="s">
        <v>322</v>
      </c>
      <c r="K743" t="str">
        <f>"053"</f>
        <v>053</v>
      </c>
      <c r="L743" t="s">
        <v>91</v>
      </c>
      <c r="M743" t="s">
        <v>26</v>
      </c>
      <c r="N743" t="s">
        <v>27</v>
      </c>
      <c r="O743" t="s">
        <v>323</v>
      </c>
      <c r="P743" t="str">
        <f t="shared" si="101"/>
        <v>2021130010292 DEFINICION E IMPLEMENTACION DEL ESQUEMA DE PRESTACION DE LOS SERVICIOS DE ACUEDUCTO Y ALCANTARILLADO DE LAS COMUNIDADES DE TIERRA BOMBA, ARCHIPIELAGO DE SAN BERNARDO, ISLA FUERTE E ISLA DE BARU,</v>
      </c>
      <c r="Q743" t="str">
        <f t="shared" si="98"/>
        <v>06</v>
      </c>
      <c r="R743" t="str">
        <f t="shared" si="99"/>
        <v>00</v>
      </c>
      <c r="S743" s="1">
        <v>1114827103</v>
      </c>
      <c r="T743" s="1">
        <v>0</v>
      </c>
      <c r="U743" s="1">
        <v>1114827103</v>
      </c>
      <c r="V743" s="1">
        <v>1114827103</v>
      </c>
      <c r="W743" s="1">
        <v>0</v>
      </c>
      <c r="X743" s="1">
        <v>1114827103</v>
      </c>
      <c r="Y743" s="1">
        <v>100</v>
      </c>
      <c r="Z743" s="1">
        <v>1114827103</v>
      </c>
      <c r="AA743" s="1">
        <v>100</v>
      </c>
      <c r="AB743" s="1">
        <v>0</v>
      </c>
      <c r="AC743" s="1">
        <v>1114827103</v>
      </c>
    </row>
    <row r="744" spans="1:29" x14ac:dyDescent="0.3">
      <c r="A744">
        <v>2022</v>
      </c>
      <c r="B744">
        <v>100</v>
      </c>
      <c r="C744" t="str">
        <f t="shared" si="104"/>
        <v>05</v>
      </c>
      <c r="D744" t="s">
        <v>292</v>
      </c>
      <c r="E744" t="str">
        <f t="shared" si="100"/>
        <v>05 SECRETARIA GENERAL</v>
      </c>
      <c r="F744" s="2">
        <v>2021130010292</v>
      </c>
      <c r="G744" s="2" t="str">
        <f>+VLOOKUP(F744,Hoja2!$F:$I,2,FALSE)</f>
        <v>07. PILAR CARTAGENA RESILIENTE</v>
      </c>
      <c r="H744" s="2" t="str">
        <f>+VLOOKUP(F744,Hoja2!$F:$I,3,FALSE)</f>
        <v>7.6 LÍNEA ESTRATÉGICA SERVICIOS PÚBLICOS BÁSICOS DEL DISTRITO DE CARTAGENA DE INDIAS: “TODOS CON TODO”</v>
      </c>
      <c r="I744" s="2" t="str">
        <f>+VLOOKUP(F744,Hoja2!$F:$I,4,FALSE)</f>
        <v>7.6.1 DE AHORRO Y USO EFICIENTE DE LOS SERVICIOS PÚBLICOS, "AGUA Y SANEAMIENTO BÁSICO PARA TODOS"</v>
      </c>
      <c r="J744" t="s">
        <v>322</v>
      </c>
      <c r="K744" t="str">
        <f>"001"</f>
        <v>001</v>
      </c>
      <c r="L744" t="s">
        <v>25</v>
      </c>
      <c r="M744" t="s">
        <v>26</v>
      </c>
      <c r="N744" t="s">
        <v>27</v>
      </c>
      <c r="O744" t="s">
        <v>364</v>
      </c>
      <c r="P744" t="str">
        <f t="shared" si="101"/>
        <v>2021130010292 DEFINICION E IMPLEMENTACION DEL ESQUEMA DE PRESTACION DE LOS SERVICIOS  DE ACUEDUCTO Y ALCANTARILLAO DE LAS COMUNIDADES DE TIERRABOMBA, ARCHIPIELAGO DE SAN BERNARDO, ISLA FUERTE E ISLA DE BARU</v>
      </c>
      <c r="Q744" t="str">
        <f t="shared" si="98"/>
        <v>06</v>
      </c>
      <c r="R744" t="str">
        <f t="shared" si="99"/>
        <v>00</v>
      </c>
      <c r="S744" s="1">
        <v>0</v>
      </c>
      <c r="T744" s="1">
        <v>407691530</v>
      </c>
      <c r="U744" s="1">
        <v>407691530</v>
      </c>
      <c r="V744" s="1">
        <v>407691530</v>
      </c>
      <c r="W744" s="1">
        <v>0</v>
      </c>
      <c r="X744" s="1">
        <v>407691530</v>
      </c>
      <c r="Y744" s="1">
        <v>100</v>
      </c>
      <c r="Z744" s="1">
        <v>0</v>
      </c>
      <c r="AA744" s="1">
        <v>0</v>
      </c>
      <c r="AB744" s="1">
        <v>0</v>
      </c>
      <c r="AC744" s="1">
        <v>0</v>
      </c>
    </row>
    <row r="745" spans="1:29" x14ac:dyDescent="0.3">
      <c r="A745">
        <v>2022</v>
      </c>
      <c r="B745">
        <v>100</v>
      </c>
      <c r="C745" t="str">
        <f t="shared" si="104"/>
        <v>05</v>
      </c>
      <c r="D745" t="s">
        <v>292</v>
      </c>
      <c r="E745" t="str">
        <f t="shared" si="100"/>
        <v>05 SECRETARIA GENERAL</v>
      </c>
      <c r="F745" s="2">
        <v>2021130010293</v>
      </c>
      <c r="G745" s="2" t="str">
        <f>+VLOOKUP(F745,Hoja2!$F:$I,2,FALSE)</f>
        <v>07. PILAR CARTAGENA RESILIENTE</v>
      </c>
      <c r="H745" s="2" t="str">
        <f>+VLOOKUP(F745,Hoja2!$F:$I,3,FALSE)</f>
        <v>7.6 LÍNEA ESTRATÉGICA SERVICIOS PÚBLICOS BÁSICOS DEL DISTRITO DE CARTAGENA DE INDIAS: “TODOS CON TODO”</v>
      </c>
      <c r="I745" s="2" t="str">
        <f>+VLOOKUP(F745,Hoja2!$F:$I,4,FALSE)</f>
        <v>7.6.1 DE AHORRO Y USO EFICIENTE DE LOS SERVICIOS PÚBLICOS, "AGUA Y SANEAMIENTO BÁSICO PARA TODOS"</v>
      </c>
      <c r="J745" t="s">
        <v>367</v>
      </c>
      <c r="K745" t="str">
        <f>"001"</f>
        <v>001</v>
      </c>
      <c r="L745" t="s">
        <v>25</v>
      </c>
      <c r="M745" t="s">
        <v>26</v>
      </c>
      <c r="N745" t="s">
        <v>27</v>
      </c>
      <c r="O745" t="s">
        <v>368</v>
      </c>
      <c r="P745" t="str">
        <f t="shared" si="101"/>
        <v xml:space="preserve">2021130010293 SANEAMIENTO DE FORMA SEGURA PARA TODOS EN EL DISTRITO DE CARTAGENA </v>
      </c>
      <c r="Q745" t="str">
        <f t="shared" si="98"/>
        <v>06</v>
      </c>
      <c r="R745" t="str">
        <f t="shared" si="99"/>
        <v>00</v>
      </c>
      <c r="S745" s="1">
        <v>3042908059</v>
      </c>
      <c r="T745" s="1">
        <v>-3018408059</v>
      </c>
      <c r="U745" s="1">
        <v>24500000</v>
      </c>
      <c r="V745" s="1">
        <v>24500000</v>
      </c>
      <c r="W745" s="1">
        <v>0</v>
      </c>
      <c r="X745" s="1">
        <v>24500000</v>
      </c>
      <c r="Y745" s="1">
        <v>100</v>
      </c>
      <c r="Z745" s="1">
        <v>24500000</v>
      </c>
      <c r="AA745" s="1">
        <v>100</v>
      </c>
      <c r="AB745" s="1">
        <v>0</v>
      </c>
      <c r="AC745" s="1">
        <v>24500000</v>
      </c>
    </row>
    <row r="746" spans="1:29" x14ac:dyDescent="0.3">
      <c r="A746">
        <v>2022</v>
      </c>
      <c r="B746">
        <v>100</v>
      </c>
      <c r="C746" t="str">
        <f t="shared" ref="C746:C762" si="106">"03"</f>
        <v>03</v>
      </c>
      <c r="D746" t="s">
        <v>164</v>
      </c>
      <c r="E746" t="str">
        <f t="shared" si="100"/>
        <v>03 SECRETARIA DE HACIENDA PUBLICA</v>
      </c>
      <c r="F746" s="2">
        <v>2022130010001</v>
      </c>
      <c r="G746" s="2" t="str">
        <f>+VLOOKUP(F746,Hoja2!$F:$I,2,FALSE)</f>
        <v>10. PILAR: CARTAGENA TRANSPARENTE</v>
      </c>
      <c r="H746" s="2" t="str">
        <f>+VLOOKUP(F746,Hoja2!$F:$I,3,FALSE)</f>
        <v>10.8 LÍNEA ESTRATÉGICA: FINANZAS PÚBLICAS PARA SALVAR A CARTAGENA</v>
      </c>
      <c r="I746" s="2" t="str">
        <f>+VLOOKUP(F746,Hoja2!$F:$I,4,FALSE)</f>
        <v>10.8.1 PROGRAMA: FINANZAS SOSTENIBLES PARA SALVAR A CARTAGENA</v>
      </c>
      <c r="J746" t="s">
        <v>165</v>
      </c>
      <c r="K746" t="str">
        <f>"872"</f>
        <v>872</v>
      </c>
      <c r="L746" t="s">
        <v>166</v>
      </c>
      <c r="M746" t="s">
        <v>26</v>
      </c>
      <c r="N746" t="s">
        <v>27</v>
      </c>
      <c r="O746" t="s">
        <v>167</v>
      </c>
      <c r="P746" t="str">
        <f t="shared" si="101"/>
        <v>2022130010001 IMPLEMENTACION DE ESTRATEGIAS PARA EL MEJORAMIENTO Y SOSTENIBILIDAD DE LAS FINANZAS EN EL DISTRITO DE CARTAGENA DE INDIAS  CARTAGENA DE INDIAS</v>
      </c>
      <c r="Q746" t="str">
        <f t="shared" si="98"/>
        <v>06</v>
      </c>
      <c r="R746" t="str">
        <f t="shared" si="99"/>
        <v>00</v>
      </c>
      <c r="S746" s="1">
        <v>0</v>
      </c>
      <c r="T746" s="1">
        <v>177723944.69</v>
      </c>
      <c r="U746" s="1">
        <v>177723944.69</v>
      </c>
      <c r="V746" s="1">
        <v>99279000</v>
      </c>
      <c r="W746" s="1">
        <v>78444944.689999998</v>
      </c>
      <c r="X746" s="1">
        <v>38080000</v>
      </c>
      <c r="Y746" s="1">
        <v>21.43</v>
      </c>
      <c r="Z746" s="1">
        <v>0</v>
      </c>
      <c r="AA746" s="1">
        <v>0</v>
      </c>
      <c r="AB746" s="1">
        <v>139643944.69</v>
      </c>
      <c r="AC746" s="1">
        <v>0</v>
      </c>
    </row>
    <row r="747" spans="1:29" x14ac:dyDescent="0.3">
      <c r="A747">
        <v>2022</v>
      </c>
      <c r="B747">
        <v>100</v>
      </c>
      <c r="C747" t="str">
        <f t="shared" si="106"/>
        <v>03</v>
      </c>
      <c r="D747" t="s">
        <v>164</v>
      </c>
      <c r="E747" t="str">
        <f t="shared" si="100"/>
        <v>03 SECRETARIA DE HACIENDA PUBLICA</v>
      </c>
      <c r="F747" s="2">
        <v>2022130010001</v>
      </c>
      <c r="G747" s="2" t="str">
        <f>+VLOOKUP(F747,Hoja2!$F:$I,2,FALSE)</f>
        <v>10. PILAR: CARTAGENA TRANSPARENTE</v>
      </c>
      <c r="H747" s="2" t="str">
        <f>+VLOOKUP(F747,Hoja2!$F:$I,3,FALSE)</f>
        <v>10.8 LÍNEA ESTRATÉGICA: FINANZAS PÚBLICAS PARA SALVAR A CARTAGENA</v>
      </c>
      <c r="I747" s="2" t="str">
        <f>+VLOOKUP(F747,Hoja2!$F:$I,4,FALSE)</f>
        <v>10.8.1 PROGRAMA: FINANZAS SOSTENIBLES PARA SALVAR A CARTAGENA</v>
      </c>
      <c r="J747" t="s">
        <v>165</v>
      </c>
      <c r="K747" t="str">
        <f>"001"</f>
        <v>001</v>
      </c>
      <c r="L747" t="s">
        <v>25</v>
      </c>
      <c r="M747" t="s">
        <v>26</v>
      </c>
      <c r="N747" t="s">
        <v>27</v>
      </c>
      <c r="O747" t="s">
        <v>167</v>
      </c>
      <c r="P747" t="str">
        <f t="shared" si="101"/>
        <v>2022130010001 IMPLEMENTACION DE ESTRATEGIAS PARA EL MEJORAMIENTO Y SOSTENIBILIDAD DE LAS FINANZAS EN EL DISTRITO DE CARTAGENA DE INDIAS  CARTAGENA DE INDIAS</v>
      </c>
      <c r="Q747" t="str">
        <f t="shared" si="98"/>
        <v>06</v>
      </c>
      <c r="R747" t="str">
        <f t="shared" si="99"/>
        <v>00</v>
      </c>
      <c r="S747" s="1">
        <v>5105047952</v>
      </c>
      <c r="T747" s="1">
        <v>6500000000</v>
      </c>
      <c r="U747" s="1">
        <v>11605047952</v>
      </c>
      <c r="V747" s="1">
        <v>11593221106</v>
      </c>
      <c r="W747" s="1">
        <v>11826846</v>
      </c>
      <c r="X747" s="1">
        <v>9580823313</v>
      </c>
      <c r="Y747" s="1">
        <v>82.56</v>
      </c>
      <c r="Z747" s="1">
        <v>8677554990.0400009</v>
      </c>
      <c r="AA747" s="1">
        <v>74.77</v>
      </c>
      <c r="AB747" s="1">
        <v>2024224639</v>
      </c>
      <c r="AC747" s="1">
        <v>8610976110</v>
      </c>
    </row>
    <row r="748" spans="1:29" x14ac:dyDescent="0.3">
      <c r="A748">
        <v>2022</v>
      </c>
      <c r="B748">
        <v>100</v>
      </c>
      <c r="C748" t="str">
        <f t="shared" si="106"/>
        <v>03</v>
      </c>
      <c r="D748" t="s">
        <v>164</v>
      </c>
      <c r="E748" t="str">
        <f t="shared" si="100"/>
        <v>03 SECRETARIA DE HACIENDA PUBLICA</v>
      </c>
      <c r="F748" s="2">
        <v>2022130010001</v>
      </c>
      <c r="G748" s="2" t="str">
        <f>+VLOOKUP(F748,Hoja2!$F:$I,2,FALSE)</f>
        <v>10. PILAR: CARTAGENA TRANSPARENTE</v>
      </c>
      <c r="H748" s="2" t="str">
        <f>+VLOOKUP(F748,Hoja2!$F:$I,3,FALSE)</f>
        <v>10.8 LÍNEA ESTRATÉGICA: FINANZAS PÚBLICAS PARA SALVAR A CARTAGENA</v>
      </c>
      <c r="I748" s="2" t="str">
        <f>+VLOOKUP(F748,Hoja2!$F:$I,4,FALSE)</f>
        <v>10.8.1 PROGRAMA: FINANZAS SOSTENIBLES PARA SALVAR A CARTAGENA</v>
      </c>
      <c r="J748" t="s">
        <v>165</v>
      </c>
      <c r="K748" t="str">
        <f>"816"</f>
        <v>816</v>
      </c>
      <c r="L748" t="s">
        <v>116</v>
      </c>
      <c r="M748" t="s">
        <v>26</v>
      </c>
      <c r="N748" t="s">
        <v>27</v>
      </c>
      <c r="O748" t="s">
        <v>167</v>
      </c>
      <c r="P748" t="str">
        <f t="shared" si="101"/>
        <v>2022130010001 IMPLEMENTACION DE ESTRATEGIAS PARA EL MEJORAMIENTO Y SOSTENIBILIDAD DE LAS FINANZAS EN EL DISTRITO DE CARTAGENA DE INDIAS  CARTAGENA DE INDIAS</v>
      </c>
      <c r="Q748" t="str">
        <f t="shared" si="98"/>
        <v>06</v>
      </c>
      <c r="R748" t="str">
        <f t="shared" si="99"/>
        <v>00</v>
      </c>
      <c r="S748" s="1">
        <v>0</v>
      </c>
      <c r="T748" s="1">
        <v>1469474825.8399999</v>
      </c>
      <c r="U748" s="1">
        <v>1469474825.8399999</v>
      </c>
      <c r="V748" s="1">
        <v>1469474825</v>
      </c>
      <c r="W748" s="1">
        <v>0.84</v>
      </c>
      <c r="X748" s="1">
        <v>0</v>
      </c>
      <c r="Y748" s="1">
        <v>0</v>
      </c>
      <c r="Z748" s="1">
        <v>0</v>
      </c>
      <c r="AA748" s="1">
        <v>0</v>
      </c>
      <c r="AB748" s="1">
        <v>1469474825.8399999</v>
      </c>
      <c r="AC748" s="1">
        <v>0</v>
      </c>
    </row>
    <row r="749" spans="1:29" x14ac:dyDescent="0.3">
      <c r="A749">
        <v>2022</v>
      </c>
      <c r="B749">
        <v>100</v>
      </c>
      <c r="C749" t="str">
        <f t="shared" si="106"/>
        <v>03</v>
      </c>
      <c r="D749" t="s">
        <v>164</v>
      </c>
      <c r="E749" t="str">
        <f t="shared" si="100"/>
        <v>03 SECRETARIA DE HACIENDA PUBLICA</v>
      </c>
      <c r="F749" s="2">
        <v>2022130010001</v>
      </c>
      <c r="G749" s="2" t="str">
        <f>+VLOOKUP(F749,Hoja2!$F:$I,2,FALSE)</f>
        <v>10. PILAR: CARTAGENA TRANSPARENTE</v>
      </c>
      <c r="H749" s="2" t="str">
        <f>+VLOOKUP(F749,Hoja2!$F:$I,3,FALSE)</f>
        <v>10.8 LÍNEA ESTRATÉGICA: FINANZAS PÚBLICAS PARA SALVAR A CARTAGENA</v>
      </c>
      <c r="I749" s="2" t="str">
        <f>+VLOOKUP(F749,Hoja2!$F:$I,4,FALSE)</f>
        <v>10.8.1 PROGRAMA: FINANZAS SOSTENIBLES PARA SALVAR A CARTAGENA</v>
      </c>
      <c r="J749" t="s">
        <v>165</v>
      </c>
      <c r="K749" t="str">
        <f>"817"</f>
        <v>817</v>
      </c>
      <c r="L749" t="s">
        <v>185</v>
      </c>
      <c r="M749" t="s">
        <v>26</v>
      </c>
      <c r="N749" t="s">
        <v>27</v>
      </c>
      <c r="O749" t="s">
        <v>167</v>
      </c>
      <c r="P749" t="str">
        <f t="shared" si="101"/>
        <v>2022130010001 IMPLEMENTACION DE ESTRATEGIAS PARA EL MEJORAMIENTO Y SOSTENIBILIDAD DE LAS FINANZAS EN EL DISTRITO DE CARTAGENA DE INDIAS  CARTAGENA DE INDIAS</v>
      </c>
      <c r="Q749" t="str">
        <f t="shared" si="98"/>
        <v>06</v>
      </c>
      <c r="R749" t="str">
        <f t="shared" si="99"/>
        <v>00</v>
      </c>
      <c r="S749" s="1">
        <v>0</v>
      </c>
      <c r="T749" s="1">
        <v>19334250</v>
      </c>
      <c r="U749" s="1">
        <v>19334250</v>
      </c>
      <c r="V749" s="1">
        <v>0</v>
      </c>
      <c r="W749" s="1">
        <v>19334250</v>
      </c>
      <c r="X749" s="1">
        <v>0</v>
      </c>
      <c r="Y749" s="1">
        <v>0</v>
      </c>
      <c r="Z749" s="1">
        <v>0</v>
      </c>
      <c r="AA749" s="1">
        <v>0</v>
      </c>
      <c r="AB749" s="1">
        <v>19334250</v>
      </c>
      <c r="AC749" s="1">
        <v>0</v>
      </c>
    </row>
    <row r="750" spans="1:29" x14ac:dyDescent="0.3">
      <c r="A750">
        <v>2022</v>
      </c>
      <c r="B750">
        <v>100</v>
      </c>
      <c r="C750" t="str">
        <f t="shared" si="106"/>
        <v>03</v>
      </c>
      <c r="D750" t="s">
        <v>164</v>
      </c>
      <c r="E750" t="str">
        <f t="shared" si="100"/>
        <v>03 SECRETARIA DE HACIENDA PUBLICA</v>
      </c>
      <c r="F750" s="2">
        <v>2022130010001</v>
      </c>
      <c r="G750" s="2" t="str">
        <f>+VLOOKUP(F750,Hoja2!$F:$I,2,FALSE)</f>
        <v>10. PILAR: CARTAGENA TRANSPARENTE</v>
      </c>
      <c r="H750" s="2" t="str">
        <f>+VLOOKUP(F750,Hoja2!$F:$I,3,FALSE)</f>
        <v>10.8 LÍNEA ESTRATÉGICA: FINANZAS PÚBLICAS PARA SALVAR A CARTAGENA</v>
      </c>
      <c r="I750" s="2" t="str">
        <f>+VLOOKUP(F750,Hoja2!$F:$I,4,FALSE)</f>
        <v>10.8.1 PROGRAMA: FINANZAS SOSTENIBLES PARA SALVAR A CARTAGENA</v>
      </c>
      <c r="J750" t="s">
        <v>165</v>
      </c>
      <c r="K750" t="str">
        <f>"852"</f>
        <v>852</v>
      </c>
      <c r="L750" t="s">
        <v>76</v>
      </c>
      <c r="M750" t="s">
        <v>26</v>
      </c>
      <c r="N750" t="s">
        <v>27</v>
      </c>
      <c r="O750" t="s">
        <v>167</v>
      </c>
      <c r="P750" t="str">
        <f t="shared" si="101"/>
        <v>2022130010001 IMPLEMENTACION DE ESTRATEGIAS PARA EL MEJORAMIENTO Y SOSTENIBILIDAD DE LAS FINANZAS EN EL DISTRITO DE CARTAGENA DE INDIAS  CARTAGENA DE INDIAS</v>
      </c>
      <c r="Q750" t="str">
        <f t="shared" si="98"/>
        <v>06</v>
      </c>
      <c r="R750" t="str">
        <f t="shared" si="99"/>
        <v>00</v>
      </c>
      <c r="S750" s="1">
        <v>0</v>
      </c>
      <c r="T750" s="1">
        <v>2256570854</v>
      </c>
      <c r="U750" s="1">
        <v>2256570854</v>
      </c>
      <c r="V750" s="1">
        <v>2186352000</v>
      </c>
      <c r="W750" s="1">
        <v>70218854</v>
      </c>
      <c r="X750" s="1">
        <v>0</v>
      </c>
      <c r="Y750" s="1">
        <v>0</v>
      </c>
      <c r="Z750" s="1">
        <v>0</v>
      </c>
      <c r="AA750" s="1">
        <v>0</v>
      </c>
      <c r="AB750" s="1">
        <v>2256570854</v>
      </c>
      <c r="AC750" s="1">
        <v>0</v>
      </c>
    </row>
    <row r="751" spans="1:29" x14ac:dyDescent="0.3">
      <c r="A751">
        <v>2022</v>
      </c>
      <c r="B751">
        <v>100</v>
      </c>
      <c r="C751" t="str">
        <f t="shared" si="106"/>
        <v>03</v>
      </c>
      <c r="D751" t="s">
        <v>164</v>
      </c>
      <c r="E751" t="str">
        <f t="shared" si="100"/>
        <v>03 SECRETARIA DE HACIENDA PUBLICA</v>
      </c>
      <c r="F751" s="2">
        <v>2022130010001</v>
      </c>
      <c r="G751" s="2" t="str">
        <f>+VLOOKUP(F751,Hoja2!$F:$I,2,FALSE)</f>
        <v>10. PILAR: CARTAGENA TRANSPARENTE</v>
      </c>
      <c r="H751" s="2" t="str">
        <f>+VLOOKUP(F751,Hoja2!$F:$I,3,FALSE)</f>
        <v>10.8 LÍNEA ESTRATÉGICA: FINANZAS PÚBLICAS PARA SALVAR A CARTAGENA</v>
      </c>
      <c r="I751" s="2" t="str">
        <f>+VLOOKUP(F751,Hoja2!$F:$I,4,FALSE)</f>
        <v>10.8.1 PROGRAMA: FINANZAS SOSTENIBLES PARA SALVAR A CARTAGENA</v>
      </c>
      <c r="J751" t="s">
        <v>165</v>
      </c>
      <c r="K751" t="str">
        <f>"138"</f>
        <v>138</v>
      </c>
      <c r="L751" t="s">
        <v>186</v>
      </c>
      <c r="M751" t="s">
        <v>26</v>
      </c>
      <c r="N751" t="s">
        <v>27</v>
      </c>
      <c r="O751" t="s">
        <v>167</v>
      </c>
      <c r="P751" t="str">
        <f t="shared" si="101"/>
        <v>2022130010001 IMPLEMENTACION DE ESTRATEGIAS PARA EL MEJORAMIENTO Y SOSTENIBILIDAD DE LAS FINANZAS EN EL DISTRITO DE CARTAGENA DE INDIAS  CARTAGENA DE INDIAS</v>
      </c>
      <c r="Q751" t="str">
        <f t="shared" si="98"/>
        <v>06</v>
      </c>
      <c r="R751" t="str">
        <f t="shared" si="99"/>
        <v>00</v>
      </c>
      <c r="S751" s="1">
        <v>1190136463</v>
      </c>
      <c r="T751" s="1">
        <v>0</v>
      </c>
      <c r="U751" s="1">
        <v>1190136463</v>
      </c>
      <c r="V751" s="1">
        <v>1190136463</v>
      </c>
      <c r="W751" s="1">
        <v>0</v>
      </c>
      <c r="X751" s="1">
        <v>1190136463</v>
      </c>
      <c r="Y751" s="1">
        <v>100</v>
      </c>
      <c r="Z751" s="1">
        <v>0</v>
      </c>
      <c r="AA751" s="1">
        <v>0</v>
      </c>
      <c r="AB751" s="1">
        <v>0</v>
      </c>
      <c r="AC751" s="1">
        <v>0</v>
      </c>
    </row>
    <row r="752" spans="1:29" x14ac:dyDescent="0.3">
      <c r="A752">
        <v>2022</v>
      </c>
      <c r="B752">
        <v>100</v>
      </c>
      <c r="C752" t="str">
        <f t="shared" si="106"/>
        <v>03</v>
      </c>
      <c r="D752" t="s">
        <v>164</v>
      </c>
      <c r="E752" t="str">
        <f t="shared" si="100"/>
        <v>03 SECRETARIA DE HACIENDA PUBLICA</v>
      </c>
      <c r="F752" s="2">
        <v>2022130010001</v>
      </c>
      <c r="G752" s="2" t="str">
        <f>+VLOOKUP(F752,Hoja2!$F:$I,2,FALSE)</f>
        <v>10. PILAR: CARTAGENA TRANSPARENTE</v>
      </c>
      <c r="H752" s="2" t="str">
        <f>+VLOOKUP(F752,Hoja2!$F:$I,3,FALSE)</f>
        <v>10.8 LÍNEA ESTRATÉGICA: FINANZAS PÚBLICAS PARA SALVAR A CARTAGENA</v>
      </c>
      <c r="I752" s="2" t="str">
        <f>+VLOOKUP(F752,Hoja2!$F:$I,4,FALSE)</f>
        <v>10.8.1 PROGRAMA: FINANZAS SOSTENIBLES PARA SALVAR A CARTAGENA</v>
      </c>
      <c r="J752" t="s">
        <v>165</v>
      </c>
      <c r="K752" t="str">
        <f>"139"</f>
        <v>139</v>
      </c>
      <c r="L752" t="s">
        <v>187</v>
      </c>
      <c r="M752" t="s">
        <v>26</v>
      </c>
      <c r="N752" t="s">
        <v>27</v>
      </c>
      <c r="O752" t="s">
        <v>167</v>
      </c>
      <c r="P752" t="str">
        <f t="shared" si="101"/>
        <v>2022130010001 IMPLEMENTACION DE ESTRATEGIAS PARA EL MEJORAMIENTO Y SOSTENIBILIDAD DE LAS FINANZAS EN EL DISTRITO DE CARTAGENA DE INDIAS  CARTAGENA DE INDIAS</v>
      </c>
      <c r="Q752" t="str">
        <f t="shared" si="98"/>
        <v>06</v>
      </c>
      <c r="R752" t="str">
        <f t="shared" si="99"/>
        <v>00</v>
      </c>
      <c r="S752" s="1">
        <v>69585022</v>
      </c>
      <c r="T752" s="1">
        <v>0</v>
      </c>
      <c r="U752" s="1">
        <v>69585022</v>
      </c>
      <c r="V752" s="1">
        <v>69585022</v>
      </c>
      <c r="W752" s="1">
        <v>0</v>
      </c>
      <c r="X752" s="1">
        <v>69585022</v>
      </c>
      <c r="Y752" s="1">
        <v>100</v>
      </c>
      <c r="Z752" s="1">
        <v>0</v>
      </c>
      <c r="AA752" s="1">
        <v>0</v>
      </c>
      <c r="AB752" s="1">
        <v>0</v>
      </c>
      <c r="AC752" s="1">
        <v>0</v>
      </c>
    </row>
    <row r="753" spans="1:29" x14ac:dyDescent="0.3">
      <c r="A753">
        <v>2022</v>
      </c>
      <c r="B753">
        <v>100</v>
      </c>
      <c r="C753" t="str">
        <f t="shared" si="106"/>
        <v>03</v>
      </c>
      <c r="D753" t="s">
        <v>164</v>
      </c>
      <c r="E753" t="str">
        <f t="shared" si="100"/>
        <v>03 SECRETARIA DE HACIENDA PUBLICA</v>
      </c>
      <c r="F753" s="2">
        <v>2022130010001</v>
      </c>
      <c r="G753" s="2" t="str">
        <f>+VLOOKUP(F753,Hoja2!$F:$I,2,FALSE)</f>
        <v>10. PILAR: CARTAGENA TRANSPARENTE</v>
      </c>
      <c r="H753" s="2" t="str">
        <f>+VLOOKUP(F753,Hoja2!$F:$I,3,FALSE)</f>
        <v>10.8 LÍNEA ESTRATÉGICA: FINANZAS PÚBLICAS PARA SALVAR A CARTAGENA</v>
      </c>
      <c r="I753" s="2" t="str">
        <f>+VLOOKUP(F753,Hoja2!$F:$I,4,FALSE)</f>
        <v>10.8.1 PROGRAMA: FINANZAS SOSTENIBLES PARA SALVAR A CARTAGENA</v>
      </c>
      <c r="J753" t="s">
        <v>165</v>
      </c>
      <c r="K753" t="str">
        <f>"160"</f>
        <v>160</v>
      </c>
      <c r="L753" t="s">
        <v>188</v>
      </c>
      <c r="M753" t="s">
        <v>26</v>
      </c>
      <c r="N753" t="s">
        <v>27</v>
      </c>
      <c r="O753" t="s">
        <v>167</v>
      </c>
      <c r="P753" t="str">
        <f t="shared" si="101"/>
        <v>2022130010001 IMPLEMENTACION DE ESTRATEGIAS PARA EL MEJORAMIENTO Y SOSTENIBILIDAD DE LAS FINANZAS EN EL DISTRITO DE CARTAGENA DE INDIAS  CARTAGENA DE INDIAS</v>
      </c>
      <c r="Q753" t="str">
        <f t="shared" si="98"/>
        <v>06</v>
      </c>
      <c r="R753" t="str">
        <f t="shared" si="99"/>
        <v>00</v>
      </c>
      <c r="S753" s="1">
        <v>1</v>
      </c>
      <c r="T753" s="1">
        <v>0</v>
      </c>
      <c r="U753" s="1">
        <v>1</v>
      </c>
      <c r="V753" s="1">
        <v>0</v>
      </c>
      <c r="W753" s="1">
        <v>1</v>
      </c>
      <c r="X753" s="1">
        <v>0</v>
      </c>
      <c r="Y753" s="1">
        <v>0</v>
      </c>
      <c r="Z753" s="1">
        <v>0</v>
      </c>
      <c r="AA753" s="1">
        <v>0</v>
      </c>
      <c r="AB753" s="1">
        <v>1</v>
      </c>
      <c r="AC753" s="1">
        <v>0</v>
      </c>
    </row>
    <row r="754" spans="1:29" x14ac:dyDescent="0.3">
      <c r="A754">
        <v>2022</v>
      </c>
      <c r="B754">
        <v>100</v>
      </c>
      <c r="C754" t="str">
        <f t="shared" si="106"/>
        <v>03</v>
      </c>
      <c r="D754" t="s">
        <v>164</v>
      </c>
      <c r="E754" t="str">
        <f t="shared" si="100"/>
        <v>03 SECRETARIA DE HACIENDA PUBLICA</v>
      </c>
      <c r="F754" s="2">
        <v>2022130010001</v>
      </c>
      <c r="G754" s="2" t="str">
        <f>+VLOOKUP(F754,Hoja2!$F:$I,2,FALSE)</f>
        <v>10. PILAR: CARTAGENA TRANSPARENTE</v>
      </c>
      <c r="H754" s="2" t="str">
        <f>+VLOOKUP(F754,Hoja2!$F:$I,3,FALSE)</f>
        <v>10.8 LÍNEA ESTRATÉGICA: FINANZAS PÚBLICAS PARA SALVAR A CARTAGENA</v>
      </c>
      <c r="I754" s="2" t="str">
        <f>+VLOOKUP(F754,Hoja2!$F:$I,4,FALSE)</f>
        <v>10.8.1 PROGRAMA: FINANZAS SOSTENIBLES PARA SALVAR A CARTAGENA</v>
      </c>
      <c r="J754" t="s">
        <v>165</v>
      </c>
      <c r="K754" t="str">
        <f>"175"</f>
        <v>175</v>
      </c>
      <c r="L754" t="s">
        <v>189</v>
      </c>
      <c r="M754" t="s">
        <v>26</v>
      </c>
      <c r="N754" t="s">
        <v>27</v>
      </c>
      <c r="O754" t="s">
        <v>167</v>
      </c>
      <c r="P754" t="str">
        <f t="shared" si="101"/>
        <v>2022130010001 IMPLEMENTACION DE ESTRATEGIAS PARA EL MEJORAMIENTO Y SOSTENIBILIDAD DE LAS FINANZAS EN EL DISTRITO DE CARTAGENA DE INDIAS  CARTAGENA DE INDIAS</v>
      </c>
      <c r="Q754" t="str">
        <f t="shared" si="98"/>
        <v>06</v>
      </c>
      <c r="R754" t="str">
        <f t="shared" si="99"/>
        <v>00</v>
      </c>
      <c r="S754" s="1">
        <v>1</v>
      </c>
      <c r="T754" s="1">
        <v>0</v>
      </c>
      <c r="U754" s="1">
        <v>1</v>
      </c>
      <c r="V754" s="1">
        <v>0</v>
      </c>
      <c r="W754" s="1">
        <v>1</v>
      </c>
      <c r="X754" s="1">
        <v>0</v>
      </c>
      <c r="Y754" s="1">
        <v>0</v>
      </c>
      <c r="Z754" s="1">
        <v>0</v>
      </c>
      <c r="AA754" s="1">
        <v>0</v>
      </c>
      <c r="AB754" s="1">
        <v>1</v>
      </c>
      <c r="AC754" s="1">
        <v>0</v>
      </c>
    </row>
    <row r="755" spans="1:29" x14ac:dyDescent="0.3">
      <c r="A755">
        <v>2022</v>
      </c>
      <c r="B755">
        <v>100</v>
      </c>
      <c r="C755" t="str">
        <f t="shared" si="106"/>
        <v>03</v>
      </c>
      <c r="D755" t="s">
        <v>164</v>
      </c>
      <c r="E755" t="str">
        <f t="shared" si="100"/>
        <v>03 SECRETARIA DE HACIENDA PUBLICA</v>
      </c>
      <c r="F755" s="2">
        <v>2022130010001</v>
      </c>
      <c r="G755" s="2" t="str">
        <f>+VLOOKUP(F755,Hoja2!$F:$I,2,FALSE)</f>
        <v>10. PILAR: CARTAGENA TRANSPARENTE</v>
      </c>
      <c r="H755" s="2" t="str">
        <f>+VLOOKUP(F755,Hoja2!$F:$I,3,FALSE)</f>
        <v>10.8 LÍNEA ESTRATÉGICA: FINANZAS PÚBLICAS PARA SALVAR A CARTAGENA</v>
      </c>
      <c r="I755" s="2" t="str">
        <f>+VLOOKUP(F755,Hoja2!$F:$I,4,FALSE)</f>
        <v>10.8.1 PROGRAMA: FINANZAS SOSTENIBLES PARA SALVAR A CARTAGENA</v>
      </c>
      <c r="J755" t="s">
        <v>165</v>
      </c>
      <c r="K755" t="str">
        <f>"176"</f>
        <v>176</v>
      </c>
      <c r="L755" t="s">
        <v>190</v>
      </c>
      <c r="M755" t="s">
        <v>26</v>
      </c>
      <c r="N755" t="s">
        <v>27</v>
      </c>
      <c r="O755" t="s">
        <v>167</v>
      </c>
      <c r="P755" t="str">
        <f t="shared" si="101"/>
        <v>2022130010001 IMPLEMENTACION DE ESTRATEGIAS PARA EL MEJORAMIENTO Y SOSTENIBILIDAD DE LAS FINANZAS EN EL DISTRITO DE CARTAGENA DE INDIAS  CARTAGENA DE INDIAS</v>
      </c>
      <c r="Q755" t="str">
        <f t="shared" si="98"/>
        <v>06</v>
      </c>
      <c r="R755" t="str">
        <f t="shared" si="99"/>
        <v>00</v>
      </c>
      <c r="S755" s="1">
        <v>1</v>
      </c>
      <c r="T755" s="1">
        <v>0</v>
      </c>
      <c r="U755" s="1">
        <v>1</v>
      </c>
      <c r="V755" s="1">
        <v>0</v>
      </c>
      <c r="W755" s="1">
        <v>1</v>
      </c>
      <c r="X755" s="1">
        <v>0</v>
      </c>
      <c r="Y755" s="1">
        <v>0</v>
      </c>
      <c r="Z755" s="1">
        <v>0</v>
      </c>
      <c r="AA755" s="1">
        <v>0</v>
      </c>
      <c r="AB755" s="1">
        <v>1</v>
      </c>
      <c r="AC755" s="1">
        <v>0</v>
      </c>
    </row>
    <row r="756" spans="1:29" x14ac:dyDescent="0.3">
      <c r="A756">
        <v>2022</v>
      </c>
      <c r="B756">
        <v>100</v>
      </c>
      <c r="C756" t="str">
        <f t="shared" si="106"/>
        <v>03</v>
      </c>
      <c r="D756" t="s">
        <v>164</v>
      </c>
      <c r="E756" t="str">
        <f t="shared" si="100"/>
        <v>03 SECRETARIA DE HACIENDA PUBLICA</v>
      </c>
      <c r="F756" s="2">
        <v>2022130010001</v>
      </c>
      <c r="G756" s="2" t="str">
        <f>+VLOOKUP(F756,Hoja2!$F:$I,2,FALSE)</f>
        <v>10. PILAR: CARTAGENA TRANSPARENTE</v>
      </c>
      <c r="H756" s="2" t="str">
        <f>+VLOOKUP(F756,Hoja2!$F:$I,3,FALSE)</f>
        <v>10.8 LÍNEA ESTRATÉGICA: FINANZAS PÚBLICAS PARA SALVAR A CARTAGENA</v>
      </c>
      <c r="I756" s="2" t="str">
        <f>+VLOOKUP(F756,Hoja2!$F:$I,4,FALSE)</f>
        <v>10.8.1 PROGRAMA: FINANZAS SOSTENIBLES PARA SALVAR A CARTAGENA</v>
      </c>
      <c r="J756" t="s">
        <v>165</v>
      </c>
      <c r="K756" t="str">
        <f>"178"</f>
        <v>178</v>
      </c>
      <c r="L756" t="s">
        <v>191</v>
      </c>
      <c r="M756" t="s">
        <v>26</v>
      </c>
      <c r="N756" t="s">
        <v>27</v>
      </c>
      <c r="O756" t="s">
        <v>167</v>
      </c>
      <c r="P756" t="str">
        <f t="shared" si="101"/>
        <v>2022130010001 IMPLEMENTACION DE ESTRATEGIAS PARA EL MEJORAMIENTO Y SOSTENIBILIDAD DE LAS FINANZAS EN EL DISTRITO DE CARTAGENA DE INDIAS  CARTAGENA DE INDIAS</v>
      </c>
      <c r="Q756" t="str">
        <f t="shared" si="98"/>
        <v>06</v>
      </c>
      <c r="R756" t="str">
        <f t="shared" si="99"/>
        <v>00</v>
      </c>
      <c r="S756" s="1">
        <v>1</v>
      </c>
      <c r="T756" s="1">
        <v>0</v>
      </c>
      <c r="U756" s="1">
        <v>1</v>
      </c>
      <c r="V756" s="1">
        <v>0</v>
      </c>
      <c r="W756" s="1">
        <v>1</v>
      </c>
      <c r="X756" s="1">
        <v>0</v>
      </c>
      <c r="Y756" s="1">
        <v>0</v>
      </c>
      <c r="Z756" s="1">
        <v>0</v>
      </c>
      <c r="AA756" s="1">
        <v>0</v>
      </c>
      <c r="AB756" s="1">
        <v>1</v>
      </c>
      <c r="AC756" s="1">
        <v>0</v>
      </c>
    </row>
    <row r="757" spans="1:29" x14ac:dyDescent="0.3">
      <c r="A757">
        <v>2022</v>
      </c>
      <c r="B757">
        <v>100</v>
      </c>
      <c r="C757" t="str">
        <f t="shared" si="106"/>
        <v>03</v>
      </c>
      <c r="D757" t="s">
        <v>164</v>
      </c>
      <c r="E757" t="str">
        <f t="shared" si="100"/>
        <v>03 SECRETARIA DE HACIENDA PUBLICA</v>
      </c>
      <c r="F757" s="2">
        <v>2022130010001</v>
      </c>
      <c r="G757" s="2" t="str">
        <f>+VLOOKUP(F757,Hoja2!$F:$I,2,FALSE)</f>
        <v>10. PILAR: CARTAGENA TRANSPARENTE</v>
      </c>
      <c r="H757" s="2" t="str">
        <f>+VLOOKUP(F757,Hoja2!$F:$I,3,FALSE)</f>
        <v>10.8 LÍNEA ESTRATÉGICA: FINANZAS PÚBLICAS PARA SALVAR A CARTAGENA</v>
      </c>
      <c r="I757" s="2" t="str">
        <f>+VLOOKUP(F757,Hoja2!$F:$I,4,FALSE)</f>
        <v>10.8.1 PROGRAMA: FINANZAS SOSTENIBLES PARA SALVAR A CARTAGENA</v>
      </c>
      <c r="J757" t="s">
        <v>165</v>
      </c>
      <c r="K757" t="str">
        <f>"922"</f>
        <v>922</v>
      </c>
      <c r="L757" t="s">
        <v>78</v>
      </c>
      <c r="M757" t="s">
        <v>26</v>
      </c>
      <c r="N757" t="s">
        <v>27</v>
      </c>
      <c r="O757" t="s">
        <v>192</v>
      </c>
      <c r="P757" t="str">
        <f t="shared" si="101"/>
        <v>2022130010001 IMPLEMENTACION DE ESTRATEGIAS PARA EL MEJORAMIENTO Y SOSTENIBILIDAD DE LAS FINANZAS EN EL DISTRITO DE CARTAGENA DE INDIAS CARTAGENA DE INDIAS</v>
      </c>
      <c r="Q757" t="str">
        <f t="shared" si="98"/>
        <v>06</v>
      </c>
      <c r="R757" t="str">
        <f t="shared" si="99"/>
        <v>00</v>
      </c>
      <c r="S757" s="1">
        <v>0</v>
      </c>
      <c r="T757" s="1">
        <v>3840290930.3099999</v>
      </c>
      <c r="U757" s="1">
        <v>3840290930.3099999</v>
      </c>
      <c r="V757" s="1">
        <v>3531260745</v>
      </c>
      <c r="W757" s="1">
        <v>309030185.31</v>
      </c>
      <c r="X757" s="1">
        <v>2375017460.8000002</v>
      </c>
      <c r="Y757" s="1">
        <v>61.84</v>
      </c>
      <c r="Z757" s="1">
        <v>2090624965</v>
      </c>
      <c r="AA757" s="1">
        <v>54.44</v>
      </c>
      <c r="AB757" s="1">
        <v>1465273469.51</v>
      </c>
      <c r="AC757" s="1">
        <v>1925108590</v>
      </c>
    </row>
    <row r="758" spans="1:29" x14ac:dyDescent="0.3">
      <c r="A758">
        <v>2022</v>
      </c>
      <c r="B758">
        <v>100</v>
      </c>
      <c r="C758" t="str">
        <f t="shared" si="106"/>
        <v>03</v>
      </c>
      <c r="D758" t="s">
        <v>164</v>
      </c>
      <c r="E758" t="str">
        <f t="shared" si="100"/>
        <v>03 SECRETARIA DE HACIENDA PUBLICA</v>
      </c>
      <c r="F758" s="2">
        <v>2022130010001</v>
      </c>
      <c r="G758" s="2" t="str">
        <f>+VLOOKUP(F758,Hoja2!$F:$I,2,FALSE)</f>
        <v>10. PILAR: CARTAGENA TRANSPARENTE</v>
      </c>
      <c r="H758" s="2" t="str">
        <f>+VLOOKUP(F758,Hoja2!$F:$I,3,FALSE)</f>
        <v>10.8 LÍNEA ESTRATÉGICA: FINANZAS PÚBLICAS PARA SALVAR A CARTAGENA</v>
      </c>
      <c r="I758" s="2" t="str">
        <f>+VLOOKUP(F758,Hoja2!$F:$I,4,FALSE)</f>
        <v>10.8.1 PROGRAMA: FINANZAS SOSTENIBLES PARA SALVAR A CARTAGENA</v>
      </c>
      <c r="J758" t="s">
        <v>165</v>
      </c>
      <c r="K758" t="str">
        <f>"070"</f>
        <v>070</v>
      </c>
      <c r="L758" t="s">
        <v>93</v>
      </c>
      <c r="M758" t="s">
        <v>26</v>
      </c>
      <c r="N758" t="s">
        <v>27</v>
      </c>
      <c r="O758" t="s">
        <v>167</v>
      </c>
      <c r="P758" t="str">
        <f t="shared" si="101"/>
        <v>2022130010001 IMPLEMENTACION DE ESTRATEGIAS PARA EL MEJORAMIENTO Y SOSTENIBILIDAD DE LAS FINANZAS EN EL DISTRITO DE CARTAGENA DE INDIAS  CARTAGENA DE INDIAS</v>
      </c>
      <c r="Q758" t="str">
        <f t="shared" si="98"/>
        <v>06</v>
      </c>
      <c r="R758" t="str">
        <f t="shared" si="99"/>
        <v>00</v>
      </c>
      <c r="S758" s="1">
        <v>6152814228</v>
      </c>
      <c r="T758" s="1">
        <v>0</v>
      </c>
      <c r="U758" s="1">
        <v>6152814228</v>
      </c>
      <c r="V758" s="1">
        <v>6152814228</v>
      </c>
      <c r="W758" s="1">
        <v>0</v>
      </c>
      <c r="X758" s="1">
        <v>6152814228</v>
      </c>
      <c r="Y758" s="1">
        <v>100</v>
      </c>
      <c r="Z758" s="1">
        <v>4800000000</v>
      </c>
      <c r="AA758" s="1">
        <v>78.010000000000005</v>
      </c>
      <c r="AB758" s="1">
        <v>0</v>
      </c>
      <c r="AC758" s="1">
        <v>4800000000</v>
      </c>
    </row>
    <row r="759" spans="1:29" x14ac:dyDescent="0.3">
      <c r="A759">
        <v>2022</v>
      </c>
      <c r="B759">
        <v>100</v>
      </c>
      <c r="C759" t="str">
        <f t="shared" si="106"/>
        <v>03</v>
      </c>
      <c r="D759" t="s">
        <v>164</v>
      </c>
      <c r="E759" t="str">
        <f t="shared" si="100"/>
        <v>03 SECRETARIA DE HACIENDA PUBLICA</v>
      </c>
      <c r="F759" s="2">
        <v>2022130010001</v>
      </c>
      <c r="G759" s="2" t="str">
        <f>+VLOOKUP(F759,Hoja2!$F:$I,2,FALSE)</f>
        <v>10. PILAR: CARTAGENA TRANSPARENTE</v>
      </c>
      <c r="H759" s="2" t="str">
        <f>+VLOOKUP(F759,Hoja2!$F:$I,3,FALSE)</f>
        <v>10.8 LÍNEA ESTRATÉGICA: FINANZAS PÚBLICAS PARA SALVAR A CARTAGENA</v>
      </c>
      <c r="I759" s="2" t="str">
        <f>+VLOOKUP(F759,Hoja2!$F:$I,4,FALSE)</f>
        <v>10.8.1 PROGRAMA: FINANZAS SOSTENIBLES PARA SALVAR A CARTAGENA</v>
      </c>
      <c r="J759" t="s">
        <v>165</v>
      </c>
      <c r="K759" t="str">
        <f>"075"</f>
        <v>075</v>
      </c>
      <c r="L759" t="s">
        <v>196</v>
      </c>
      <c r="M759" t="s">
        <v>26</v>
      </c>
      <c r="N759" t="s">
        <v>27</v>
      </c>
      <c r="O759" t="s">
        <v>167</v>
      </c>
      <c r="P759" t="str">
        <f t="shared" si="101"/>
        <v>2022130010001 IMPLEMENTACION DE ESTRATEGIAS PARA EL MEJORAMIENTO Y SOSTENIBILIDAD DE LAS FINANZAS EN EL DISTRITO DE CARTAGENA DE INDIAS  CARTAGENA DE INDIAS</v>
      </c>
      <c r="Q759" t="str">
        <f t="shared" si="98"/>
        <v>06</v>
      </c>
      <c r="R759" t="str">
        <f t="shared" si="99"/>
        <v>00</v>
      </c>
      <c r="S759" s="1">
        <v>375240882</v>
      </c>
      <c r="T759" s="1">
        <v>0</v>
      </c>
      <c r="U759" s="1">
        <v>375240882</v>
      </c>
      <c r="V759" s="1">
        <v>375240882</v>
      </c>
      <c r="W759" s="1">
        <v>0</v>
      </c>
      <c r="X759" s="1">
        <v>375240882</v>
      </c>
      <c r="Y759" s="1">
        <v>100</v>
      </c>
      <c r="Z759" s="1">
        <v>0</v>
      </c>
      <c r="AA759" s="1">
        <v>0</v>
      </c>
      <c r="AB759" s="1">
        <v>0</v>
      </c>
      <c r="AC759" s="1">
        <v>0</v>
      </c>
    </row>
    <row r="760" spans="1:29" x14ac:dyDescent="0.3">
      <c r="A760">
        <v>2022</v>
      </c>
      <c r="B760">
        <v>100</v>
      </c>
      <c r="C760" t="str">
        <f t="shared" si="106"/>
        <v>03</v>
      </c>
      <c r="D760" t="s">
        <v>164</v>
      </c>
      <c r="E760" t="str">
        <f t="shared" si="100"/>
        <v>03 SECRETARIA DE HACIENDA PUBLICA</v>
      </c>
      <c r="F760" s="2">
        <v>2022130010001</v>
      </c>
      <c r="G760" s="2" t="str">
        <f>+VLOOKUP(F760,Hoja2!$F:$I,2,FALSE)</f>
        <v>10. PILAR: CARTAGENA TRANSPARENTE</v>
      </c>
      <c r="H760" s="2" t="str">
        <f>+VLOOKUP(F760,Hoja2!$F:$I,3,FALSE)</f>
        <v>10.8 LÍNEA ESTRATÉGICA: FINANZAS PÚBLICAS PARA SALVAR A CARTAGENA</v>
      </c>
      <c r="I760" s="2" t="str">
        <f>+VLOOKUP(F760,Hoja2!$F:$I,4,FALSE)</f>
        <v>10.8.1 PROGRAMA: FINANZAS SOSTENIBLES PARA SALVAR A CARTAGENA</v>
      </c>
      <c r="J760" t="s">
        <v>165</v>
      </c>
      <c r="K760" t="str">
        <f>"108"</f>
        <v>108</v>
      </c>
      <c r="L760" t="s">
        <v>197</v>
      </c>
      <c r="M760" t="s">
        <v>26</v>
      </c>
      <c r="N760" t="s">
        <v>27</v>
      </c>
      <c r="O760" t="s">
        <v>167</v>
      </c>
      <c r="P760" t="str">
        <f t="shared" si="101"/>
        <v>2022130010001 IMPLEMENTACION DE ESTRATEGIAS PARA EL MEJORAMIENTO Y SOSTENIBILIDAD DE LAS FINANZAS EN EL DISTRITO DE CARTAGENA DE INDIAS  CARTAGENA DE INDIAS</v>
      </c>
      <c r="Q760" t="str">
        <f t="shared" si="98"/>
        <v>06</v>
      </c>
      <c r="R760" t="str">
        <f t="shared" si="99"/>
        <v>00</v>
      </c>
      <c r="S760" s="1">
        <v>1</v>
      </c>
      <c r="T760" s="1">
        <v>0</v>
      </c>
      <c r="U760" s="1">
        <v>1</v>
      </c>
      <c r="V760" s="1">
        <v>0</v>
      </c>
      <c r="W760" s="1">
        <v>1</v>
      </c>
      <c r="X760" s="1">
        <v>0</v>
      </c>
      <c r="Y760" s="1">
        <v>0</v>
      </c>
      <c r="Z760" s="1">
        <v>0</v>
      </c>
      <c r="AA760" s="1">
        <v>0</v>
      </c>
      <c r="AB760" s="1">
        <v>1</v>
      </c>
      <c r="AC760" s="1">
        <v>0</v>
      </c>
    </row>
    <row r="761" spans="1:29" x14ac:dyDescent="0.3">
      <c r="A761">
        <v>2022</v>
      </c>
      <c r="B761">
        <v>100</v>
      </c>
      <c r="C761" t="str">
        <f t="shared" si="106"/>
        <v>03</v>
      </c>
      <c r="D761" t="s">
        <v>164</v>
      </c>
      <c r="E761" t="str">
        <f t="shared" si="100"/>
        <v>03 SECRETARIA DE HACIENDA PUBLICA</v>
      </c>
      <c r="F761" s="2">
        <v>2022130010001</v>
      </c>
      <c r="G761" s="2" t="str">
        <f>+VLOOKUP(F761,Hoja2!$F:$I,2,FALSE)</f>
        <v>10. PILAR: CARTAGENA TRANSPARENTE</v>
      </c>
      <c r="H761" s="2" t="str">
        <f>+VLOOKUP(F761,Hoja2!$F:$I,3,FALSE)</f>
        <v>10.8 LÍNEA ESTRATÉGICA: FINANZAS PÚBLICAS PARA SALVAR A CARTAGENA</v>
      </c>
      <c r="I761" s="2" t="str">
        <f>+VLOOKUP(F761,Hoja2!$F:$I,4,FALSE)</f>
        <v>10.8.1 PROGRAMA: FINANZAS SOSTENIBLES PARA SALVAR A CARTAGENA</v>
      </c>
      <c r="J761" t="s">
        <v>165</v>
      </c>
      <c r="K761" t="str">
        <f>"126"</f>
        <v>126</v>
      </c>
      <c r="L761" t="s">
        <v>198</v>
      </c>
      <c r="M761" t="s">
        <v>26</v>
      </c>
      <c r="N761" t="s">
        <v>27</v>
      </c>
      <c r="O761" t="s">
        <v>167</v>
      </c>
      <c r="P761" t="str">
        <f t="shared" si="101"/>
        <v>2022130010001 IMPLEMENTACION DE ESTRATEGIAS PARA EL MEJORAMIENTO Y SOSTENIBILIDAD DE LAS FINANZAS EN EL DISTRITO DE CARTAGENA DE INDIAS  CARTAGENA DE INDIAS</v>
      </c>
      <c r="Q761" t="str">
        <f t="shared" si="98"/>
        <v>06</v>
      </c>
      <c r="R761" t="str">
        <f t="shared" si="99"/>
        <v>00</v>
      </c>
      <c r="S761" s="1">
        <v>1</v>
      </c>
      <c r="T761" s="1">
        <v>0</v>
      </c>
      <c r="U761" s="1">
        <v>1</v>
      </c>
      <c r="V761" s="1">
        <v>0</v>
      </c>
      <c r="W761" s="1">
        <v>1</v>
      </c>
      <c r="X761" s="1">
        <v>0</v>
      </c>
      <c r="Y761" s="1">
        <v>0</v>
      </c>
      <c r="Z761" s="1">
        <v>0</v>
      </c>
      <c r="AA761" s="1">
        <v>0</v>
      </c>
      <c r="AB761" s="1">
        <v>1</v>
      </c>
      <c r="AC761" s="1">
        <v>0</v>
      </c>
    </row>
    <row r="762" spans="1:29" x14ac:dyDescent="0.3">
      <c r="A762">
        <v>2022</v>
      </c>
      <c r="B762">
        <v>100</v>
      </c>
      <c r="C762" t="str">
        <f t="shared" si="106"/>
        <v>03</v>
      </c>
      <c r="D762" t="s">
        <v>164</v>
      </c>
      <c r="E762" t="str">
        <f t="shared" si="100"/>
        <v>03 SECRETARIA DE HACIENDA PUBLICA</v>
      </c>
      <c r="F762" s="2">
        <v>2022130010001</v>
      </c>
      <c r="G762" s="2" t="str">
        <f>+VLOOKUP(F762,Hoja2!$F:$I,2,FALSE)</f>
        <v>10. PILAR: CARTAGENA TRANSPARENTE</v>
      </c>
      <c r="H762" s="2" t="str">
        <f>+VLOOKUP(F762,Hoja2!$F:$I,3,FALSE)</f>
        <v>10.8 LÍNEA ESTRATÉGICA: FINANZAS PÚBLICAS PARA SALVAR A CARTAGENA</v>
      </c>
      <c r="I762" s="2" t="str">
        <f>+VLOOKUP(F762,Hoja2!$F:$I,4,FALSE)</f>
        <v>10.8.1 PROGRAMA: FINANZAS SOSTENIBLES PARA SALVAR A CARTAGENA</v>
      </c>
      <c r="J762" t="s">
        <v>165</v>
      </c>
      <c r="K762" t="str">
        <f>"923"</f>
        <v>923</v>
      </c>
      <c r="L762" t="s">
        <v>206</v>
      </c>
      <c r="M762" t="s">
        <v>26</v>
      </c>
      <c r="N762" t="s">
        <v>27</v>
      </c>
      <c r="O762" t="s">
        <v>167</v>
      </c>
      <c r="P762" t="str">
        <f t="shared" si="101"/>
        <v>2022130010001 IMPLEMENTACION DE ESTRATEGIAS PARA EL MEJORAMIENTO Y SOSTENIBILIDAD DE LAS FINANZAS EN EL DISTRITO DE CARTAGENA DE INDIAS  CARTAGENA DE INDIAS</v>
      </c>
      <c r="Q762" t="str">
        <f t="shared" si="98"/>
        <v>06</v>
      </c>
      <c r="R762" t="str">
        <f t="shared" si="99"/>
        <v>00</v>
      </c>
      <c r="S762" s="1">
        <v>0</v>
      </c>
      <c r="T762" s="1">
        <v>314486520</v>
      </c>
      <c r="U762" s="1">
        <v>314486520</v>
      </c>
      <c r="V762" s="1">
        <v>250798250</v>
      </c>
      <c r="W762" s="1">
        <v>63688270</v>
      </c>
      <c r="X762" s="1">
        <v>174553000</v>
      </c>
      <c r="Y762" s="1">
        <v>55.5</v>
      </c>
      <c r="Z762" s="1">
        <v>0</v>
      </c>
      <c r="AA762" s="1">
        <v>0</v>
      </c>
      <c r="AB762" s="1">
        <v>139933520</v>
      </c>
      <c r="AC762" s="1">
        <v>0</v>
      </c>
    </row>
    <row r="763" spans="1:29" x14ac:dyDescent="0.3">
      <c r="A763">
        <v>2022</v>
      </c>
      <c r="B763">
        <v>100</v>
      </c>
      <c r="C763" t="str">
        <f>"04"</f>
        <v>04</v>
      </c>
      <c r="D763" t="s">
        <v>207</v>
      </c>
      <c r="E763" t="str">
        <f t="shared" si="100"/>
        <v>04 LOCALIDAD TURISTICA Y DE LA VIRGEN</v>
      </c>
      <c r="F763" s="2">
        <v>2022130010002</v>
      </c>
      <c r="G763" s="2" t="str">
        <f>+VLOOKUP(F763,Hoja2!$F:$I,2,FALSE)</f>
        <v>10. PILAR: CARTAGENA TRANSPARENTE</v>
      </c>
      <c r="H763" s="2" t="str">
        <f>+VLOOKUP(F763,Hoja2!$F:$I,3,FALSE)</f>
        <v>10.7 LÍNEA ESTRATÉGICA: PARTICIPACIÓN Y DESCENTRALIZACIÓN</v>
      </c>
      <c r="I763" s="2" t="str">
        <f>+VLOOKUP(F763,Hoja2!$F:$I,4,FALSE)</f>
        <v xml:space="preserve">10.7.2 PROGRAMA: MODERNIZACIÓN DEL SISTEMA DISTRITAL DE PLANEACIÓN Y DESCENTRALIZACIÓN  </v>
      </c>
      <c r="J763" t="s">
        <v>243</v>
      </c>
      <c r="K763" t="str">
        <f t="shared" ref="K763:K769" si="107">"001"</f>
        <v>001</v>
      </c>
      <c r="L763" t="s">
        <v>25</v>
      </c>
      <c r="M763" t="s">
        <v>26</v>
      </c>
      <c r="N763" t="s">
        <v>27</v>
      </c>
      <c r="O763" t="s">
        <v>244</v>
      </c>
      <c r="P763" t="str">
        <f t="shared" si="101"/>
        <v>2022130010002 CONSTRUCCION Y ADECUACION DE LA MALLA VIAL DEL LA LOCALIDAD DE LA VIRGEN Y TURISTICA DEL DISTRITO DE CARTAGENA DE INDIAS BOLIVAR</v>
      </c>
      <c r="Q763" t="str">
        <f t="shared" si="98"/>
        <v>06</v>
      </c>
      <c r="R763" t="str">
        <f t="shared" si="99"/>
        <v>00</v>
      </c>
      <c r="S763" s="1">
        <v>1000000000</v>
      </c>
      <c r="T763" s="1">
        <v>3225437500</v>
      </c>
      <c r="U763" s="1">
        <v>4225437500</v>
      </c>
      <c r="V763" s="1">
        <v>0</v>
      </c>
      <c r="W763" s="1">
        <v>4225437500</v>
      </c>
      <c r="X763" s="1">
        <v>0</v>
      </c>
      <c r="Y763" s="1">
        <v>0</v>
      </c>
      <c r="Z763" s="1">
        <v>0</v>
      </c>
      <c r="AA763" s="1">
        <v>0</v>
      </c>
      <c r="AB763" s="1">
        <v>4225437500</v>
      </c>
      <c r="AC763" s="1">
        <v>0</v>
      </c>
    </row>
    <row r="764" spans="1:29" x14ac:dyDescent="0.3">
      <c r="A764">
        <v>2022</v>
      </c>
      <c r="B764">
        <v>100</v>
      </c>
      <c r="C764" t="str">
        <f>"04"</f>
        <v>04</v>
      </c>
      <c r="D764" t="s">
        <v>207</v>
      </c>
      <c r="E764" t="str">
        <f t="shared" si="100"/>
        <v>04 LOCALIDAD TURISTICA Y DE LA VIRGEN</v>
      </c>
      <c r="F764" s="2">
        <v>2022130010003</v>
      </c>
      <c r="G764" s="2" t="str">
        <f>+VLOOKUP(F764,Hoja2!$F:$I,2,FALSE)</f>
        <v>10. PILAR: CARTAGENA TRANSPARENTE</v>
      </c>
      <c r="H764" s="2" t="str">
        <f>+VLOOKUP(F764,Hoja2!$F:$I,3,FALSE)</f>
        <v>10.7 LÍNEA ESTRATÉGICA: PARTICIPACIÓN Y DESCENTRALIZACIÓN</v>
      </c>
      <c r="I764" s="2" t="str">
        <f>+VLOOKUP(F764,Hoja2!$F:$I,4,FALSE)</f>
        <v xml:space="preserve">10.7.2 PROGRAMA: MODERNIZACIÓN DEL SISTEMA DISTRITAL DE PLANEACIÓN Y DESCENTRALIZACIÓN  </v>
      </c>
      <c r="J764" t="s">
        <v>287</v>
      </c>
      <c r="K764" t="str">
        <f t="shared" si="107"/>
        <v>001</v>
      </c>
      <c r="L764" t="s">
        <v>25</v>
      </c>
      <c r="M764" t="s">
        <v>26</v>
      </c>
      <c r="N764" t="s">
        <v>27</v>
      </c>
      <c r="O764" t="s">
        <v>288</v>
      </c>
      <c r="P764" t="str">
        <f t="shared" si="101"/>
        <v>2022130010003 ADECUACION DE ESCENARIOS PARA RECREACION Y DEPORTE EN LA LOCALIDAD DE LA VIRGEN Y TURISTICA</v>
      </c>
      <c r="Q764" t="str">
        <f t="shared" si="98"/>
        <v>06</v>
      </c>
      <c r="R764" t="str">
        <f t="shared" si="99"/>
        <v>00</v>
      </c>
      <c r="S764" s="1">
        <v>899980235.58000004</v>
      </c>
      <c r="T764" s="1">
        <v>0</v>
      </c>
      <c r="U764" s="1">
        <v>899980235.58000004</v>
      </c>
      <c r="V764" s="1">
        <v>0</v>
      </c>
      <c r="W764" s="1">
        <v>899980235.58000004</v>
      </c>
      <c r="X764" s="1">
        <v>0</v>
      </c>
      <c r="Y764" s="1">
        <v>0</v>
      </c>
      <c r="Z764" s="1">
        <v>0</v>
      </c>
      <c r="AA764" s="1">
        <v>0</v>
      </c>
      <c r="AB764" s="1">
        <v>899980235.58000004</v>
      </c>
      <c r="AC764" s="1">
        <v>0</v>
      </c>
    </row>
    <row r="765" spans="1:29" x14ac:dyDescent="0.3">
      <c r="A765">
        <v>2022</v>
      </c>
      <c r="B765">
        <v>100</v>
      </c>
      <c r="C765" t="str">
        <f>"11"</f>
        <v>11</v>
      </c>
      <c r="D765" t="s">
        <v>694</v>
      </c>
      <c r="E765" t="str">
        <f t="shared" si="100"/>
        <v>11 LOCALIDAD HISTORICA Y DEL CARIBE NORTE</v>
      </c>
      <c r="F765" s="2">
        <v>2022130010004</v>
      </c>
      <c r="G765" s="2" t="str">
        <f>+VLOOKUP(F765,Hoja2!$F:$I,2,FALSE)</f>
        <v>10. PILAR: CARTAGENA TRANSPARENTE</v>
      </c>
      <c r="H765" s="2" t="str">
        <f>+VLOOKUP(F765,Hoja2!$F:$I,3,FALSE)</f>
        <v>10.7 LÍNEA ESTRATÉGICA: PARTICIPACIÓN Y DESCENTRALIZACIÓN</v>
      </c>
      <c r="I765" s="2" t="str">
        <f>+VLOOKUP(F765,Hoja2!$F:$I,4,FALSE)</f>
        <v xml:space="preserve">10.7.2 PROGRAMA: MODERNIZACIÓN DEL SISTEMA DISTRITAL DE PLANEACIÓN Y DESCENTRALIZACIÓN  </v>
      </c>
      <c r="J765" t="s">
        <v>715</v>
      </c>
      <c r="K765" t="str">
        <f t="shared" si="107"/>
        <v>001</v>
      </c>
      <c r="L765" t="s">
        <v>25</v>
      </c>
      <c r="M765" t="s">
        <v>26</v>
      </c>
      <c r="N765" t="s">
        <v>27</v>
      </c>
      <c r="O765" t="s">
        <v>716</v>
      </c>
      <c r="P765" t="str">
        <f t="shared" si="101"/>
        <v xml:space="preserve">2022130010004 IMPLEMENTACION PROYECTO CAMPA?AS PARA EL RESCATE DE LOS DERECHOS A LOS ADULTOS MAYORES DE LA LOCALIDAD, HISTORICA Y DEL CARIBENORTE  </v>
      </c>
      <c r="Q765" t="str">
        <f t="shared" si="98"/>
        <v>06</v>
      </c>
      <c r="R765" t="str">
        <f t="shared" si="99"/>
        <v>00</v>
      </c>
      <c r="S765" s="1">
        <v>0</v>
      </c>
      <c r="T765" s="1">
        <v>88940116</v>
      </c>
      <c r="U765" s="1">
        <v>88940116</v>
      </c>
      <c r="V765" s="1">
        <v>88940116</v>
      </c>
      <c r="W765" s="1">
        <v>0</v>
      </c>
      <c r="X765" s="1">
        <v>88940116</v>
      </c>
      <c r="Y765" s="1">
        <v>100</v>
      </c>
      <c r="Z765" s="1">
        <v>88940116</v>
      </c>
      <c r="AA765" s="1">
        <v>100</v>
      </c>
      <c r="AB765" s="1">
        <v>0</v>
      </c>
      <c r="AC765" s="1">
        <v>88940116</v>
      </c>
    </row>
    <row r="766" spans="1:29" x14ac:dyDescent="0.3">
      <c r="A766">
        <v>2022</v>
      </c>
      <c r="B766">
        <v>100</v>
      </c>
      <c r="C766" t="str">
        <f>"04"</f>
        <v>04</v>
      </c>
      <c r="D766" t="s">
        <v>207</v>
      </c>
      <c r="E766" t="str">
        <f t="shared" si="100"/>
        <v>04 LOCALIDAD TURISTICA Y DE LA VIRGEN</v>
      </c>
      <c r="F766" s="2">
        <v>2022130010005</v>
      </c>
      <c r="G766" s="2" t="str">
        <f>+VLOOKUP(F766,Hoja2!$F:$I,2,FALSE)</f>
        <v>10. PILAR: CARTAGENA TRANSPARENTE</v>
      </c>
      <c r="H766" s="2" t="str">
        <f>+VLOOKUP(F766,Hoja2!$F:$I,3,FALSE)</f>
        <v>10.7 LÍNEA ESTRATÉGICA: PARTICIPACIÓN Y DESCENTRALIZACIÓN</v>
      </c>
      <c r="I766" s="2" t="str">
        <f>+VLOOKUP(F766,Hoja2!$F:$I,4,FALSE)</f>
        <v xml:space="preserve">10.7.2 PROGRAMA: MODERNIZACIÓN DEL SISTEMA DISTRITAL DE PLANEACIÓN Y DESCENTRALIZACIÓN  </v>
      </c>
      <c r="J766" t="s">
        <v>237</v>
      </c>
      <c r="K766" t="str">
        <f t="shared" si="107"/>
        <v>001</v>
      </c>
      <c r="L766" t="s">
        <v>25</v>
      </c>
      <c r="M766" t="s">
        <v>26</v>
      </c>
      <c r="N766" t="s">
        <v>27</v>
      </c>
      <c r="O766" t="s">
        <v>238</v>
      </c>
      <c r="P766" t="str">
        <f t="shared" si="101"/>
        <v xml:space="preserve">2022130010005 FORTALECIMIENTO AL CUIDADO INCLUSIVO DE LA POBLACION CON DISCAPACIDAD EN LA LOCALIDAD  DE LA VIRGEN Y TURISTICA EN CARTAGENA DE INDIAS,     </v>
      </c>
      <c r="Q766" t="str">
        <f t="shared" si="98"/>
        <v>06</v>
      </c>
      <c r="R766" t="str">
        <f t="shared" si="99"/>
        <v>00</v>
      </c>
      <c r="S766" s="1">
        <v>189200000</v>
      </c>
      <c r="T766" s="1">
        <v>-128742647</v>
      </c>
      <c r="U766" s="1">
        <v>60457353</v>
      </c>
      <c r="V766" s="1">
        <v>0</v>
      </c>
      <c r="W766" s="1">
        <v>60457353</v>
      </c>
      <c r="X766" s="1">
        <v>0</v>
      </c>
      <c r="Y766" s="1">
        <v>0</v>
      </c>
      <c r="Z766" s="1">
        <v>0</v>
      </c>
      <c r="AA766" s="1">
        <v>0</v>
      </c>
      <c r="AB766" s="1">
        <v>60457353</v>
      </c>
      <c r="AC766" s="1">
        <v>0</v>
      </c>
    </row>
    <row r="767" spans="1:29" x14ac:dyDescent="0.3">
      <c r="A767">
        <v>2022</v>
      </c>
      <c r="B767">
        <v>100</v>
      </c>
      <c r="C767" t="str">
        <f>"04"</f>
        <v>04</v>
      </c>
      <c r="D767" t="s">
        <v>207</v>
      </c>
      <c r="E767" t="str">
        <f t="shared" si="100"/>
        <v>04 LOCALIDAD TURISTICA Y DE LA VIRGEN</v>
      </c>
      <c r="F767" s="2">
        <v>2022130010006</v>
      </c>
      <c r="G767" s="2" t="str">
        <f>+VLOOKUP(F767,Hoja2!$F:$I,2,FALSE)</f>
        <v>10. PILAR: CARTAGENA TRANSPARENTE</v>
      </c>
      <c r="H767" s="2" t="str">
        <f>+VLOOKUP(F767,Hoja2!$F:$I,3,FALSE)</f>
        <v>10.7 LÍNEA ESTRATÉGICA: PARTICIPACIÓN Y DESCENTRALIZACIÓN</v>
      </c>
      <c r="I767" s="2" t="str">
        <f>+VLOOKUP(F767,Hoja2!$F:$I,4,FALSE)</f>
        <v xml:space="preserve">10.7.2 PROGRAMA: MODERNIZACIÓN DEL SISTEMA DISTRITAL DE PLANEACIÓN Y DESCENTRALIZACIÓN  </v>
      </c>
      <c r="J767" t="s">
        <v>217</v>
      </c>
      <c r="K767" t="str">
        <f t="shared" si="107"/>
        <v>001</v>
      </c>
      <c r="L767" t="s">
        <v>25</v>
      </c>
      <c r="M767" t="s">
        <v>26</v>
      </c>
      <c r="N767" t="s">
        <v>27</v>
      </c>
      <c r="O767" t="s">
        <v>218</v>
      </c>
      <c r="P767" t="str">
        <f t="shared" si="101"/>
        <v>2022130010006 FORTALECIMIENTO DE LA CONVIVENCIA Y SEGURIDAD CIUDADANA</v>
      </c>
      <c r="Q767" t="str">
        <f t="shared" si="98"/>
        <v>06</v>
      </c>
      <c r="R767" t="str">
        <f t="shared" si="99"/>
        <v>00</v>
      </c>
      <c r="S767" s="1">
        <v>300000000</v>
      </c>
      <c r="T767" s="1">
        <v>-300000000</v>
      </c>
      <c r="U767" s="1">
        <v>0</v>
      </c>
      <c r="V767" s="1">
        <v>0</v>
      </c>
      <c r="W767" s="1">
        <v>0</v>
      </c>
      <c r="X767" s="1">
        <v>0</v>
      </c>
      <c r="Y767" s="1">
        <v>0</v>
      </c>
      <c r="Z767" s="1">
        <v>0</v>
      </c>
      <c r="AA767" s="1">
        <v>0</v>
      </c>
      <c r="AB767" s="1">
        <v>0</v>
      </c>
      <c r="AC767" s="1">
        <v>0</v>
      </c>
    </row>
    <row r="768" spans="1:29" x14ac:dyDescent="0.3">
      <c r="A768">
        <v>2022</v>
      </c>
      <c r="B768">
        <v>100</v>
      </c>
      <c r="C768" t="str">
        <f>"04"</f>
        <v>04</v>
      </c>
      <c r="D768" t="s">
        <v>207</v>
      </c>
      <c r="E768" t="str">
        <f t="shared" si="100"/>
        <v>04 LOCALIDAD TURISTICA Y DE LA VIRGEN</v>
      </c>
      <c r="F768" s="2">
        <v>2022130010007</v>
      </c>
      <c r="G768" s="2" t="str">
        <f>+VLOOKUP(F768,Hoja2!$F:$I,2,FALSE)</f>
        <v>10. PILAR: CARTAGENA TRANSPARENTE</v>
      </c>
      <c r="H768" s="2" t="str">
        <f>+VLOOKUP(F768,Hoja2!$F:$I,3,FALSE)</f>
        <v>10.7 LÍNEA ESTRATÉGICA: PARTICIPACIÓN Y DESCENTRALIZACIÓN</v>
      </c>
      <c r="I768" s="2" t="str">
        <f>+VLOOKUP(F768,Hoja2!$F:$I,4,FALSE)</f>
        <v xml:space="preserve">10.7.2 PROGRAMA: MODERNIZACIÓN DEL SISTEMA DISTRITAL DE PLANEACIÓN Y DESCENTRALIZACIÓN  </v>
      </c>
      <c r="J768" t="s">
        <v>233</v>
      </c>
      <c r="K768" t="str">
        <f t="shared" si="107"/>
        <v>001</v>
      </c>
      <c r="L768" t="s">
        <v>25</v>
      </c>
      <c r="M768" t="s">
        <v>26</v>
      </c>
      <c r="N768" t="s">
        <v>27</v>
      </c>
      <c r="O768" t="s">
        <v>234</v>
      </c>
      <c r="P768" t="str">
        <f t="shared" si="101"/>
        <v>2022130010007 IMPLEMENTACION Y MANTENIMIENTO DE HERRAMIENTAS TECNOLOGICAS PARA SEGURIDAD Y SOCORRO EN LA LOCALIDAD DE LA VIRGEN Y TURISTICA DE CARTAGENA DE INDIAS CARTAGENA DE INDIAS</v>
      </c>
      <c r="Q768" t="str">
        <f t="shared" si="98"/>
        <v>06</v>
      </c>
      <c r="R768" t="str">
        <f t="shared" si="99"/>
        <v>00</v>
      </c>
      <c r="S768" s="1">
        <v>300000000</v>
      </c>
      <c r="T768" s="1">
        <v>-300000000</v>
      </c>
      <c r="U768" s="1">
        <v>0</v>
      </c>
      <c r="V768" s="1">
        <v>0</v>
      </c>
      <c r="W768" s="1">
        <v>0</v>
      </c>
      <c r="X768" s="1">
        <v>0</v>
      </c>
      <c r="Y768" s="1">
        <v>0</v>
      </c>
      <c r="Z768" s="1">
        <v>0</v>
      </c>
      <c r="AA768" s="1">
        <v>0</v>
      </c>
      <c r="AB768" s="1">
        <v>0</v>
      </c>
      <c r="AC768" s="1">
        <v>0</v>
      </c>
    </row>
    <row r="769" spans="1:29" x14ac:dyDescent="0.3">
      <c r="A769">
        <v>2022</v>
      </c>
      <c r="B769">
        <v>100</v>
      </c>
      <c r="C769" t="str">
        <f>"04"</f>
        <v>04</v>
      </c>
      <c r="D769" t="s">
        <v>207</v>
      </c>
      <c r="E769" t="str">
        <f t="shared" si="100"/>
        <v>04 LOCALIDAD TURISTICA Y DE LA VIRGEN</v>
      </c>
      <c r="F769" s="2">
        <v>2022130010009</v>
      </c>
      <c r="G769" s="2" t="str">
        <f>+VLOOKUP(F769,Hoja2!$F:$I,2,FALSE)</f>
        <v>10. PILAR: CARTAGENA TRANSPARENTE</v>
      </c>
      <c r="H769" s="2" t="str">
        <f>+VLOOKUP(F769,Hoja2!$F:$I,3,FALSE)</f>
        <v>10.7 LÍNEA ESTRATÉGICA: PARTICIPACIÓN Y DESCENTRALIZACIÓN</v>
      </c>
      <c r="I769" s="2" t="str">
        <f>+VLOOKUP(F769,Hoja2!$F:$I,4,FALSE)</f>
        <v xml:space="preserve">10.7.2 PROGRAMA: MODERNIZACIÓN DEL SISTEMA DISTRITAL DE PLANEACIÓN Y DESCENTRALIZACIÓN  </v>
      </c>
      <c r="J769" t="s">
        <v>231</v>
      </c>
      <c r="K769" t="str">
        <f t="shared" si="107"/>
        <v>001</v>
      </c>
      <c r="L769" t="s">
        <v>25</v>
      </c>
      <c r="M769" t="s">
        <v>26</v>
      </c>
      <c r="N769" t="s">
        <v>27</v>
      </c>
      <c r="O769" t="s">
        <v>232</v>
      </c>
      <c r="P769" t="str">
        <f t="shared" si="101"/>
        <v>2022130010009 CONSTRUCCION DE POZOS PROFUNDOS PARA EL DESARROLLO AGROPECUARIO EN LA VEREDA PUA EN EL CORREGIMIENTO DE ARROYO DE PIEDRA DEL DISTRITO DE   CARTAGENA DE INDIAS</v>
      </c>
      <c r="Q769" t="str">
        <f t="shared" si="98"/>
        <v>06</v>
      </c>
      <c r="R769" t="str">
        <f t="shared" si="99"/>
        <v>00</v>
      </c>
      <c r="S769" s="1">
        <v>0</v>
      </c>
      <c r="T769" s="1">
        <v>0</v>
      </c>
      <c r="U769" s="1">
        <v>0</v>
      </c>
      <c r="V769" s="1">
        <v>0</v>
      </c>
      <c r="W769" s="1">
        <v>0</v>
      </c>
      <c r="X769" s="1">
        <v>0</v>
      </c>
      <c r="Y769" s="1">
        <v>0</v>
      </c>
      <c r="Z769" s="1">
        <v>0</v>
      </c>
      <c r="AA769" s="1">
        <v>0</v>
      </c>
      <c r="AB769" s="1">
        <v>0</v>
      </c>
      <c r="AC769" s="1">
        <v>0</v>
      </c>
    </row>
    <row r="770" spans="1:29" x14ac:dyDescent="0.3">
      <c r="A770">
        <v>2022</v>
      </c>
      <c r="B770">
        <v>100</v>
      </c>
      <c r="C770" t="str">
        <f>"02"</f>
        <v>02</v>
      </c>
      <c r="D770" t="s">
        <v>106</v>
      </c>
      <c r="E770" t="str">
        <f t="shared" si="100"/>
        <v>02 SECRETARIA DEL INTERIOR Y CONVIVENCIA CIUDADANAL</v>
      </c>
      <c r="F770" s="2">
        <v>2022130010013</v>
      </c>
      <c r="G770" s="2" t="str">
        <f>+VLOOKUP(F770,Hoja2!$F:$I,2,FALSE)</f>
        <v>10. PILAR: CARTAGENA TRANSPARENTE</v>
      </c>
      <c r="H770" s="2" t="str">
        <f>+VLOOKUP(F770,Hoja2!$F:$I,3,FALSE)</f>
        <v>10.3 LÍNEA ESTRATÉGICA: CONVIVENCIA Y SEGURIDAD PARA LA GOBERNABILIDAD</v>
      </c>
      <c r="I770" s="2" t="str">
        <f>+VLOOKUP(F770,Hoja2!$F:$I,4,FALSE)</f>
        <v>10.3.1 PLAN INTEGRAL DE SEGURIDAD Y CONVIVENCIA CIUDADANA</v>
      </c>
      <c r="J770" t="s">
        <v>134</v>
      </c>
      <c r="K770" t="str">
        <f>"856"</f>
        <v>856</v>
      </c>
      <c r="L770" t="s">
        <v>126</v>
      </c>
      <c r="M770" t="s">
        <v>26</v>
      </c>
      <c r="N770" t="s">
        <v>27</v>
      </c>
      <c r="O770" t="s">
        <v>135</v>
      </c>
      <c r="P770" t="str">
        <f t="shared" si="101"/>
        <v>2022130010013 FORTALECIMIENTO INTEGRAL  DE LAS CAPACIDADES INSTITUCIONALES DE LA POLICIA METROPOLITANA DE  CARTAGENA DE INDIAS</v>
      </c>
      <c r="Q770" t="str">
        <f t="shared" si="98"/>
        <v>06</v>
      </c>
      <c r="R770" t="str">
        <f t="shared" si="99"/>
        <v>00</v>
      </c>
      <c r="S770" s="1">
        <v>0</v>
      </c>
      <c r="T770" s="1">
        <v>2206177398.8600001</v>
      </c>
      <c r="U770" s="1">
        <v>2206177398.8600001</v>
      </c>
      <c r="V770" s="1">
        <v>1423220970</v>
      </c>
      <c r="W770" s="1">
        <v>782956428.86000001</v>
      </c>
      <c r="X770" s="1">
        <v>1423220970</v>
      </c>
      <c r="Y770" s="1">
        <v>64.510000000000005</v>
      </c>
      <c r="Z770" s="1">
        <v>478937187.44</v>
      </c>
      <c r="AA770" s="1">
        <v>21.71</v>
      </c>
      <c r="AB770" s="1">
        <v>782956428.86000001</v>
      </c>
      <c r="AC770" s="1">
        <v>208766135.56</v>
      </c>
    </row>
  </sheetData>
  <autoFilter ref="A1:AC1" xr:uid="{00000000-0009-0000-0000-000000000000}">
    <sortState xmlns:xlrd2="http://schemas.microsoft.com/office/spreadsheetml/2017/richdata2" ref="A2:AC771">
      <sortCondition ref="F1"/>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57BDD-0D78-40AB-B328-039106722895}">
  <dimension ref="A1:J53"/>
  <sheetViews>
    <sheetView topLeftCell="A49" workbookViewId="0">
      <selection activeCell="C57" sqref="C57"/>
    </sheetView>
  </sheetViews>
  <sheetFormatPr baseColWidth="10" defaultRowHeight="14.4" x14ac:dyDescent="0.3"/>
  <cols>
    <col min="1" max="1" width="64.6640625" style="14" customWidth="1"/>
    <col min="2" max="2" width="19.109375" style="40" bestFit="1" customWidth="1"/>
    <col min="3" max="4" width="20.109375" style="40" bestFit="1" customWidth="1"/>
    <col min="5" max="6" width="19.109375" style="40" bestFit="1" customWidth="1"/>
    <col min="7" max="7" width="23.6640625" style="40" bestFit="1" customWidth="1"/>
    <col min="8" max="8" width="22.109375" style="40" bestFit="1" customWidth="1"/>
    <col min="9" max="9" width="14.109375" style="8" bestFit="1" customWidth="1"/>
    <col min="10" max="10" width="12.88671875" style="8" bestFit="1" customWidth="1"/>
  </cols>
  <sheetData>
    <row r="1" spans="1:10" x14ac:dyDescent="0.3">
      <c r="A1" s="13" t="s">
        <v>2</v>
      </c>
      <c r="B1" s="40" t="s">
        <v>1665</v>
      </c>
    </row>
    <row r="3" spans="1:10" x14ac:dyDescent="0.3">
      <c r="A3" s="13" t="s">
        <v>1672</v>
      </c>
      <c r="B3" s="40" t="s">
        <v>1666</v>
      </c>
      <c r="C3" s="40" t="s">
        <v>1667</v>
      </c>
      <c r="D3" s="40" t="s">
        <v>1669</v>
      </c>
      <c r="E3" s="40" t="s">
        <v>1668</v>
      </c>
      <c r="F3" s="40" t="s">
        <v>1670</v>
      </c>
      <c r="G3" s="40" t="s">
        <v>1642</v>
      </c>
      <c r="H3" s="40" t="s">
        <v>1671</v>
      </c>
      <c r="I3" s="8" t="s">
        <v>1643</v>
      </c>
      <c r="J3" s="8" t="s">
        <v>1644</v>
      </c>
    </row>
    <row r="4" spans="1:10" x14ac:dyDescent="0.3">
      <c r="A4" s="15" t="s">
        <v>1219</v>
      </c>
      <c r="B4" s="6">
        <v>41735800356</v>
      </c>
      <c r="C4" s="6">
        <v>111511084441.63998</v>
      </c>
      <c r="D4" s="6">
        <v>100631948282.89999</v>
      </c>
      <c r="E4" s="6">
        <v>85376360775.360001</v>
      </c>
      <c r="F4" s="6">
        <v>84285602416.440002</v>
      </c>
      <c r="G4" s="6">
        <v>5396791232.3199768</v>
      </c>
      <c r="H4" s="6">
        <v>10879136158.739975</v>
      </c>
      <c r="I4" s="9">
        <v>0.95160309614651428</v>
      </c>
      <c r="J4" s="9">
        <v>0.90243897085913782</v>
      </c>
    </row>
    <row r="5" spans="1:10" x14ac:dyDescent="0.3">
      <c r="A5" s="16" t="s">
        <v>1026</v>
      </c>
      <c r="B5" s="41">
        <v>30545193474</v>
      </c>
      <c r="C5" s="41">
        <v>83394352333.610001</v>
      </c>
      <c r="D5" s="41">
        <v>78735239851.520004</v>
      </c>
      <c r="E5" s="41">
        <v>74599648594.110001</v>
      </c>
      <c r="F5" s="41">
        <v>73994545705.720001</v>
      </c>
      <c r="G5" s="41">
        <v>1674568375.0099945</v>
      </c>
      <c r="H5" s="41">
        <v>4659112482.0899811</v>
      </c>
      <c r="I5" s="10">
        <v>0.9799198827240595</v>
      </c>
      <c r="J5" s="10">
        <v>0.94413155865217691</v>
      </c>
    </row>
    <row r="6" spans="1:10" ht="28.8" x14ac:dyDescent="0.3">
      <c r="A6" s="17" t="s">
        <v>1051</v>
      </c>
      <c r="B6" s="42">
        <v>22267926689</v>
      </c>
      <c r="C6" s="42">
        <v>67998210676.699997</v>
      </c>
      <c r="D6" s="42">
        <v>66654692881.57</v>
      </c>
      <c r="E6" s="42">
        <v>65277587832</v>
      </c>
      <c r="F6" s="42">
        <v>65196921832</v>
      </c>
      <c r="G6" s="42">
        <v>285122891.98999786</v>
      </c>
      <c r="H6" s="42">
        <v>1343517795.1299973</v>
      </c>
      <c r="I6" s="11">
        <v>0.99580690595895782</v>
      </c>
      <c r="J6" s="11">
        <v>0.9802418654585221</v>
      </c>
    </row>
    <row r="7" spans="1:10" x14ac:dyDescent="0.3">
      <c r="A7" s="18" t="s">
        <v>1094</v>
      </c>
      <c r="B7" s="43">
        <v>469663233</v>
      </c>
      <c r="C7" s="43">
        <v>451663233</v>
      </c>
      <c r="D7" s="43">
        <v>353050000</v>
      </c>
      <c r="E7" s="43">
        <v>353050000</v>
      </c>
      <c r="F7" s="43">
        <v>328450000</v>
      </c>
      <c r="G7" s="43">
        <v>69663233</v>
      </c>
      <c r="H7" s="43">
        <v>98613233</v>
      </c>
      <c r="I7" s="12">
        <v>0.84576288723505644</v>
      </c>
      <c r="J7" s="12">
        <v>0.78166645900088128</v>
      </c>
    </row>
    <row r="8" spans="1:10" ht="28.8" x14ac:dyDescent="0.3">
      <c r="A8" s="19" t="s">
        <v>1240</v>
      </c>
      <c r="B8" s="7">
        <v>469663233</v>
      </c>
      <c r="C8" s="7">
        <v>451663233</v>
      </c>
      <c r="D8" s="7">
        <v>353050000</v>
      </c>
      <c r="E8" s="7">
        <v>353050000</v>
      </c>
      <c r="F8" s="7">
        <v>328450000</v>
      </c>
      <c r="G8" s="7">
        <v>69663233</v>
      </c>
      <c r="H8" s="7">
        <v>98613233</v>
      </c>
      <c r="I8" s="8">
        <v>0.84576288723505644</v>
      </c>
      <c r="J8" s="8">
        <v>0.78166645900088128</v>
      </c>
    </row>
    <row r="9" spans="1:10" x14ac:dyDescent="0.3">
      <c r="A9" s="18" t="s">
        <v>1202</v>
      </c>
      <c r="B9" s="43">
        <v>2753854014</v>
      </c>
      <c r="C9" s="43">
        <v>2693902633.9200001</v>
      </c>
      <c r="D9" s="43">
        <v>1769679231.6500001</v>
      </c>
      <c r="E9" s="43">
        <v>1669216000</v>
      </c>
      <c r="F9" s="43">
        <v>1639150000</v>
      </c>
      <c r="G9" s="43">
        <v>196267907.96000004</v>
      </c>
      <c r="H9" s="43">
        <v>924223402.26999998</v>
      </c>
      <c r="I9" s="12">
        <v>0.92714365193132342</v>
      </c>
      <c r="J9" s="12">
        <v>0.6569202648110829</v>
      </c>
    </row>
    <row r="10" spans="1:10" ht="28.8" x14ac:dyDescent="0.3">
      <c r="A10" s="19" t="s">
        <v>1241</v>
      </c>
      <c r="B10" s="7">
        <v>2603854014</v>
      </c>
      <c r="C10" s="7">
        <v>2583902633.9200001</v>
      </c>
      <c r="D10" s="7">
        <v>1659679231.6500001</v>
      </c>
      <c r="E10" s="7">
        <v>1559216000</v>
      </c>
      <c r="F10" s="7">
        <v>1529150000</v>
      </c>
      <c r="G10" s="7">
        <v>196267907.96000004</v>
      </c>
      <c r="H10" s="7">
        <v>924223402.26999998</v>
      </c>
      <c r="I10" s="8">
        <v>0.92404206513685661</v>
      </c>
      <c r="J10" s="8">
        <v>0.64231492698783532</v>
      </c>
    </row>
    <row r="11" spans="1:10" ht="28.8" x14ac:dyDescent="0.3">
      <c r="A11" s="19" t="s">
        <v>1242</v>
      </c>
      <c r="B11" s="7">
        <v>150000000</v>
      </c>
      <c r="C11" s="7">
        <v>110000000</v>
      </c>
      <c r="D11" s="7">
        <v>110000000</v>
      </c>
      <c r="E11" s="7">
        <v>110000000</v>
      </c>
      <c r="F11" s="7">
        <v>110000000</v>
      </c>
      <c r="G11" s="7">
        <v>0</v>
      </c>
      <c r="H11" s="7">
        <v>0</v>
      </c>
      <c r="I11" s="8">
        <v>1</v>
      </c>
      <c r="J11" s="8">
        <v>1</v>
      </c>
    </row>
    <row r="12" spans="1:10" x14ac:dyDescent="0.3">
      <c r="A12" s="18" t="s">
        <v>1201</v>
      </c>
      <c r="B12" s="43">
        <v>5231193073</v>
      </c>
      <c r="C12" s="43">
        <v>690224296</v>
      </c>
      <c r="D12" s="43">
        <v>376641817.91999996</v>
      </c>
      <c r="E12" s="43">
        <v>153000000</v>
      </c>
      <c r="F12" s="43">
        <v>149000000</v>
      </c>
      <c r="G12" s="43">
        <v>12093069.25</v>
      </c>
      <c r="H12" s="43">
        <v>313582478.08000004</v>
      </c>
      <c r="I12" s="12">
        <v>0.98247950800908923</v>
      </c>
      <c r="J12" s="12">
        <v>0.54568032464623639</v>
      </c>
    </row>
    <row r="13" spans="1:10" ht="28.8" x14ac:dyDescent="0.3">
      <c r="A13" s="19" t="s">
        <v>1243</v>
      </c>
      <c r="B13" s="7">
        <v>325465995</v>
      </c>
      <c r="C13" s="7">
        <v>690224296</v>
      </c>
      <c r="D13" s="7">
        <v>376641817.91999996</v>
      </c>
      <c r="E13" s="7">
        <v>153000000</v>
      </c>
      <c r="F13" s="7">
        <v>149000000</v>
      </c>
      <c r="G13" s="7">
        <v>12093069.25</v>
      </c>
      <c r="H13" s="7">
        <v>313582478.08000004</v>
      </c>
      <c r="I13" s="8">
        <v>0.98247950800908923</v>
      </c>
      <c r="J13" s="8">
        <v>0.54568032464623639</v>
      </c>
    </row>
    <row r="14" spans="1:10" ht="28.8" x14ac:dyDescent="0.3">
      <c r="A14" s="19" t="s">
        <v>1244</v>
      </c>
      <c r="B14" s="7">
        <v>4905727078</v>
      </c>
      <c r="C14" s="7">
        <v>0</v>
      </c>
      <c r="D14" s="7">
        <v>0</v>
      </c>
      <c r="E14" s="7">
        <v>0</v>
      </c>
      <c r="F14" s="7">
        <v>0</v>
      </c>
      <c r="G14" s="7">
        <v>0</v>
      </c>
      <c r="H14" s="7">
        <v>0</v>
      </c>
      <c r="I14" s="8" t="e">
        <v>#DIV/0!</v>
      </c>
      <c r="J14" s="8" t="e">
        <v>#DIV/0!</v>
      </c>
    </row>
    <row r="15" spans="1:10" x14ac:dyDescent="0.3">
      <c r="A15" s="18" t="s">
        <v>1076</v>
      </c>
      <c r="B15" s="43">
        <v>498894537</v>
      </c>
      <c r="C15" s="43">
        <v>1148098681.78</v>
      </c>
      <c r="D15" s="43">
        <v>1141000000</v>
      </c>
      <c r="E15" s="43">
        <v>88000000</v>
      </c>
      <c r="F15" s="43">
        <v>66000000</v>
      </c>
      <c r="G15" s="43">
        <v>7098681.7799999714</v>
      </c>
      <c r="H15" s="43">
        <v>7098681.7799999714</v>
      </c>
      <c r="I15" s="12">
        <v>0.99381701077385243</v>
      </c>
      <c r="J15" s="12">
        <v>0.99381701077385243</v>
      </c>
    </row>
    <row r="16" spans="1:10" ht="28.8" x14ac:dyDescent="0.3">
      <c r="A16" s="19" t="s">
        <v>1245</v>
      </c>
      <c r="B16" s="7">
        <v>498894537</v>
      </c>
      <c r="C16" s="7">
        <v>1148098681.78</v>
      </c>
      <c r="D16" s="7">
        <v>1141000000</v>
      </c>
      <c r="E16" s="7">
        <v>88000000</v>
      </c>
      <c r="F16" s="7">
        <v>66000000</v>
      </c>
      <c r="G16" s="7">
        <v>7098681.7799999714</v>
      </c>
      <c r="H16" s="7">
        <v>7098681.7799999714</v>
      </c>
      <c r="I16" s="8">
        <v>0.99381701077385243</v>
      </c>
      <c r="J16" s="8">
        <v>0.99381701077385243</v>
      </c>
    </row>
    <row r="17" spans="1:10" x14ac:dyDescent="0.3">
      <c r="A17" s="18" t="s">
        <v>1052</v>
      </c>
      <c r="B17" s="43">
        <v>13314321832</v>
      </c>
      <c r="C17" s="43">
        <v>63014321832</v>
      </c>
      <c r="D17" s="43">
        <v>63014321832</v>
      </c>
      <c r="E17" s="43">
        <v>63014321832</v>
      </c>
      <c r="F17" s="43">
        <v>63014321832</v>
      </c>
      <c r="G17" s="43">
        <v>0</v>
      </c>
      <c r="H17" s="43">
        <v>0</v>
      </c>
      <c r="I17" s="12">
        <v>1</v>
      </c>
      <c r="J17" s="12">
        <v>1</v>
      </c>
    </row>
    <row r="18" spans="1:10" ht="43.2" x14ac:dyDescent="0.3">
      <c r="A18" s="19" t="s">
        <v>1246</v>
      </c>
      <c r="B18" s="7">
        <v>13314321832</v>
      </c>
      <c r="C18" s="7">
        <v>63014321832</v>
      </c>
      <c r="D18" s="7">
        <v>63014321832</v>
      </c>
      <c r="E18" s="7">
        <v>63014321832</v>
      </c>
      <c r="F18" s="7">
        <v>63014321832</v>
      </c>
      <c r="G18" s="7">
        <v>0</v>
      </c>
      <c r="H18" s="7">
        <v>0</v>
      </c>
      <c r="I18" s="8">
        <v>1</v>
      </c>
      <c r="J18" s="8">
        <v>1</v>
      </c>
    </row>
    <row r="19" spans="1:10" x14ac:dyDescent="0.3">
      <c r="A19" s="17" t="s">
        <v>1027</v>
      </c>
      <c r="B19" s="42">
        <v>8277266785</v>
      </c>
      <c r="C19" s="42">
        <v>15396141656.91</v>
      </c>
      <c r="D19" s="42">
        <v>12080546969.950001</v>
      </c>
      <c r="E19" s="42">
        <v>9322060762.1100006</v>
      </c>
      <c r="F19" s="42">
        <v>8797623873.7200012</v>
      </c>
      <c r="G19" s="42">
        <v>1389445483.0199986</v>
      </c>
      <c r="H19" s="42">
        <v>3315594686.9599972</v>
      </c>
      <c r="I19" s="11">
        <v>0.90975365685880161</v>
      </c>
      <c r="J19" s="11">
        <v>0.78464768895706327</v>
      </c>
    </row>
    <row r="20" spans="1:10" x14ac:dyDescent="0.3">
      <c r="A20" s="18" t="s">
        <v>1135</v>
      </c>
      <c r="B20" s="43">
        <v>1678393118</v>
      </c>
      <c r="C20" s="43">
        <v>3099436209.2199998</v>
      </c>
      <c r="D20" s="43">
        <v>1293009211.03</v>
      </c>
      <c r="E20" s="43">
        <v>1249734980.5999999</v>
      </c>
      <c r="F20" s="43">
        <v>1247834980.5999999</v>
      </c>
      <c r="G20" s="43">
        <v>285398260.78999996</v>
      </c>
      <c r="H20" s="43">
        <v>1806426998.1899998</v>
      </c>
      <c r="I20" s="12">
        <v>0.90791929837400243</v>
      </c>
      <c r="J20" s="12">
        <v>0.41717561638585782</v>
      </c>
    </row>
    <row r="21" spans="1:10" ht="28.8" x14ac:dyDescent="0.3">
      <c r="A21" s="19" t="s">
        <v>1247</v>
      </c>
      <c r="B21" s="7">
        <v>1678393118</v>
      </c>
      <c r="C21" s="7">
        <v>3099436209.2199998</v>
      </c>
      <c r="D21" s="7">
        <v>1293009211.03</v>
      </c>
      <c r="E21" s="7">
        <v>1249734980.5999999</v>
      </c>
      <c r="F21" s="7">
        <v>1247834980.5999999</v>
      </c>
      <c r="G21" s="7">
        <v>285398260.78999996</v>
      </c>
      <c r="H21" s="7">
        <v>1806426998.1899998</v>
      </c>
      <c r="I21" s="8">
        <v>0.90791929837400243</v>
      </c>
      <c r="J21" s="8">
        <v>0.41717561638585782</v>
      </c>
    </row>
    <row r="22" spans="1:10" x14ac:dyDescent="0.3">
      <c r="A22" s="18" t="s">
        <v>1029</v>
      </c>
      <c r="B22" s="43">
        <v>1788949667</v>
      </c>
      <c r="C22" s="43">
        <v>2723706774.0999999</v>
      </c>
      <c r="D22" s="43">
        <v>2010226211.2</v>
      </c>
      <c r="E22" s="43">
        <v>1796298459.5899999</v>
      </c>
      <c r="F22" s="43">
        <v>1711027461.2</v>
      </c>
      <c r="G22" s="43">
        <v>657348354.39999986</v>
      </c>
      <c r="H22" s="43">
        <v>713480562.89999986</v>
      </c>
      <c r="I22" s="12">
        <v>0.7586567098004855</v>
      </c>
      <c r="J22" s="12">
        <v>0.73804795373549092</v>
      </c>
    </row>
    <row r="23" spans="1:10" ht="28.8" x14ac:dyDescent="0.3">
      <c r="A23" s="19" t="s">
        <v>1248</v>
      </c>
      <c r="B23" s="7">
        <v>1788949667</v>
      </c>
      <c r="C23" s="7">
        <v>2723706774.0999999</v>
      </c>
      <c r="D23" s="7">
        <v>2010226211.2</v>
      </c>
      <c r="E23" s="7">
        <v>1796298459.5899999</v>
      </c>
      <c r="F23" s="7">
        <v>1711027461.2</v>
      </c>
      <c r="G23" s="7">
        <v>657348354.39999986</v>
      </c>
      <c r="H23" s="7">
        <v>713480562.89999986</v>
      </c>
      <c r="I23" s="8">
        <v>0.7586567098004855</v>
      </c>
      <c r="J23" s="8">
        <v>0.73804795373549092</v>
      </c>
    </row>
    <row r="24" spans="1:10" x14ac:dyDescent="0.3">
      <c r="A24" s="18" t="s">
        <v>1028</v>
      </c>
      <c r="B24" s="43">
        <v>4809924000</v>
      </c>
      <c r="C24" s="43">
        <v>9572998673.5900002</v>
      </c>
      <c r="D24" s="43">
        <v>8777311547.7200012</v>
      </c>
      <c r="E24" s="43">
        <v>6276027321.9200001</v>
      </c>
      <c r="F24" s="43">
        <v>5838761431.9200001</v>
      </c>
      <c r="G24" s="43">
        <v>446698867.82999992</v>
      </c>
      <c r="H24" s="43">
        <v>795687125.87000084</v>
      </c>
      <c r="I24" s="12">
        <v>0.95333762355338525</v>
      </c>
      <c r="J24" s="12">
        <v>0.91688214393415268</v>
      </c>
    </row>
    <row r="25" spans="1:10" ht="28.8" x14ac:dyDescent="0.3">
      <c r="A25" s="19" t="s">
        <v>1249</v>
      </c>
      <c r="B25" s="7">
        <v>4809924000</v>
      </c>
      <c r="C25" s="7">
        <v>7564880105.79</v>
      </c>
      <c r="D25" s="7">
        <v>6769192979.9700003</v>
      </c>
      <c r="E25" s="7">
        <v>4381746831.9200001</v>
      </c>
      <c r="F25" s="7">
        <v>3944480941.9200001</v>
      </c>
      <c r="G25" s="7">
        <v>446698867.77999973</v>
      </c>
      <c r="H25" s="7">
        <v>795687125.81999969</v>
      </c>
      <c r="I25" s="8">
        <v>0.94095096531165034</v>
      </c>
      <c r="J25" s="8">
        <v>0.89481827673501424</v>
      </c>
    </row>
    <row r="26" spans="1:10" ht="28.8" x14ac:dyDescent="0.3">
      <c r="A26" s="19" t="s">
        <v>1250</v>
      </c>
      <c r="B26" s="7">
        <v>0</v>
      </c>
      <c r="C26" s="7">
        <v>2008118567.8000002</v>
      </c>
      <c r="D26" s="7">
        <v>2008118567.75</v>
      </c>
      <c r="E26" s="7">
        <v>1894280490</v>
      </c>
      <c r="F26" s="7">
        <v>1894280490</v>
      </c>
      <c r="G26" s="7">
        <v>5.0000190734863281E-2</v>
      </c>
      <c r="H26" s="7">
        <v>5.0000190734863281E-2</v>
      </c>
      <c r="I26" s="8">
        <v>0.99999999997510103</v>
      </c>
      <c r="J26" s="8">
        <v>0.99999999997510103</v>
      </c>
    </row>
    <row r="27" spans="1:10" x14ac:dyDescent="0.3">
      <c r="A27" s="16" t="s">
        <v>1030</v>
      </c>
      <c r="B27" s="41">
        <v>11190606882</v>
      </c>
      <c r="C27" s="41">
        <v>28116732108.030006</v>
      </c>
      <c r="D27" s="41">
        <v>21896708431.380001</v>
      </c>
      <c r="E27" s="41">
        <v>10776712181.25</v>
      </c>
      <c r="F27" s="41">
        <v>10291056710.720001</v>
      </c>
      <c r="G27" s="41">
        <v>3722222857.3100014</v>
      </c>
      <c r="H27" s="41">
        <v>6220023676.6500015</v>
      </c>
      <c r="I27" s="10">
        <v>0.86761538136763228</v>
      </c>
      <c r="J27" s="10">
        <v>0.77877857025661978</v>
      </c>
    </row>
    <row r="28" spans="1:10" x14ac:dyDescent="0.3">
      <c r="A28" s="17" t="s">
        <v>1048</v>
      </c>
      <c r="B28" s="42">
        <v>11190606882</v>
      </c>
      <c r="C28" s="42">
        <v>24805224956.740005</v>
      </c>
      <c r="D28" s="42">
        <v>18585201280.09</v>
      </c>
      <c r="E28" s="42">
        <v>7465205029.960001</v>
      </c>
      <c r="F28" s="42">
        <v>6979549559.4300003</v>
      </c>
      <c r="G28" s="42">
        <v>3722222857.3100014</v>
      </c>
      <c r="H28" s="42">
        <v>6220023676.6500015</v>
      </c>
      <c r="I28" s="11">
        <v>0.84994198344092786</v>
      </c>
      <c r="J28" s="11">
        <v>0.74924542359532542</v>
      </c>
    </row>
    <row r="29" spans="1:10" ht="28.8" x14ac:dyDescent="0.3">
      <c r="A29" s="18" t="s">
        <v>1140</v>
      </c>
      <c r="B29" s="43">
        <v>452152464</v>
      </c>
      <c r="C29" s="43">
        <v>452152464</v>
      </c>
      <c r="D29" s="43">
        <v>448623766</v>
      </c>
      <c r="E29" s="43">
        <v>338981150</v>
      </c>
      <c r="F29" s="43">
        <v>321481150</v>
      </c>
      <c r="G29" s="43">
        <v>3110731</v>
      </c>
      <c r="H29" s="43">
        <v>3528698</v>
      </c>
      <c r="I29" s="12">
        <v>0.99312017240273187</v>
      </c>
      <c r="J29" s="12">
        <v>0.99219577845759566</v>
      </c>
    </row>
    <row r="30" spans="1:10" ht="28.8" x14ac:dyDescent="0.3">
      <c r="A30" s="19" t="s">
        <v>1251</v>
      </c>
      <c r="B30" s="7">
        <v>452152464</v>
      </c>
      <c r="C30" s="7">
        <v>452152464</v>
      </c>
      <c r="D30" s="7">
        <v>448623766</v>
      </c>
      <c r="E30" s="7">
        <v>338981150</v>
      </c>
      <c r="F30" s="7">
        <v>321481150</v>
      </c>
      <c r="G30" s="7">
        <v>3110731</v>
      </c>
      <c r="H30" s="7">
        <v>3528698</v>
      </c>
      <c r="I30" s="8">
        <v>0.99312017240273187</v>
      </c>
      <c r="J30" s="8">
        <v>0.99219577845759566</v>
      </c>
    </row>
    <row r="31" spans="1:10" ht="28.8" x14ac:dyDescent="0.3">
      <c r="A31" s="18" t="s">
        <v>1141</v>
      </c>
      <c r="B31" s="43">
        <v>3375200000</v>
      </c>
      <c r="C31" s="43">
        <v>3534416116.4200001</v>
      </c>
      <c r="D31" s="43">
        <v>3187634846.9099998</v>
      </c>
      <c r="E31" s="43">
        <v>2786677710.9099998</v>
      </c>
      <c r="F31" s="43">
        <v>2746511044.2399998</v>
      </c>
      <c r="G31" s="43">
        <v>184816220.80999994</v>
      </c>
      <c r="H31" s="43">
        <v>346781269.51000023</v>
      </c>
      <c r="I31" s="12">
        <v>0.94770954671936036</v>
      </c>
      <c r="J31" s="12">
        <v>0.90188442501183086</v>
      </c>
    </row>
    <row r="32" spans="1:10" ht="28.8" x14ac:dyDescent="0.3">
      <c r="A32" s="19" t="s">
        <v>1252</v>
      </c>
      <c r="B32" s="7">
        <v>1338000000</v>
      </c>
      <c r="C32" s="7">
        <v>1338000000</v>
      </c>
      <c r="D32" s="7">
        <v>1169054066.6700001</v>
      </c>
      <c r="E32" s="7">
        <v>863631002.66999996</v>
      </c>
      <c r="F32" s="7">
        <v>830464336</v>
      </c>
      <c r="G32" s="7">
        <v>100000036</v>
      </c>
      <c r="H32" s="7">
        <v>168945933.32999992</v>
      </c>
      <c r="I32" s="8">
        <v>0.92526155754857997</v>
      </c>
      <c r="J32" s="8">
        <v>0.87373248630044853</v>
      </c>
    </row>
    <row r="33" spans="1:10" ht="28.8" x14ac:dyDescent="0.3">
      <c r="A33" s="19" t="s">
        <v>1253</v>
      </c>
      <c r="B33" s="7">
        <v>2037200000</v>
      </c>
      <c r="C33" s="7">
        <v>2196416116.4200001</v>
      </c>
      <c r="D33" s="7">
        <v>2018580780.24</v>
      </c>
      <c r="E33" s="7">
        <v>1923046708.24</v>
      </c>
      <c r="F33" s="7">
        <v>1916046708.24</v>
      </c>
      <c r="G33" s="7">
        <v>84816184.809999943</v>
      </c>
      <c r="H33" s="7">
        <v>177835336.18000007</v>
      </c>
      <c r="I33" s="8">
        <v>0.96138428225146877</v>
      </c>
      <c r="J33" s="8">
        <v>0.91903385936274273</v>
      </c>
    </row>
    <row r="34" spans="1:10" ht="28.8" x14ac:dyDescent="0.3">
      <c r="A34" s="18" t="s">
        <v>1147</v>
      </c>
      <c r="B34" s="43">
        <v>300000000</v>
      </c>
      <c r="C34" s="43">
        <v>300000000</v>
      </c>
      <c r="D34" s="43">
        <v>256533333</v>
      </c>
      <c r="E34" s="43">
        <v>256533333</v>
      </c>
      <c r="F34" s="43">
        <v>214480000</v>
      </c>
      <c r="G34" s="43">
        <v>42700000</v>
      </c>
      <c r="H34" s="43">
        <v>43466667</v>
      </c>
      <c r="I34" s="12">
        <v>0.85766666666666669</v>
      </c>
      <c r="J34" s="12">
        <v>0.85511110999999995</v>
      </c>
    </row>
    <row r="35" spans="1:10" ht="28.8" x14ac:dyDescent="0.3">
      <c r="A35" s="19" t="s">
        <v>1254</v>
      </c>
      <c r="B35" s="7">
        <v>300000000</v>
      </c>
      <c r="C35" s="7">
        <v>300000000</v>
      </c>
      <c r="D35" s="7">
        <v>256533333</v>
      </c>
      <c r="E35" s="7">
        <v>256533333</v>
      </c>
      <c r="F35" s="7">
        <v>214480000</v>
      </c>
      <c r="G35" s="7">
        <v>42700000</v>
      </c>
      <c r="H35" s="7">
        <v>43466667</v>
      </c>
      <c r="I35" s="8">
        <v>0.85766666666666669</v>
      </c>
      <c r="J35" s="8">
        <v>0.85511110999999995</v>
      </c>
    </row>
    <row r="36" spans="1:10" ht="28.8" x14ac:dyDescent="0.3">
      <c r="A36" s="18" t="s">
        <v>1053</v>
      </c>
      <c r="B36" s="43">
        <v>205168000</v>
      </c>
      <c r="C36" s="43">
        <v>205168000</v>
      </c>
      <c r="D36" s="43">
        <v>179828200</v>
      </c>
      <c r="E36" s="43">
        <v>179822250</v>
      </c>
      <c r="F36" s="43">
        <v>175122250</v>
      </c>
      <c r="G36" s="43">
        <v>218000</v>
      </c>
      <c r="H36" s="43">
        <v>25339800</v>
      </c>
      <c r="I36" s="12">
        <v>0.99893745613351015</v>
      </c>
      <c r="J36" s="12">
        <v>0.87649243546751932</v>
      </c>
    </row>
    <row r="37" spans="1:10" ht="72" x14ac:dyDescent="0.3">
      <c r="A37" s="19" t="s">
        <v>1255</v>
      </c>
      <c r="B37" s="7">
        <v>205168000</v>
      </c>
      <c r="C37" s="7">
        <v>205168000</v>
      </c>
      <c r="D37" s="7">
        <v>179828200</v>
      </c>
      <c r="E37" s="7">
        <v>179822250</v>
      </c>
      <c r="F37" s="7">
        <v>175122250</v>
      </c>
      <c r="G37" s="7">
        <v>218000</v>
      </c>
      <c r="H37" s="7">
        <v>25339800</v>
      </c>
      <c r="I37" s="8">
        <v>0.99893745613351015</v>
      </c>
      <c r="J37" s="8">
        <v>0.87649243546751932</v>
      </c>
    </row>
    <row r="38" spans="1:10" ht="28.8" x14ac:dyDescent="0.3">
      <c r="A38" s="18" t="s">
        <v>1144</v>
      </c>
      <c r="B38" s="43">
        <v>996720000</v>
      </c>
      <c r="C38" s="43">
        <v>11133648227.450001</v>
      </c>
      <c r="D38" s="43">
        <v>10963437958</v>
      </c>
      <c r="E38" s="43">
        <v>829377411.19000006</v>
      </c>
      <c r="F38" s="43">
        <v>827384078.19000006</v>
      </c>
      <c r="G38" s="43">
        <v>136928227.45000076</v>
      </c>
      <c r="H38" s="43">
        <v>170210269.45000076</v>
      </c>
      <c r="I38" s="12">
        <v>0.98770140526692729</v>
      </c>
      <c r="J38" s="12">
        <v>0.98471208484651529</v>
      </c>
    </row>
    <row r="39" spans="1:10" ht="28.8" x14ac:dyDescent="0.3">
      <c r="A39" s="19" t="s">
        <v>1256</v>
      </c>
      <c r="B39" s="7">
        <v>996720000</v>
      </c>
      <c r="C39" s="7">
        <v>11133648227.450001</v>
      </c>
      <c r="D39" s="7">
        <v>10963437958</v>
      </c>
      <c r="E39" s="7">
        <v>829377411.19000006</v>
      </c>
      <c r="F39" s="7">
        <v>827384078.19000006</v>
      </c>
      <c r="G39" s="7">
        <v>136928227.45000076</v>
      </c>
      <c r="H39" s="7">
        <v>170210269.45000076</v>
      </c>
      <c r="I39" s="8">
        <v>0.98770140526692729</v>
      </c>
      <c r="J39" s="8">
        <v>0.98471208484651529</v>
      </c>
    </row>
    <row r="40" spans="1:10" ht="28.8" x14ac:dyDescent="0.3">
      <c r="A40" s="18" t="s">
        <v>1143</v>
      </c>
      <c r="B40" s="43">
        <v>3089408713</v>
      </c>
      <c r="C40" s="43">
        <v>4657931830.5</v>
      </c>
      <c r="D40" s="43">
        <v>1258500000</v>
      </c>
      <c r="E40" s="43">
        <v>908050000</v>
      </c>
      <c r="F40" s="43">
        <v>906050000</v>
      </c>
      <c r="G40" s="43">
        <v>1571836535.5</v>
      </c>
      <c r="H40" s="43">
        <v>3399431830.5</v>
      </c>
      <c r="I40" s="12">
        <v>0.66254625599978501</v>
      </c>
      <c r="J40" s="12">
        <v>0.27018428903561431</v>
      </c>
    </row>
    <row r="41" spans="1:10" ht="28.8" x14ac:dyDescent="0.3">
      <c r="A41" s="19" t="s">
        <v>1257</v>
      </c>
      <c r="B41" s="7">
        <v>3089408713</v>
      </c>
      <c r="C41" s="7">
        <v>4657931830.5</v>
      </c>
      <c r="D41" s="7">
        <v>1258500000</v>
      </c>
      <c r="E41" s="7">
        <v>908050000</v>
      </c>
      <c r="F41" s="7">
        <v>906050000</v>
      </c>
      <c r="G41" s="7">
        <v>1571836535.5</v>
      </c>
      <c r="H41" s="7">
        <v>3399431830.5</v>
      </c>
      <c r="I41" s="8">
        <v>0.66254625599978501</v>
      </c>
      <c r="J41" s="8">
        <v>0.27018428903561431</v>
      </c>
    </row>
    <row r="42" spans="1:10" ht="28.8" x14ac:dyDescent="0.3">
      <c r="A42" s="18" t="s">
        <v>1145</v>
      </c>
      <c r="B42" s="43">
        <v>371957705</v>
      </c>
      <c r="C42" s="43">
        <v>371957705</v>
      </c>
      <c r="D42" s="43">
        <v>296214389</v>
      </c>
      <c r="E42" s="43">
        <v>287414389</v>
      </c>
      <c r="F42" s="43">
        <v>285214389</v>
      </c>
      <c r="G42" s="43">
        <v>0</v>
      </c>
      <c r="H42" s="43">
        <v>75743316</v>
      </c>
      <c r="I42" s="12">
        <v>1</v>
      </c>
      <c r="J42" s="12">
        <v>0.7963657830397679</v>
      </c>
    </row>
    <row r="43" spans="1:10" ht="57.6" x14ac:dyDescent="0.3">
      <c r="A43" s="19" t="s">
        <v>1258</v>
      </c>
      <c r="B43" s="7">
        <v>371957705</v>
      </c>
      <c r="C43" s="7">
        <v>371957705</v>
      </c>
      <c r="D43" s="7">
        <v>296214389</v>
      </c>
      <c r="E43" s="7">
        <v>287414389</v>
      </c>
      <c r="F43" s="7">
        <v>285214389</v>
      </c>
      <c r="G43" s="7">
        <v>0</v>
      </c>
      <c r="H43" s="7">
        <v>75743316</v>
      </c>
      <c r="I43" s="8">
        <v>1</v>
      </c>
      <c r="J43" s="8">
        <v>0.7963657830397679</v>
      </c>
    </row>
    <row r="44" spans="1:10" ht="28.8" x14ac:dyDescent="0.3">
      <c r="A44" s="18" t="s">
        <v>1049</v>
      </c>
      <c r="B44" s="43">
        <v>400000000</v>
      </c>
      <c r="C44" s="43">
        <v>443307204.39999998</v>
      </c>
      <c r="D44" s="43">
        <v>109200000</v>
      </c>
      <c r="E44" s="43">
        <v>105200000</v>
      </c>
      <c r="F44" s="43">
        <v>105200000</v>
      </c>
      <c r="G44" s="43">
        <v>223525704.39999998</v>
      </c>
      <c r="H44" s="43">
        <v>334107204.39999998</v>
      </c>
      <c r="I44" s="12">
        <v>0.49577696418777173</v>
      </c>
      <c r="J44" s="12">
        <v>0.24633030755229479</v>
      </c>
    </row>
    <row r="45" spans="1:10" ht="28.8" x14ac:dyDescent="0.3">
      <c r="A45" s="19" t="s">
        <v>1259</v>
      </c>
      <c r="B45" s="7">
        <v>400000000</v>
      </c>
      <c r="C45" s="7">
        <v>443307204.39999998</v>
      </c>
      <c r="D45" s="7">
        <v>109200000</v>
      </c>
      <c r="E45" s="7">
        <v>105200000</v>
      </c>
      <c r="F45" s="7">
        <v>105200000</v>
      </c>
      <c r="G45" s="7">
        <v>223525704.39999998</v>
      </c>
      <c r="H45" s="7">
        <v>334107204.39999998</v>
      </c>
      <c r="I45" s="8">
        <v>0.49577696418777173</v>
      </c>
      <c r="J45" s="8">
        <v>0.24633030755229479</v>
      </c>
    </row>
    <row r="46" spans="1:10" ht="28.8" x14ac:dyDescent="0.3">
      <c r="A46" s="18" t="s">
        <v>1142</v>
      </c>
      <c r="B46" s="43">
        <v>1600000000</v>
      </c>
      <c r="C46" s="43">
        <v>3306643408.9699998</v>
      </c>
      <c r="D46" s="43">
        <v>1539428787.1799998</v>
      </c>
      <c r="E46" s="43">
        <v>1518928785.8600001</v>
      </c>
      <c r="F46" s="43">
        <v>1147286648</v>
      </c>
      <c r="G46" s="43">
        <v>1539087438.1499996</v>
      </c>
      <c r="H46" s="43">
        <v>1767214621.79</v>
      </c>
      <c r="I46" s="12">
        <v>0.53454689611377948</v>
      </c>
      <c r="J46" s="12">
        <v>0.46555633516573319</v>
      </c>
    </row>
    <row r="47" spans="1:10" ht="28.8" x14ac:dyDescent="0.3">
      <c r="A47" s="19" t="s">
        <v>1260</v>
      </c>
      <c r="B47" s="7">
        <v>1600000000</v>
      </c>
      <c r="C47" s="7">
        <v>3306643408.9699998</v>
      </c>
      <c r="D47" s="7">
        <v>1539428787.1799998</v>
      </c>
      <c r="E47" s="7">
        <v>1518928785.8600001</v>
      </c>
      <c r="F47" s="7">
        <v>1147286648</v>
      </c>
      <c r="G47" s="7">
        <v>1539087438.1499996</v>
      </c>
      <c r="H47" s="7">
        <v>1767214621.79</v>
      </c>
      <c r="I47" s="8">
        <v>0.53454689611377948</v>
      </c>
      <c r="J47" s="8">
        <v>0.46555633516573319</v>
      </c>
    </row>
    <row r="48" spans="1:10" ht="28.8" x14ac:dyDescent="0.3">
      <c r="A48" s="18" t="s">
        <v>1146</v>
      </c>
      <c r="B48" s="43">
        <v>400000000</v>
      </c>
      <c r="C48" s="43">
        <v>400000000</v>
      </c>
      <c r="D48" s="43">
        <v>345800000</v>
      </c>
      <c r="E48" s="43">
        <v>254220000</v>
      </c>
      <c r="F48" s="43">
        <v>250820000</v>
      </c>
      <c r="G48" s="43">
        <v>20000000</v>
      </c>
      <c r="H48" s="43">
        <v>54200000</v>
      </c>
      <c r="I48" s="12">
        <v>0.95</v>
      </c>
      <c r="J48" s="12">
        <v>0.86450000000000005</v>
      </c>
    </row>
    <row r="49" spans="1:10" ht="28.8" x14ac:dyDescent="0.3">
      <c r="A49" s="19" t="s">
        <v>1261</v>
      </c>
      <c r="B49" s="7">
        <v>400000000</v>
      </c>
      <c r="C49" s="7">
        <v>400000000</v>
      </c>
      <c r="D49" s="7">
        <v>345800000</v>
      </c>
      <c r="E49" s="7">
        <v>254220000</v>
      </c>
      <c r="F49" s="7">
        <v>250820000</v>
      </c>
      <c r="G49" s="7">
        <v>20000000</v>
      </c>
      <c r="H49" s="7">
        <v>54200000</v>
      </c>
      <c r="I49" s="8">
        <v>0.95</v>
      </c>
      <c r="J49" s="8">
        <v>0.86450000000000005</v>
      </c>
    </row>
    <row r="50" spans="1:10" ht="28.8" x14ac:dyDescent="0.3">
      <c r="A50" s="17" t="s">
        <v>1031</v>
      </c>
      <c r="B50" s="42">
        <v>0</v>
      </c>
      <c r="C50" s="42">
        <v>3311507151.29</v>
      </c>
      <c r="D50" s="42">
        <v>3311507151.29</v>
      </c>
      <c r="E50" s="42">
        <v>3311507151.29</v>
      </c>
      <c r="F50" s="42">
        <v>3311507151.29</v>
      </c>
      <c r="G50" s="42">
        <v>0</v>
      </c>
      <c r="H50" s="42">
        <v>0</v>
      </c>
      <c r="I50" s="11">
        <v>1</v>
      </c>
      <c r="J50" s="11">
        <v>1</v>
      </c>
    </row>
    <row r="51" spans="1:10" ht="28.8" x14ac:dyDescent="0.3">
      <c r="A51" s="18" t="s">
        <v>1032</v>
      </c>
      <c r="B51" s="43">
        <v>0</v>
      </c>
      <c r="C51" s="43">
        <v>3311507151.29</v>
      </c>
      <c r="D51" s="43">
        <v>3311507151.29</v>
      </c>
      <c r="E51" s="43">
        <v>3311507151.29</v>
      </c>
      <c r="F51" s="43">
        <v>3311507151.29</v>
      </c>
      <c r="G51" s="43">
        <v>0</v>
      </c>
      <c r="H51" s="43">
        <v>0</v>
      </c>
      <c r="I51" s="12">
        <v>1</v>
      </c>
      <c r="J51" s="12">
        <v>1</v>
      </c>
    </row>
    <row r="52" spans="1:10" ht="57.6" x14ac:dyDescent="0.3">
      <c r="A52" s="19" t="s">
        <v>1262</v>
      </c>
      <c r="B52" s="7">
        <v>0</v>
      </c>
      <c r="C52" s="7">
        <v>3311507151.29</v>
      </c>
      <c r="D52" s="7">
        <v>3311507151.29</v>
      </c>
      <c r="E52" s="7">
        <v>3311507151.29</v>
      </c>
      <c r="F52" s="7">
        <v>3311507151.29</v>
      </c>
      <c r="G52" s="7">
        <v>0</v>
      </c>
      <c r="H52" s="7">
        <v>0</v>
      </c>
      <c r="I52" s="8">
        <v>1</v>
      </c>
      <c r="J52" s="8">
        <v>1</v>
      </c>
    </row>
    <row r="53" spans="1:10" x14ac:dyDescent="0.3">
      <c r="A53" s="19" t="s">
        <v>1673</v>
      </c>
      <c r="B53" s="7">
        <v>41735800356</v>
      </c>
      <c r="C53" s="7">
        <v>111511084441.63998</v>
      </c>
      <c r="D53" s="7">
        <v>100631948282.89999</v>
      </c>
      <c r="E53" s="7">
        <v>85376360775.360001</v>
      </c>
      <c r="F53" s="7">
        <v>84285602416.440002</v>
      </c>
      <c r="G53" s="7">
        <v>5396791232.3199768</v>
      </c>
      <c r="H53" s="7">
        <v>10879136158.739975</v>
      </c>
      <c r="I53" s="8">
        <v>0.95160309614651428</v>
      </c>
      <c r="J53" s="8">
        <v>0.90243897085913782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00901-3EA2-4A66-9092-A9CB2D7CD939}">
  <dimension ref="A1:J51"/>
  <sheetViews>
    <sheetView workbookViewId="0">
      <selection activeCell="A3" sqref="A3"/>
    </sheetView>
  </sheetViews>
  <sheetFormatPr baseColWidth="10" defaultRowHeight="14.4" x14ac:dyDescent="0.3"/>
  <cols>
    <col min="1" max="1" width="56.33203125" style="14" customWidth="1"/>
    <col min="2" max="5" width="18.6640625" style="33" bestFit="1" customWidth="1"/>
    <col min="6" max="6" width="17.6640625" style="33" bestFit="1" customWidth="1"/>
    <col min="7" max="7" width="23.6640625" style="33" bestFit="1" customWidth="1"/>
    <col min="8" max="8" width="22.109375" style="33" bestFit="1" customWidth="1"/>
    <col min="9" max="9" width="14.109375" style="27" bestFit="1" customWidth="1"/>
    <col min="10" max="10" width="12.88671875" style="27" bestFit="1" customWidth="1"/>
  </cols>
  <sheetData>
    <row r="1" spans="1:10" x14ac:dyDescent="0.3">
      <c r="A1" s="13" t="s">
        <v>2</v>
      </c>
      <c r="B1" s="33" t="s">
        <v>1664</v>
      </c>
    </row>
    <row r="3" spans="1:10" x14ac:dyDescent="0.3">
      <c r="A3" s="44" t="s">
        <v>1672</v>
      </c>
      <c r="B3" s="45" t="s">
        <v>1666</v>
      </c>
      <c r="C3" s="45" t="s">
        <v>1667</v>
      </c>
      <c r="D3" s="45" t="s">
        <v>1669</v>
      </c>
      <c r="E3" s="45" t="s">
        <v>1668</v>
      </c>
      <c r="F3" s="45" t="s">
        <v>1670</v>
      </c>
      <c r="G3" s="45" t="s">
        <v>1642</v>
      </c>
      <c r="H3" s="45" t="s">
        <v>1671</v>
      </c>
      <c r="I3" s="46" t="s">
        <v>1643</v>
      </c>
      <c r="J3" s="46" t="s">
        <v>1644</v>
      </c>
    </row>
    <row r="4" spans="1:10" x14ac:dyDescent="0.3">
      <c r="A4" s="47" t="s">
        <v>1220</v>
      </c>
      <c r="B4" s="48">
        <v>14475361416</v>
      </c>
      <c r="C4" s="48">
        <v>33939028301.98</v>
      </c>
      <c r="D4" s="48">
        <v>19545913964.410004</v>
      </c>
      <c r="E4" s="48">
        <v>14104798931.91</v>
      </c>
      <c r="F4" s="48">
        <v>9418195942.3599987</v>
      </c>
      <c r="G4" s="48">
        <v>10299682188.030006</v>
      </c>
      <c r="H4" s="48">
        <v>14393114337.569996</v>
      </c>
      <c r="I4" s="49">
        <v>0.69652395182365534</v>
      </c>
      <c r="J4" s="49">
        <v>0.57591259804187434</v>
      </c>
    </row>
    <row r="5" spans="1:10" x14ac:dyDescent="0.3">
      <c r="A5" s="50" t="s">
        <v>1026</v>
      </c>
      <c r="B5" s="51">
        <v>150000001</v>
      </c>
      <c r="C5" s="51">
        <v>8554333542.6499996</v>
      </c>
      <c r="D5" s="51">
        <v>4417964496</v>
      </c>
      <c r="E5" s="51">
        <v>1167880000</v>
      </c>
      <c r="F5" s="51">
        <v>1164780000</v>
      </c>
      <c r="G5" s="51">
        <v>3299766432.6499996</v>
      </c>
      <c r="H5" s="51">
        <v>4136369046.6499996</v>
      </c>
      <c r="I5" s="52">
        <v>0.61425791779124583</v>
      </c>
      <c r="J5" s="52">
        <v>0.51645922782564113</v>
      </c>
    </row>
    <row r="6" spans="1:10" x14ac:dyDescent="0.3">
      <c r="A6" s="53" t="s">
        <v>1027</v>
      </c>
      <c r="B6" s="54">
        <v>150000001</v>
      </c>
      <c r="C6" s="54">
        <v>8554333542.6499996</v>
      </c>
      <c r="D6" s="54">
        <v>4417964496</v>
      </c>
      <c r="E6" s="54">
        <v>1167880000</v>
      </c>
      <c r="F6" s="54">
        <v>1164780000</v>
      </c>
      <c r="G6" s="54">
        <v>3299766432.6499996</v>
      </c>
      <c r="H6" s="54">
        <v>4136369046.6499996</v>
      </c>
      <c r="I6" s="55">
        <v>0.61425791779124583</v>
      </c>
      <c r="J6" s="55">
        <v>0.51645922782564113</v>
      </c>
    </row>
    <row r="7" spans="1:10" x14ac:dyDescent="0.3">
      <c r="A7" s="56" t="s">
        <v>1130</v>
      </c>
      <c r="B7" s="57">
        <v>150000001</v>
      </c>
      <c r="C7" s="57">
        <v>8554333542.6499996</v>
      </c>
      <c r="D7" s="57">
        <v>4417964496</v>
      </c>
      <c r="E7" s="57">
        <v>1167880000</v>
      </c>
      <c r="F7" s="57">
        <v>1164780000</v>
      </c>
      <c r="G7" s="57">
        <v>3299766432.6499996</v>
      </c>
      <c r="H7" s="57">
        <v>4136369046.6499996</v>
      </c>
      <c r="I7" s="58">
        <v>0.61425791779124583</v>
      </c>
      <c r="J7" s="58">
        <v>0.51645922782564113</v>
      </c>
    </row>
    <row r="8" spans="1:10" ht="28.8" x14ac:dyDescent="0.3">
      <c r="A8" s="59" t="s">
        <v>1263</v>
      </c>
      <c r="B8" s="60">
        <v>150000001</v>
      </c>
      <c r="C8" s="60">
        <v>8554333542.6499996</v>
      </c>
      <c r="D8" s="60">
        <v>4417964496</v>
      </c>
      <c r="E8" s="60">
        <v>1167880000</v>
      </c>
      <c r="F8" s="60">
        <v>1164780000</v>
      </c>
      <c r="G8" s="60">
        <v>3299766432.6499996</v>
      </c>
      <c r="H8" s="60">
        <v>4136369046.6499996</v>
      </c>
      <c r="I8" s="46">
        <v>0.61425791779124583</v>
      </c>
      <c r="J8" s="46">
        <v>0.51645922782564113</v>
      </c>
    </row>
    <row r="9" spans="1:10" x14ac:dyDescent="0.3">
      <c r="A9" s="50" t="s">
        <v>1018</v>
      </c>
      <c r="B9" s="51">
        <v>13885057187</v>
      </c>
      <c r="C9" s="51">
        <v>24344390531.329998</v>
      </c>
      <c r="D9" s="51">
        <v>14772145391.410002</v>
      </c>
      <c r="E9" s="51">
        <v>12697042854.91</v>
      </c>
      <c r="F9" s="51">
        <v>8058339865.3600016</v>
      </c>
      <c r="G9" s="51">
        <v>6339370604.3800011</v>
      </c>
      <c r="H9" s="51">
        <v>9572245139.9199963</v>
      </c>
      <c r="I9" s="52">
        <v>0.73959624923772271</v>
      </c>
      <c r="J9" s="52">
        <v>0.60679873551974939</v>
      </c>
    </row>
    <row r="10" spans="1:10" ht="28.8" x14ac:dyDescent="0.3">
      <c r="A10" s="53" t="s">
        <v>1021</v>
      </c>
      <c r="B10" s="54">
        <v>10362623387</v>
      </c>
      <c r="C10" s="54">
        <v>20841655857.16</v>
      </c>
      <c r="D10" s="54">
        <v>11854455668.050003</v>
      </c>
      <c r="E10" s="54">
        <v>10145520189.650002</v>
      </c>
      <c r="F10" s="54">
        <v>6255474178.7700005</v>
      </c>
      <c r="G10" s="54">
        <v>6252373493.25</v>
      </c>
      <c r="H10" s="54">
        <v>8987200189.1099968</v>
      </c>
      <c r="I10" s="55">
        <v>0.70000591430445092</v>
      </c>
      <c r="J10" s="55">
        <v>0.56878665252394001</v>
      </c>
    </row>
    <row r="11" spans="1:10" ht="28.8" x14ac:dyDescent="0.3">
      <c r="A11" s="56" t="s">
        <v>1102</v>
      </c>
      <c r="B11" s="57">
        <v>5771526314</v>
      </c>
      <c r="C11" s="57">
        <v>13243947924.540001</v>
      </c>
      <c r="D11" s="57">
        <v>5721060563.0699997</v>
      </c>
      <c r="E11" s="57">
        <v>4286537564.8299999</v>
      </c>
      <c r="F11" s="57">
        <v>631144119.95000005</v>
      </c>
      <c r="G11" s="57">
        <v>4887734390.7000008</v>
      </c>
      <c r="H11" s="57">
        <v>7522887361.4700012</v>
      </c>
      <c r="I11" s="58">
        <v>0.63094581626650681</v>
      </c>
      <c r="J11" s="58">
        <v>0.43197546499479367</v>
      </c>
    </row>
    <row r="12" spans="1:10" ht="43.2" x14ac:dyDescent="0.3">
      <c r="A12" s="59" t="s">
        <v>1264</v>
      </c>
      <c r="B12" s="60">
        <v>1786572895</v>
      </c>
      <c r="C12" s="60">
        <v>1997079016.0999999</v>
      </c>
      <c r="D12" s="60">
        <v>1632164437.0799999</v>
      </c>
      <c r="E12" s="60">
        <v>1601714437.0799999</v>
      </c>
      <c r="F12" s="60">
        <v>137953333.32999998</v>
      </c>
      <c r="G12" s="60">
        <v>28955744.399999857</v>
      </c>
      <c r="H12" s="60">
        <v>364914579.01999998</v>
      </c>
      <c r="I12" s="46">
        <v>0.9855009520571969</v>
      </c>
      <c r="J12" s="46">
        <v>0.81727584333011305</v>
      </c>
    </row>
    <row r="13" spans="1:10" ht="72" x14ac:dyDescent="0.3">
      <c r="A13" s="59" t="s">
        <v>1265</v>
      </c>
      <c r="B13" s="60">
        <v>1463476710</v>
      </c>
      <c r="C13" s="60">
        <v>3585784218.77</v>
      </c>
      <c r="D13" s="60">
        <v>1959660763.5999999</v>
      </c>
      <c r="E13" s="60">
        <v>1600243157</v>
      </c>
      <c r="F13" s="60">
        <v>282999998</v>
      </c>
      <c r="G13" s="60">
        <v>1436940954.3399997</v>
      </c>
      <c r="H13" s="60">
        <v>1626123455.1700001</v>
      </c>
      <c r="I13" s="46">
        <v>0.59926731039245273</v>
      </c>
      <c r="J13" s="46">
        <v>0.54650827937220525</v>
      </c>
    </row>
    <row r="14" spans="1:10" ht="57.6" x14ac:dyDescent="0.3">
      <c r="A14" s="59" t="s">
        <v>1266</v>
      </c>
      <c r="B14" s="60">
        <v>1500000000</v>
      </c>
      <c r="C14" s="60">
        <v>3412307508.77</v>
      </c>
      <c r="D14" s="60">
        <v>0</v>
      </c>
      <c r="E14" s="60">
        <v>0</v>
      </c>
      <c r="F14" s="60">
        <v>0</v>
      </c>
      <c r="G14" s="60">
        <v>1557270918.4400001</v>
      </c>
      <c r="H14" s="60">
        <v>3412307508.77</v>
      </c>
      <c r="I14" s="46">
        <v>0.5436311310051497</v>
      </c>
      <c r="J14" s="46">
        <v>0</v>
      </c>
    </row>
    <row r="15" spans="1:10" ht="57.6" x14ac:dyDescent="0.3">
      <c r="A15" s="59" t="s">
        <v>1267</v>
      </c>
      <c r="B15" s="60">
        <v>1021476709</v>
      </c>
      <c r="C15" s="60">
        <v>2042599782.04</v>
      </c>
      <c r="D15" s="60">
        <v>706014392.38999999</v>
      </c>
      <c r="E15" s="60">
        <v>605642783.30999994</v>
      </c>
      <c r="F15" s="60">
        <v>1424653.06</v>
      </c>
      <c r="G15" s="60">
        <v>1081610344.6599998</v>
      </c>
      <c r="H15" s="60">
        <v>1336585389.6500001</v>
      </c>
      <c r="I15" s="46">
        <v>0.47047368056616246</v>
      </c>
      <c r="J15" s="46">
        <v>0.34564499546009164</v>
      </c>
    </row>
    <row r="16" spans="1:10" ht="43.2" x14ac:dyDescent="0.3">
      <c r="A16" s="59" t="s">
        <v>1268</v>
      </c>
      <c r="B16" s="60">
        <v>0</v>
      </c>
      <c r="C16" s="60">
        <v>2206177398.8600001</v>
      </c>
      <c r="D16" s="60">
        <v>1423220970</v>
      </c>
      <c r="E16" s="60">
        <v>478937187.44</v>
      </c>
      <c r="F16" s="60">
        <v>208766135.56</v>
      </c>
      <c r="G16" s="60">
        <v>782956428.86000013</v>
      </c>
      <c r="H16" s="60">
        <v>782956428.86000013</v>
      </c>
      <c r="I16" s="46">
        <v>0.64510722063213144</v>
      </c>
      <c r="J16" s="46">
        <v>0.64510722063213144</v>
      </c>
    </row>
    <row r="17" spans="1:10" ht="28.8" x14ac:dyDescent="0.3">
      <c r="A17" s="56" t="s">
        <v>1033</v>
      </c>
      <c r="B17" s="57">
        <v>382873239</v>
      </c>
      <c r="C17" s="57">
        <v>2136611396.6600001</v>
      </c>
      <c r="D17" s="57">
        <v>1928065825.3499999</v>
      </c>
      <c r="E17" s="57">
        <v>1917949158.6799998</v>
      </c>
      <c r="F17" s="57">
        <v>1908489158.6799998</v>
      </c>
      <c r="G17" s="57">
        <v>203795571.32000017</v>
      </c>
      <c r="H17" s="57">
        <v>208545571.31000018</v>
      </c>
      <c r="I17" s="58">
        <v>0.90461739011662201</v>
      </c>
      <c r="J17" s="58">
        <v>0.90239424369073229</v>
      </c>
    </row>
    <row r="18" spans="1:10" ht="57.6" x14ac:dyDescent="0.3">
      <c r="A18" s="59" t="s">
        <v>1269</v>
      </c>
      <c r="B18" s="60">
        <v>382873239</v>
      </c>
      <c r="C18" s="60">
        <v>382873239</v>
      </c>
      <c r="D18" s="60">
        <v>375036085.00999999</v>
      </c>
      <c r="E18" s="60">
        <v>364919418.33999997</v>
      </c>
      <c r="F18" s="60">
        <v>355459418.33999997</v>
      </c>
      <c r="G18" s="60">
        <v>3087154</v>
      </c>
      <c r="H18" s="60">
        <v>7837153.9900000095</v>
      </c>
      <c r="I18" s="46">
        <v>0.99193687705084033</v>
      </c>
      <c r="J18" s="46">
        <v>0.9795306822423282</v>
      </c>
    </row>
    <row r="19" spans="1:10" ht="57.6" x14ac:dyDescent="0.3">
      <c r="A19" s="59" t="s">
        <v>1270</v>
      </c>
      <c r="B19" s="60">
        <v>0</v>
      </c>
      <c r="C19" s="60">
        <v>1753738157.6600001</v>
      </c>
      <c r="D19" s="60">
        <v>1553029740.3399999</v>
      </c>
      <c r="E19" s="60">
        <v>1553029740.3399999</v>
      </c>
      <c r="F19" s="60">
        <v>1553029740.3399999</v>
      </c>
      <c r="G19" s="60">
        <v>200708417.32000017</v>
      </c>
      <c r="H19" s="60">
        <v>200708417.32000017</v>
      </c>
      <c r="I19" s="46">
        <v>0.88555394290570499</v>
      </c>
      <c r="J19" s="46">
        <v>0.88555394290570499</v>
      </c>
    </row>
    <row r="20" spans="1:10" ht="43.2" x14ac:dyDescent="0.3">
      <c r="A20" s="56" t="s">
        <v>1023</v>
      </c>
      <c r="B20" s="57">
        <v>1548891439</v>
      </c>
      <c r="C20" s="57">
        <v>2595564140.96</v>
      </c>
      <c r="D20" s="57">
        <v>1472057121.47</v>
      </c>
      <c r="E20" s="57">
        <v>1425766849.3200002</v>
      </c>
      <c r="F20" s="57">
        <v>1342966849.3200002</v>
      </c>
      <c r="G20" s="57">
        <v>1111883955.23</v>
      </c>
      <c r="H20" s="57">
        <v>1123507019.49</v>
      </c>
      <c r="I20" s="58">
        <v>0.57162146845704354</v>
      </c>
      <c r="J20" s="58">
        <v>0.5671434191279674</v>
      </c>
    </row>
    <row r="21" spans="1:10" ht="72" x14ac:dyDescent="0.3">
      <c r="A21" s="59" t="s">
        <v>1271</v>
      </c>
      <c r="B21" s="60">
        <v>1548891439</v>
      </c>
      <c r="C21" s="60">
        <v>1772026639</v>
      </c>
      <c r="D21" s="60">
        <v>1348526496.4400001</v>
      </c>
      <c r="E21" s="60">
        <v>1302236224.2900002</v>
      </c>
      <c r="F21" s="60">
        <v>1219436224.2900002</v>
      </c>
      <c r="G21" s="60">
        <v>411877078.29999995</v>
      </c>
      <c r="H21" s="60">
        <v>423500142.55999994</v>
      </c>
      <c r="I21" s="46">
        <v>0.76756721979505182</v>
      </c>
      <c r="J21" s="46">
        <v>0.76100802705822079</v>
      </c>
    </row>
    <row r="22" spans="1:10" ht="72" x14ac:dyDescent="0.3">
      <c r="A22" s="59" t="s">
        <v>1272</v>
      </c>
      <c r="B22" s="60">
        <v>0</v>
      </c>
      <c r="C22" s="60">
        <v>823537501.96000004</v>
      </c>
      <c r="D22" s="60">
        <v>123530625.03</v>
      </c>
      <c r="E22" s="60">
        <v>123530625.03</v>
      </c>
      <c r="F22" s="60">
        <v>123530625.03</v>
      </c>
      <c r="G22" s="60">
        <v>700006876.93000007</v>
      </c>
      <c r="H22" s="60">
        <v>700006876.93000007</v>
      </c>
      <c r="I22" s="46">
        <v>0.14999999967943173</v>
      </c>
      <c r="J22" s="46">
        <v>0.14999999967943173</v>
      </c>
    </row>
    <row r="23" spans="1:10" ht="43.2" x14ac:dyDescent="0.3">
      <c r="A23" s="56" t="s">
        <v>1093</v>
      </c>
      <c r="B23" s="57">
        <v>167507042</v>
      </c>
      <c r="C23" s="57">
        <v>167507042</v>
      </c>
      <c r="D23" s="57">
        <v>162990224.00999999</v>
      </c>
      <c r="E23" s="57">
        <v>150042498.66999999</v>
      </c>
      <c r="F23" s="57">
        <v>148395832.66999999</v>
      </c>
      <c r="G23" s="57">
        <v>0</v>
      </c>
      <c r="H23" s="57">
        <v>4516817.9900000095</v>
      </c>
      <c r="I23" s="58">
        <v>1</v>
      </c>
      <c r="J23" s="58">
        <v>0.97303505610229801</v>
      </c>
    </row>
    <row r="24" spans="1:10" ht="43.2" x14ac:dyDescent="0.3">
      <c r="A24" s="59" t="s">
        <v>1273</v>
      </c>
      <c r="B24" s="60">
        <v>167507042</v>
      </c>
      <c r="C24" s="60">
        <v>167507042</v>
      </c>
      <c r="D24" s="60">
        <v>162990224.00999999</v>
      </c>
      <c r="E24" s="60">
        <v>150042498.66999999</v>
      </c>
      <c r="F24" s="60">
        <v>148395832.66999999</v>
      </c>
      <c r="G24" s="60">
        <v>0</v>
      </c>
      <c r="H24" s="60">
        <v>4516817.9900000095</v>
      </c>
      <c r="I24" s="46">
        <v>1</v>
      </c>
      <c r="J24" s="46">
        <v>0.97303505610229801</v>
      </c>
    </row>
    <row r="25" spans="1:10" x14ac:dyDescent="0.3">
      <c r="A25" s="56" t="s">
        <v>1022</v>
      </c>
      <c r="B25" s="57">
        <v>1914366199</v>
      </c>
      <c r="C25" s="57">
        <v>1914366199</v>
      </c>
      <c r="D25" s="57">
        <v>1862342133.78</v>
      </c>
      <c r="E25" s="57">
        <v>1833003167.78</v>
      </c>
      <c r="F25" s="57">
        <v>1806103167.78</v>
      </c>
      <c r="G25" s="57">
        <v>9403996</v>
      </c>
      <c r="H25" s="57">
        <v>52024065.220000029</v>
      </c>
      <c r="I25" s="58">
        <v>0.99508767131131315</v>
      </c>
      <c r="J25" s="58">
        <v>0.97282439209009453</v>
      </c>
    </row>
    <row r="26" spans="1:10" ht="43.2" x14ac:dyDescent="0.3">
      <c r="A26" s="59" t="s">
        <v>1274</v>
      </c>
      <c r="B26" s="60">
        <v>1914366199</v>
      </c>
      <c r="C26" s="60">
        <v>1914366199</v>
      </c>
      <c r="D26" s="60">
        <v>1862342133.78</v>
      </c>
      <c r="E26" s="60">
        <v>1833003167.78</v>
      </c>
      <c r="F26" s="60">
        <v>1806103167.78</v>
      </c>
      <c r="G26" s="60">
        <v>9403996</v>
      </c>
      <c r="H26" s="60">
        <v>52024065.220000029</v>
      </c>
      <c r="I26" s="46">
        <v>0.99508767131131315</v>
      </c>
      <c r="J26" s="46">
        <v>0.97282439209009453</v>
      </c>
    </row>
    <row r="27" spans="1:10" ht="43.2" x14ac:dyDescent="0.3">
      <c r="A27" s="56" t="s">
        <v>1054</v>
      </c>
      <c r="B27" s="57">
        <v>363729577</v>
      </c>
      <c r="C27" s="57">
        <v>569929577</v>
      </c>
      <c r="D27" s="57">
        <v>494210300.37</v>
      </c>
      <c r="E27" s="57">
        <v>318491450.37</v>
      </c>
      <c r="F27" s="57">
        <v>204645550.37</v>
      </c>
      <c r="G27" s="57">
        <v>39555503</v>
      </c>
      <c r="H27" s="57">
        <v>75719276.629999995</v>
      </c>
      <c r="I27" s="58">
        <v>0.93059580587445101</v>
      </c>
      <c r="J27" s="58">
        <v>0.8671427494102486</v>
      </c>
    </row>
    <row r="28" spans="1:10" ht="72" x14ac:dyDescent="0.3">
      <c r="A28" s="59" t="s">
        <v>1275</v>
      </c>
      <c r="B28" s="60">
        <v>0</v>
      </c>
      <c r="C28" s="60">
        <v>206200000</v>
      </c>
      <c r="D28" s="60">
        <v>200000000</v>
      </c>
      <c r="E28" s="60">
        <v>52881150</v>
      </c>
      <c r="F28" s="60">
        <v>0</v>
      </c>
      <c r="G28" s="60">
        <v>6200000</v>
      </c>
      <c r="H28" s="60">
        <v>6200000</v>
      </c>
      <c r="I28" s="46">
        <v>0.96993210475266733</v>
      </c>
      <c r="J28" s="46">
        <v>0.96993210475266733</v>
      </c>
    </row>
    <row r="29" spans="1:10" ht="72" x14ac:dyDescent="0.3">
      <c r="A29" s="59" t="s">
        <v>1276</v>
      </c>
      <c r="B29" s="60">
        <v>363729577</v>
      </c>
      <c r="C29" s="60">
        <v>363729577</v>
      </c>
      <c r="D29" s="60">
        <v>294210300.37</v>
      </c>
      <c r="E29" s="60">
        <v>265610300.37</v>
      </c>
      <c r="F29" s="60">
        <v>204645550.37</v>
      </c>
      <c r="G29" s="60">
        <v>33355503</v>
      </c>
      <c r="H29" s="60">
        <v>69519276.629999995</v>
      </c>
      <c r="I29" s="46">
        <v>0.90829587388764921</v>
      </c>
      <c r="J29" s="46">
        <v>0.808870982658636</v>
      </c>
    </row>
    <row r="30" spans="1:10" ht="28.8" x14ac:dyDescent="0.3">
      <c r="A30" s="56" t="s">
        <v>1207</v>
      </c>
      <c r="B30" s="57">
        <v>213729577</v>
      </c>
      <c r="C30" s="57">
        <v>213729577</v>
      </c>
      <c r="D30" s="57">
        <v>213729500</v>
      </c>
      <c r="E30" s="57">
        <v>213729500</v>
      </c>
      <c r="F30" s="57">
        <v>213729500</v>
      </c>
      <c r="G30" s="57">
        <v>77</v>
      </c>
      <c r="H30" s="57">
        <v>77</v>
      </c>
      <c r="I30" s="58">
        <v>0.99999963973165962</v>
      </c>
      <c r="J30" s="58">
        <v>0.99999963973165962</v>
      </c>
    </row>
    <row r="31" spans="1:10" ht="43.2" x14ac:dyDescent="0.3">
      <c r="A31" s="59" t="s">
        <v>1277</v>
      </c>
      <c r="B31" s="60">
        <v>213729577</v>
      </c>
      <c r="C31" s="60">
        <v>213729577</v>
      </c>
      <c r="D31" s="60">
        <v>213729500</v>
      </c>
      <c r="E31" s="60">
        <v>213729500</v>
      </c>
      <c r="F31" s="60">
        <v>213729500</v>
      </c>
      <c r="G31" s="60">
        <v>77</v>
      </c>
      <c r="H31" s="60">
        <v>77</v>
      </c>
      <c r="I31" s="46">
        <v>0.99999963973165962</v>
      </c>
      <c r="J31" s="46">
        <v>0.99999963973165962</v>
      </c>
    </row>
    <row r="32" spans="1:10" x14ac:dyDescent="0.3">
      <c r="A32" s="53" t="s">
        <v>1024</v>
      </c>
      <c r="B32" s="54">
        <v>2756687322</v>
      </c>
      <c r="C32" s="54">
        <v>2506396729.5</v>
      </c>
      <c r="D32" s="54">
        <v>2044726721.03</v>
      </c>
      <c r="E32" s="54">
        <v>1764022996.3699999</v>
      </c>
      <c r="F32" s="54">
        <v>1245435009.7</v>
      </c>
      <c r="G32" s="54">
        <v>80549673.130000114</v>
      </c>
      <c r="H32" s="54">
        <v>461670008.47000003</v>
      </c>
      <c r="I32" s="55">
        <v>0.96786236106122392</v>
      </c>
      <c r="J32" s="55">
        <v>0.81580329919992423</v>
      </c>
    </row>
    <row r="33" spans="1:10" ht="43.2" x14ac:dyDescent="0.3">
      <c r="A33" s="56" t="s">
        <v>1131</v>
      </c>
      <c r="B33" s="57">
        <v>363729577</v>
      </c>
      <c r="C33" s="57">
        <v>309729577</v>
      </c>
      <c r="D33" s="57">
        <v>297075099.97000003</v>
      </c>
      <c r="E33" s="57">
        <v>231802666.63999999</v>
      </c>
      <c r="F33" s="57">
        <v>224945999.97</v>
      </c>
      <c r="G33" s="57">
        <v>71729</v>
      </c>
      <c r="H33" s="57">
        <v>12654477.029999971</v>
      </c>
      <c r="I33" s="58">
        <v>0.99976841410918915</v>
      </c>
      <c r="J33" s="58">
        <v>0.95914346588217514</v>
      </c>
    </row>
    <row r="34" spans="1:10" ht="57.6" x14ac:dyDescent="0.3">
      <c r="A34" s="59" t="s">
        <v>1278</v>
      </c>
      <c r="B34" s="60">
        <v>363729577</v>
      </c>
      <c r="C34" s="60">
        <v>309729577</v>
      </c>
      <c r="D34" s="60">
        <v>297075099.97000003</v>
      </c>
      <c r="E34" s="60">
        <v>231802666.63999999</v>
      </c>
      <c r="F34" s="60">
        <v>224945999.97</v>
      </c>
      <c r="G34" s="60">
        <v>71729</v>
      </c>
      <c r="H34" s="60">
        <v>12654477.029999971</v>
      </c>
      <c r="I34" s="46">
        <v>0.99976841410918915</v>
      </c>
      <c r="J34" s="46">
        <v>0.95914346588217514</v>
      </c>
    </row>
    <row r="35" spans="1:10" ht="28.8" x14ac:dyDescent="0.3">
      <c r="A35" s="56" t="s">
        <v>1025</v>
      </c>
      <c r="B35" s="57">
        <v>2392957745</v>
      </c>
      <c r="C35" s="57">
        <v>2196667152.5</v>
      </c>
      <c r="D35" s="57">
        <v>1747651621.0599999</v>
      </c>
      <c r="E35" s="57">
        <v>1532220329.73</v>
      </c>
      <c r="F35" s="57">
        <v>1020489009.73</v>
      </c>
      <c r="G35" s="57">
        <v>80477944.130000114</v>
      </c>
      <c r="H35" s="57">
        <v>449015531.44000006</v>
      </c>
      <c r="I35" s="58">
        <v>0.96336361472041443</v>
      </c>
      <c r="J35" s="58">
        <v>0.79559236776997322</v>
      </c>
    </row>
    <row r="36" spans="1:10" ht="43.2" x14ac:dyDescent="0.3">
      <c r="A36" s="59" t="s">
        <v>1279</v>
      </c>
      <c r="B36" s="60">
        <v>2392957745</v>
      </c>
      <c r="C36" s="60">
        <v>2196667152.5</v>
      </c>
      <c r="D36" s="60">
        <v>1747651621.0599999</v>
      </c>
      <c r="E36" s="60">
        <v>1532220329.73</v>
      </c>
      <c r="F36" s="60">
        <v>1020489009.73</v>
      </c>
      <c r="G36" s="60">
        <v>80477944.130000114</v>
      </c>
      <c r="H36" s="60">
        <v>449015531.44000006</v>
      </c>
      <c r="I36" s="46">
        <v>0.96336361472041443</v>
      </c>
      <c r="J36" s="46">
        <v>0.79559236776997322</v>
      </c>
    </row>
    <row r="37" spans="1:10" ht="28.8" x14ac:dyDescent="0.3">
      <c r="A37" s="53" t="s">
        <v>1044</v>
      </c>
      <c r="B37" s="54">
        <v>765746478</v>
      </c>
      <c r="C37" s="54">
        <v>996337944.67000008</v>
      </c>
      <c r="D37" s="54">
        <v>872963002.33000004</v>
      </c>
      <c r="E37" s="54">
        <v>787499668.88999999</v>
      </c>
      <c r="F37" s="54">
        <v>557430676.88999999</v>
      </c>
      <c r="G37" s="54">
        <v>6447438</v>
      </c>
      <c r="H37" s="54">
        <v>123374942.33999991</v>
      </c>
      <c r="I37" s="55">
        <v>0.99352886434317678</v>
      </c>
      <c r="J37" s="55">
        <v>0.87617159117545873</v>
      </c>
    </row>
    <row r="38" spans="1:10" ht="28.8" x14ac:dyDescent="0.3">
      <c r="A38" s="56" t="s">
        <v>1045</v>
      </c>
      <c r="B38" s="57">
        <v>670028169</v>
      </c>
      <c r="C38" s="57">
        <v>823892969</v>
      </c>
      <c r="D38" s="57">
        <v>711121002.33000004</v>
      </c>
      <c r="E38" s="57">
        <v>696199668.88999999</v>
      </c>
      <c r="F38" s="57">
        <v>479630676.88999999</v>
      </c>
      <c r="G38" s="57">
        <v>663806.33000004292</v>
      </c>
      <c r="H38" s="57">
        <v>112771966.66999996</v>
      </c>
      <c r="I38" s="58">
        <v>0.99919430514038043</v>
      </c>
      <c r="J38" s="58">
        <v>0.8631230379270296</v>
      </c>
    </row>
    <row r="39" spans="1:10" ht="43.2" x14ac:dyDescent="0.3">
      <c r="A39" s="59" t="s">
        <v>1280</v>
      </c>
      <c r="B39" s="60">
        <v>670028169</v>
      </c>
      <c r="C39" s="60">
        <v>823892969</v>
      </c>
      <c r="D39" s="60">
        <v>711121002.33000004</v>
      </c>
      <c r="E39" s="60">
        <v>696199668.88999999</v>
      </c>
      <c r="F39" s="60">
        <v>479630676.88999999</v>
      </c>
      <c r="G39" s="60">
        <v>663806.33000004292</v>
      </c>
      <c r="H39" s="60">
        <v>112771966.66999996</v>
      </c>
      <c r="I39" s="46">
        <v>0.99919430514038043</v>
      </c>
      <c r="J39" s="46">
        <v>0.8631230379270296</v>
      </c>
    </row>
    <row r="40" spans="1:10" x14ac:dyDescent="0.3">
      <c r="A40" s="56" t="s">
        <v>1089</v>
      </c>
      <c r="B40" s="57">
        <v>95718309</v>
      </c>
      <c r="C40" s="57">
        <v>172444975.67000002</v>
      </c>
      <c r="D40" s="57">
        <v>161842000</v>
      </c>
      <c r="E40" s="57">
        <v>91300000</v>
      </c>
      <c r="F40" s="57">
        <v>77800000</v>
      </c>
      <c r="G40" s="57">
        <v>5783631.6700000167</v>
      </c>
      <c r="H40" s="57">
        <v>10602975.670000017</v>
      </c>
      <c r="I40" s="58">
        <v>0.96646100213979047</v>
      </c>
      <c r="J40" s="58">
        <v>0.93851386142852644</v>
      </c>
    </row>
    <row r="41" spans="1:10" ht="28.8" x14ac:dyDescent="0.3">
      <c r="A41" s="59" t="s">
        <v>1281</v>
      </c>
      <c r="B41" s="60">
        <v>95718309</v>
      </c>
      <c r="C41" s="60">
        <v>172444975.67000002</v>
      </c>
      <c r="D41" s="60">
        <v>161842000</v>
      </c>
      <c r="E41" s="60">
        <v>91300000</v>
      </c>
      <c r="F41" s="60">
        <v>77800000</v>
      </c>
      <c r="G41" s="60">
        <v>5783631.6700000167</v>
      </c>
      <c r="H41" s="60">
        <v>10602975.670000017</v>
      </c>
      <c r="I41" s="46">
        <v>0.96646100213979047</v>
      </c>
      <c r="J41" s="46">
        <v>0.93851386142852644</v>
      </c>
    </row>
    <row r="42" spans="1:10" ht="28.8" x14ac:dyDescent="0.3">
      <c r="A42" s="50" t="s">
        <v>1060</v>
      </c>
      <c r="B42" s="51">
        <v>440304228</v>
      </c>
      <c r="C42" s="51">
        <v>1040304228</v>
      </c>
      <c r="D42" s="51">
        <v>355804077</v>
      </c>
      <c r="E42" s="51">
        <v>239876077</v>
      </c>
      <c r="F42" s="51">
        <v>195076077</v>
      </c>
      <c r="G42" s="51">
        <v>660545151</v>
      </c>
      <c r="H42" s="51">
        <v>684500151</v>
      </c>
      <c r="I42" s="52">
        <v>0.36504617282013008</v>
      </c>
      <c r="J42" s="52">
        <v>0.34201925496740365</v>
      </c>
    </row>
    <row r="43" spans="1:10" ht="28.8" x14ac:dyDescent="0.3">
      <c r="A43" s="53" t="s">
        <v>1127</v>
      </c>
      <c r="B43" s="54">
        <v>440304228</v>
      </c>
      <c r="C43" s="54">
        <v>1040304228</v>
      </c>
      <c r="D43" s="54">
        <v>355804077</v>
      </c>
      <c r="E43" s="54">
        <v>239876077</v>
      </c>
      <c r="F43" s="54">
        <v>195076077</v>
      </c>
      <c r="G43" s="54">
        <v>660545151</v>
      </c>
      <c r="H43" s="54">
        <v>684500151</v>
      </c>
      <c r="I43" s="55">
        <v>0.36504617282013008</v>
      </c>
      <c r="J43" s="55">
        <v>0.34201925496740365</v>
      </c>
    </row>
    <row r="44" spans="1:10" ht="43.2" x14ac:dyDescent="0.3">
      <c r="A44" s="56" t="s">
        <v>1136</v>
      </c>
      <c r="B44" s="57">
        <v>210580286</v>
      </c>
      <c r="C44" s="57">
        <v>210580286</v>
      </c>
      <c r="D44" s="57">
        <v>202100000</v>
      </c>
      <c r="E44" s="57">
        <v>173300000</v>
      </c>
      <c r="F44" s="57">
        <v>134500000</v>
      </c>
      <c r="G44" s="57">
        <v>80286</v>
      </c>
      <c r="H44" s="57">
        <v>8480286</v>
      </c>
      <c r="I44" s="58">
        <v>0.99961873923943667</v>
      </c>
      <c r="J44" s="58">
        <v>0.95972896532204344</v>
      </c>
    </row>
    <row r="45" spans="1:10" ht="57.6" x14ac:dyDescent="0.3">
      <c r="A45" s="59" t="s">
        <v>1282</v>
      </c>
      <c r="B45" s="60">
        <v>210580286</v>
      </c>
      <c r="C45" s="60">
        <v>210580286</v>
      </c>
      <c r="D45" s="60">
        <v>202100000</v>
      </c>
      <c r="E45" s="60">
        <v>173300000</v>
      </c>
      <c r="F45" s="60">
        <v>134500000</v>
      </c>
      <c r="G45" s="60">
        <v>80286</v>
      </c>
      <c r="H45" s="60">
        <v>8480286</v>
      </c>
      <c r="I45" s="46">
        <v>0.99961873923943667</v>
      </c>
      <c r="J45" s="46">
        <v>0.95972896532204344</v>
      </c>
    </row>
    <row r="46" spans="1:10" ht="43.2" x14ac:dyDescent="0.3">
      <c r="A46" s="56" t="s">
        <v>1208</v>
      </c>
      <c r="B46" s="57">
        <v>57430985</v>
      </c>
      <c r="C46" s="57">
        <v>57430985</v>
      </c>
      <c r="D46" s="57">
        <v>57420000</v>
      </c>
      <c r="E46" s="57">
        <v>0</v>
      </c>
      <c r="F46" s="57">
        <v>0</v>
      </c>
      <c r="G46" s="57">
        <v>10985</v>
      </c>
      <c r="H46" s="57">
        <v>10985</v>
      </c>
      <c r="I46" s="58">
        <v>0.99980872694417477</v>
      </c>
      <c r="J46" s="58">
        <v>0.99980872694417477</v>
      </c>
    </row>
    <row r="47" spans="1:10" ht="43.2" x14ac:dyDescent="0.3">
      <c r="A47" s="59" t="s">
        <v>1283</v>
      </c>
      <c r="B47" s="60">
        <v>57430985</v>
      </c>
      <c r="C47" s="60">
        <v>57430985</v>
      </c>
      <c r="D47" s="60">
        <v>57420000</v>
      </c>
      <c r="E47" s="60">
        <v>0</v>
      </c>
      <c r="F47" s="60">
        <v>0</v>
      </c>
      <c r="G47" s="60">
        <v>10985</v>
      </c>
      <c r="H47" s="60">
        <v>10985</v>
      </c>
      <c r="I47" s="46">
        <v>0.99980872694417477</v>
      </c>
      <c r="J47" s="46">
        <v>0.99980872694417477</v>
      </c>
    </row>
    <row r="48" spans="1:10" ht="28.8" x14ac:dyDescent="0.3">
      <c r="A48" s="56" t="s">
        <v>1132</v>
      </c>
      <c r="B48" s="57">
        <v>172292957</v>
      </c>
      <c r="C48" s="57">
        <v>772292957</v>
      </c>
      <c r="D48" s="57">
        <v>96284077</v>
      </c>
      <c r="E48" s="57">
        <v>66576077</v>
      </c>
      <c r="F48" s="57">
        <v>60576077</v>
      </c>
      <c r="G48" s="57">
        <v>660453880</v>
      </c>
      <c r="H48" s="57">
        <v>676008880</v>
      </c>
      <c r="I48" s="58">
        <v>0.14481431688104854</v>
      </c>
      <c r="J48" s="58">
        <v>0.12467299633809815</v>
      </c>
    </row>
    <row r="49" spans="1:10" ht="57.6" x14ac:dyDescent="0.3">
      <c r="A49" s="59" t="s">
        <v>1284</v>
      </c>
      <c r="B49" s="60">
        <v>172292957</v>
      </c>
      <c r="C49" s="60">
        <v>172292957</v>
      </c>
      <c r="D49" s="60">
        <v>96284077</v>
      </c>
      <c r="E49" s="60">
        <v>66576077</v>
      </c>
      <c r="F49" s="60">
        <v>60576077</v>
      </c>
      <c r="G49" s="60">
        <v>60453880</v>
      </c>
      <c r="H49" s="60">
        <v>76008880</v>
      </c>
      <c r="I49" s="46">
        <v>0.64912158307202306</v>
      </c>
      <c r="J49" s="46">
        <v>0.55883930879426491</v>
      </c>
    </row>
    <row r="50" spans="1:10" ht="57.6" x14ac:dyDescent="0.3">
      <c r="A50" s="59" t="s">
        <v>1285</v>
      </c>
      <c r="B50" s="60">
        <v>0</v>
      </c>
      <c r="C50" s="60">
        <v>600000000</v>
      </c>
      <c r="D50" s="60">
        <v>0</v>
      </c>
      <c r="E50" s="60">
        <v>0</v>
      </c>
      <c r="F50" s="60">
        <v>0</v>
      </c>
      <c r="G50" s="60">
        <v>600000000</v>
      </c>
      <c r="H50" s="60">
        <v>600000000</v>
      </c>
      <c r="I50" s="46">
        <v>0</v>
      </c>
      <c r="J50" s="46">
        <v>0</v>
      </c>
    </row>
    <row r="51" spans="1:10" x14ac:dyDescent="0.3">
      <c r="A51" s="59" t="s">
        <v>1673</v>
      </c>
      <c r="B51" s="60">
        <v>14475361416</v>
      </c>
      <c r="C51" s="60">
        <v>33939028301.98</v>
      </c>
      <c r="D51" s="60">
        <v>19545913964.410004</v>
      </c>
      <c r="E51" s="60">
        <v>14104798931.91</v>
      </c>
      <c r="F51" s="60">
        <v>9418195942.3599987</v>
      </c>
      <c r="G51" s="60">
        <v>10299682188.030006</v>
      </c>
      <c r="H51" s="60">
        <v>14393114337.569996</v>
      </c>
      <c r="I51" s="46">
        <v>0.69652395182365534</v>
      </c>
      <c r="J51" s="46">
        <v>0.57591259804187434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472C2-83A0-42BC-8539-071014BE3680}">
  <dimension ref="A1:J41"/>
  <sheetViews>
    <sheetView workbookViewId="0">
      <selection activeCell="A10" sqref="A10"/>
    </sheetView>
  </sheetViews>
  <sheetFormatPr baseColWidth="10" defaultRowHeight="14.4" x14ac:dyDescent="0.3"/>
  <cols>
    <col min="1" max="1" width="55.6640625" style="14" customWidth="1"/>
    <col min="2" max="6" width="18.6640625" style="33" bestFit="1" customWidth="1"/>
    <col min="7" max="7" width="23.6640625" style="33" bestFit="1" customWidth="1"/>
    <col min="8" max="8" width="22.109375" style="33" bestFit="1" customWidth="1"/>
    <col min="9" max="9" width="14.109375" style="27" bestFit="1" customWidth="1"/>
    <col min="10" max="10" width="12.88671875" style="27" bestFit="1" customWidth="1"/>
  </cols>
  <sheetData>
    <row r="1" spans="1:10" x14ac:dyDescent="0.3">
      <c r="A1" s="13" t="s">
        <v>2</v>
      </c>
      <c r="B1" s="33" t="s">
        <v>1663</v>
      </c>
    </row>
    <row r="3" spans="1:10" x14ac:dyDescent="0.3">
      <c r="A3" s="13" t="s">
        <v>1672</v>
      </c>
      <c r="B3" s="33" t="s">
        <v>1666</v>
      </c>
      <c r="C3" s="33" t="s">
        <v>1667</v>
      </c>
      <c r="D3" s="33" t="s">
        <v>1669</v>
      </c>
      <c r="E3" s="33" t="s">
        <v>1668</v>
      </c>
      <c r="F3" s="33" t="s">
        <v>1670</v>
      </c>
      <c r="G3" s="33" t="s">
        <v>1642</v>
      </c>
      <c r="H3" s="33" t="s">
        <v>1671</v>
      </c>
      <c r="I3" s="27" t="s">
        <v>1643</v>
      </c>
      <c r="J3" s="27" t="s">
        <v>1644</v>
      </c>
    </row>
    <row r="4" spans="1:10" x14ac:dyDescent="0.3">
      <c r="A4" s="20" t="s">
        <v>1221</v>
      </c>
      <c r="B4" s="39">
        <v>42034103776</v>
      </c>
      <c r="C4" s="39">
        <v>61521935382.839996</v>
      </c>
      <c r="D4" s="39">
        <v>49618101063.800003</v>
      </c>
      <c r="E4" s="39">
        <v>44108752647.970001</v>
      </c>
      <c r="F4" s="39">
        <v>22329093690.09</v>
      </c>
      <c r="G4" s="39">
        <v>2983257052.8399963</v>
      </c>
      <c r="H4" s="39">
        <v>11903834319.039993</v>
      </c>
      <c r="I4" s="32">
        <v>0.95150905064550195</v>
      </c>
      <c r="J4" s="32">
        <v>0.80651073076676538</v>
      </c>
    </row>
    <row r="5" spans="1:10" x14ac:dyDescent="0.3">
      <c r="A5" s="16" t="s">
        <v>1055</v>
      </c>
      <c r="B5" s="35">
        <v>8641279223</v>
      </c>
      <c r="C5" s="35">
        <v>4441279223</v>
      </c>
      <c r="D5" s="35">
        <v>925414469</v>
      </c>
      <c r="E5" s="35">
        <v>826649049</v>
      </c>
      <c r="F5" s="35">
        <v>631912701</v>
      </c>
      <c r="G5" s="35">
        <v>1992360816</v>
      </c>
      <c r="H5" s="35">
        <v>3515864754</v>
      </c>
      <c r="I5" s="29">
        <v>0.55139933429940979</v>
      </c>
      <c r="J5" s="29">
        <v>0.20836664900679225</v>
      </c>
    </row>
    <row r="6" spans="1:10" ht="28.8" x14ac:dyDescent="0.3">
      <c r="A6" s="17" t="s">
        <v>1056</v>
      </c>
      <c r="B6" s="36">
        <v>7688208082</v>
      </c>
      <c r="C6" s="36">
        <v>2888208082</v>
      </c>
      <c r="D6" s="36">
        <v>378519686</v>
      </c>
      <c r="E6" s="36">
        <v>328934266</v>
      </c>
      <c r="F6" s="36">
        <v>272234266</v>
      </c>
      <c r="G6" s="36">
        <v>993591125</v>
      </c>
      <c r="H6" s="36">
        <v>2509688396</v>
      </c>
      <c r="I6" s="30">
        <v>0.65598353830795764</v>
      </c>
      <c r="J6" s="30">
        <v>0.13105693054424464</v>
      </c>
    </row>
    <row r="7" spans="1:10" x14ac:dyDescent="0.3">
      <c r="A7" s="18" t="s">
        <v>1057</v>
      </c>
      <c r="B7" s="37">
        <v>102872690</v>
      </c>
      <c r="C7" s="37">
        <v>402872690</v>
      </c>
      <c r="D7" s="37">
        <v>0</v>
      </c>
      <c r="E7" s="37">
        <v>0</v>
      </c>
      <c r="F7" s="37">
        <v>0</v>
      </c>
      <c r="G7" s="37">
        <v>0</v>
      </c>
      <c r="H7" s="37">
        <v>402872690</v>
      </c>
      <c r="I7" s="31">
        <v>1</v>
      </c>
      <c r="J7" s="31">
        <v>0</v>
      </c>
    </row>
    <row r="8" spans="1:10" ht="57.6" x14ac:dyDescent="0.3">
      <c r="A8" s="19" t="s">
        <v>1286</v>
      </c>
      <c r="B8" s="38">
        <v>102872690</v>
      </c>
      <c r="C8" s="38">
        <v>402872690</v>
      </c>
      <c r="D8" s="38">
        <v>0</v>
      </c>
      <c r="E8" s="38">
        <v>0</v>
      </c>
      <c r="F8" s="38">
        <v>0</v>
      </c>
      <c r="G8" s="38">
        <v>0</v>
      </c>
      <c r="H8" s="38">
        <v>402872690</v>
      </c>
      <c r="I8" s="27">
        <v>1</v>
      </c>
      <c r="J8" s="27">
        <v>0</v>
      </c>
    </row>
    <row r="9" spans="1:10" x14ac:dyDescent="0.3">
      <c r="A9" s="18" t="s">
        <v>1117</v>
      </c>
      <c r="B9" s="37">
        <v>476577126</v>
      </c>
      <c r="C9" s="37">
        <v>276577126</v>
      </c>
      <c r="D9" s="37">
        <v>34320000</v>
      </c>
      <c r="E9" s="37">
        <v>34320000</v>
      </c>
      <c r="F9" s="37">
        <v>34320000</v>
      </c>
      <c r="G9" s="37">
        <v>230257126</v>
      </c>
      <c r="H9" s="37">
        <v>242257126</v>
      </c>
      <c r="I9" s="31">
        <v>0.16747588880506337</v>
      </c>
      <c r="J9" s="31">
        <v>0.12408835284520239</v>
      </c>
    </row>
    <row r="10" spans="1:10" ht="57.6" x14ac:dyDescent="0.3">
      <c r="A10" s="19" t="s">
        <v>1287</v>
      </c>
      <c r="B10" s="38">
        <v>476577126</v>
      </c>
      <c r="C10" s="38">
        <v>276577126</v>
      </c>
      <c r="D10" s="38">
        <v>34320000</v>
      </c>
      <c r="E10" s="38">
        <v>34320000</v>
      </c>
      <c r="F10" s="38">
        <v>34320000</v>
      </c>
      <c r="G10" s="38">
        <v>230257126</v>
      </c>
      <c r="H10" s="38">
        <v>242257126</v>
      </c>
      <c r="I10" s="27">
        <v>0.16747588880506337</v>
      </c>
      <c r="J10" s="27">
        <v>0.12408835284520239</v>
      </c>
    </row>
    <row r="11" spans="1:10" x14ac:dyDescent="0.3">
      <c r="A11" s="18" t="s">
        <v>1108</v>
      </c>
      <c r="B11" s="37">
        <v>4902189566</v>
      </c>
      <c r="C11" s="37">
        <v>702189566</v>
      </c>
      <c r="D11" s="37">
        <v>47208000</v>
      </c>
      <c r="E11" s="37">
        <v>47148000</v>
      </c>
      <c r="F11" s="37">
        <v>47148000</v>
      </c>
      <c r="G11" s="37">
        <v>5566</v>
      </c>
      <c r="H11" s="37">
        <v>654981566</v>
      </c>
      <c r="I11" s="31">
        <v>0.99999207336555607</v>
      </c>
      <c r="J11" s="31">
        <v>6.7229708736515181E-2</v>
      </c>
    </row>
    <row r="12" spans="1:10" ht="57.6" x14ac:dyDescent="0.3">
      <c r="A12" s="19" t="s">
        <v>1288</v>
      </c>
      <c r="B12" s="38">
        <v>4902189566</v>
      </c>
      <c r="C12" s="38">
        <v>702189566</v>
      </c>
      <c r="D12" s="38">
        <v>47208000</v>
      </c>
      <c r="E12" s="38">
        <v>47148000</v>
      </c>
      <c r="F12" s="38">
        <v>47148000</v>
      </c>
      <c r="G12" s="38">
        <v>5566</v>
      </c>
      <c r="H12" s="38">
        <v>654981566</v>
      </c>
      <c r="I12" s="27">
        <v>0.99999207336555607</v>
      </c>
      <c r="J12" s="27">
        <v>6.7229708736515181E-2</v>
      </c>
    </row>
    <row r="13" spans="1:10" x14ac:dyDescent="0.3">
      <c r="A13" s="18" t="s">
        <v>1120</v>
      </c>
      <c r="B13" s="37">
        <v>402189566</v>
      </c>
      <c r="C13" s="37">
        <v>402189566</v>
      </c>
      <c r="D13" s="37">
        <v>41808000</v>
      </c>
      <c r="E13" s="37">
        <v>41808000</v>
      </c>
      <c r="F13" s="37">
        <v>41808000</v>
      </c>
      <c r="G13" s="37">
        <v>160381566</v>
      </c>
      <c r="H13" s="37">
        <v>360381566</v>
      </c>
      <c r="I13" s="31">
        <v>0.60122892397462147</v>
      </c>
      <c r="J13" s="31">
        <v>0.10395098116493653</v>
      </c>
    </row>
    <row r="14" spans="1:10" ht="43.2" x14ac:dyDescent="0.3">
      <c r="A14" s="19" t="s">
        <v>1289</v>
      </c>
      <c r="B14" s="38">
        <v>402189566</v>
      </c>
      <c r="C14" s="38">
        <v>402189566</v>
      </c>
      <c r="D14" s="38">
        <v>41808000</v>
      </c>
      <c r="E14" s="38">
        <v>41808000</v>
      </c>
      <c r="F14" s="38">
        <v>41808000</v>
      </c>
      <c r="G14" s="38">
        <v>160381566</v>
      </c>
      <c r="H14" s="38">
        <v>360381566</v>
      </c>
      <c r="I14" s="27">
        <v>0.60122892397462147</v>
      </c>
      <c r="J14" s="27">
        <v>0.10395098116493653</v>
      </c>
    </row>
    <row r="15" spans="1:10" x14ac:dyDescent="0.3">
      <c r="A15" s="18" t="s">
        <v>1118</v>
      </c>
      <c r="B15" s="37">
        <v>902189567</v>
      </c>
      <c r="C15" s="37">
        <v>702189567</v>
      </c>
      <c r="D15" s="37">
        <v>142257820</v>
      </c>
      <c r="E15" s="37">
        <v>92732400</v>
      </c>
      <c r="F15" s="37">
        <v>92732400</v>
      </c>
      <c r="G15" s="37">
        <v>509343167</v>
      </c>
      <c r="H15" s="37">
        <v>559931747</v>
      </c>
      <c r="I15" s="31">
        <v>0.27463580927855058</v>
      </c>
      <c r="J15" s="31">
        <v>0.20259175966936574</v>
      </c>
    </row>
    <row r="16" spans="1:10" ht="57.6" x14ac:dyDescent="0.3">
      <c r="A16" s="19" t="s">
        <v>1290</v>
      </c>
      <c r="B16" s="38">
        <v>902189567</v>
      </c>
      <c r="C16" s="38">
        <v>702189567</v>
      </c>
      <c r="D16" s="38">
        <v>142257820</v>
      </c>
      <c r="E16" s="38">
        <v>92732400</v>
      </c>
      <c r="F16" s="38">
        <v>92732400</v>
      </c>
      <c r="G16" s="38">
        <v>509343167</v>
      </c>
      <c r="H16" s="38">
        <v>559931747</v>
      </c>
      <c r="I16" s="27">
        <v>0.27463580927855058</v>
      </c>
      <c r="J16" s="27">
        <v>0.20259175966936574</v>
      </c>
    </row>
    <row r="17" spans="1:10" x14ac:dyDescent="0.3">
      <c r="A17" s="18" t="s">
        <v>1122</v>
      </c>
      <c r="B17" s="37">
        <v>902189567</v>
      </c>
      <c r="C17" s="37">
        <v>402189567</v>
      </c>
      <c r="D17" s="37">
        <v>112925866</v>
      </c>
      <c r="E17" s="37">
        <v>112925866</v>
      </c>
      <c r="F17" s="37">
        <v>56225866</v>
      </c>
      <c r="G17" s="37">
        <v>93603700</v>
      </c>
      <c r="H17" s="37">
        <v>289263701</v>
      </c>
      <c r="I17" s="31">
        <v>0.7672647237017961</v>
      </c>
      <c r="J17" s="31">
        <v>0.28077771097428789</v>
      </c>
    </row>
    <row r="18" spans="1:10" ht="57.6" x14ac:dyDescent="0.3">
      <c r="A18" s="19" t="s">
        <v>1291</v>
      </c>
      <c r="B18" s="38">
        <v>902189567</v>
      </c>
      <c r="C18" s="38">
        <v>402189567</v>
      </c>
      <c r="D18" s="38">
        <v>112925866</v>
      </c>
      <c r="E18" s="38">
        <v>112925866</v>
      </c>
      <c r="F18" s="38">
        <v>56225866</v>
      </c>
      <c r="G18" s="38">
        <v>93603700</v>
      </c>
      <c r="H18" s="38">
        <v>289263701</v>
      </c>
      <c r="I18" s="27">
        <v>0.7672647237017961</v>
      </c>
      <c r="J18" s="27">
        <v>0.28077771097428789</v>
      </c>
    </row>
    <row r="19" spans="1:10" x14ac:dyDescent="0.3">
      <c r="A19" s="17" t="s">
        <v>1109</v>
      </c>
      <c r="B19" s="36">
        <v>953071141</v>
      </c>
      <c r="C19" s="36">
        <v>1553071141</v>
      </c>
      <c r="D19" s="36">
        <v>546894783</v>
      </c>
      <c r="E19" s="36">
        <v>497714783</v>
      </c>
      <c r="F19" s="36">
        <v>359678435</v>
      </c>
      <c r="G19" s="36">
        <v>998769691</v>
      </c>
      <c r="H19" s="36">
        <v>1006176358</v>
      </c>
      <c r="I19" s="30">
        <v>0.35690667051033692</v>
      </c>
      <c r="J19" s="30">
        <v>0.35213762496923506</v>
      </c>
    </row>
    <row r="20" spans="1:10" x14ac:dyDescent="0.3">
      <c r="A20" s="18" t="s">
        <v>1110</v>
      </c>
      <c r="B20" s="37">
        <v>451094783</v>
      </c>
      <c r="C20" s="37">
        <v>1251094783</v>
      </c>
      <c r="D20" s="37">
        <v>244994783</v>
      </c>
      <c r="E20" s="37">
        <v>244994783</v>
      </c>
      <c r="F20" s="37">
        <v>106958435</v>
      </c>
      <c r="G20" s="37">
        <v>998693333</v>
      </c>
      <c r="H20" s="37">
        <v>1006100000</v>
      </c>
      <c r="I20" s="31">
        <v>0.20174446686986144</v>
      </c>
      <c r="J20" s="31">
        <v>0.19582431829227762</v>
      </c>
    </row>
    <row r="21" spans="1:10" ht="57.6" x14ac:dyDescent="0.3">
      <c r="A21" s="19" t="s">
        <v>1292</v>
      </c>
      <c r="B21" s="38">
        <v>451094783</v>
      </c>
      <c r="C21" s="38">
        <v>251094783</v>
      </c>
      <c r="D21" s="38">
        <v>244994783</v>
      </c>
      <c r="E21" s="38">
        <v>244994783</v>
      </c>
      <c r="F21" s="38">
        <v>106958435</v>
      </c>
      <c r="G21" s="38">
        <v>4900000</v>
      </c>
      <c r="H21" s="38">
        <v>6100000</v>
      </c>
      <c r="I21" s="27">
        <v>0.98048545676076437</v>
      </c>
      <c r="J21" s="27">
        <v>0.97570638494707396</v>
      </c>
    </row>
    <row r="22" spans="1:10" ht="57.6" x14ac:dyDescent="0.3">
      <c r="A22" s="19" t="s">
        <v>1293</v>
      </c>
      <c r="B22" s="38">
        <v>0</v>
      </c>
      <c r="C22" s="38">
        <v>1000000000</v>
      </c>
      <c r="D22" s="38">
        <v>0</v>
      </c>
      <c r="E22" s="38">
        <v>0</v>
      </c>
      <c r="F22" s="38">
        <v>0</v>
      </c>
      <c r="G22" s="38">
        <v>993793333</v>
      </c>
      <c r="H22" s="38">
        <v>1000000000</v>
      </c>
      <c r="I22" s="27">
        <v>6.2066669999999999E-3</v>
      </c>
      <c r="J22" s="27">
        <v>0</v>
      </c>
    </row>
    <row r="23" spans="1:10" x14ac:dyDescent="0.3">
      <c r="A23" s="18" t="s">
        <v>1119</v>
      </c>
      <c r="B23" s="37">
        <v>501976358</v>
      </c>
      <c r="C23" s="37">
        <v>301976358</v>
      </c>
      <c r="D23" s="37">
        <v>301900000</v>
      </c>
      <c r="E23" s="37">
        <v>252720000</v>
      </c>
      <c r="F23" s="37">
        <v>252720000</v>
      </c>
      <c r="G23" s="37">
        <v>76358</v>
      </c>
      <c r="H23" s="37">
        <v>76358</v>
      </c>
      <c r="I23" s="31">
        <v>0.99974713914524393</v>
      </c>
      <c r="J23" s="31">
        <v>0.99974713914524393</v>
      </c>
    </row>
    <row r="24" spans="1:10" ht="43.2" x14ac:dyDescent="0.3">
      <c r="A24" s="19" t="s">
        <v>1294</v>
      </c>
      <c r="B24" s="38">
        <v>501976358</v>
      </c>
      <c r="C24" s="38">
        <v>301976358</v>
      </c>
      <c r="D24" s="38">
        <v>301900000</v>
      </c>
      <c r="E24" s="38">
        <v>252720000</v>
      </c>
      <c r="F24" s="38">
        <v>252720000</v>
      </c>
      <c r="G24" s="38">
        <v>76358</v>
      </c>
      <c r="H24" s="38">
        <v>76358</v>
      </c>
      <c r="I24" s="27">
        <v>0.99974713914524393</v>
      </c>
      <c r="J24" s="27">
        <v>0.99974713914524393</v>
      </c>
    </row>
    <row r="25" spans="1:10" x14ac:dyDescent="0.3">
      <c r="A25" s="16" t="s">
        <v>1018</v>
      </c>
      <c r="B25" s="35">
        <v>32892824553</v>
      </c>
      <c r="C25" s="35">
        <v>56080656159.839996</v>
      </c>
      <c r="D25" s="35">
        <v>48564789474.800003</v>
      </c>
      <c r="E25" s="35">
        <v>43197431478.970001</v>
      </c>
      <c r="F25" s="35">
        <v>21655733869.09</v>
      </c>
      <c r="G25" s="35">
        <v>552543356.83999634</v>
      </c>
      <c r="H25" s="35">
        <v>7515866685.0399933</v>
      </c>
      <c r="I25" s="29">
        <v>0.99014734500849721</v>
      </c>
      <c r="J25" s="29">
        <v>0.86598112076972822</v>
      </c>
    </row>
    <row r="26" spans="1:10" ht="28.8" x14ac:dyDescent="0.3">
      <c r="A26" s="17" t="s">
        <v>1187</v>
      </c>
      <c r="B26" s="36">
        <v>0</v>
      </c>
      <c r="C26" s="36">
        <v>0</v>
      </c>
      <c r="D26" s="36">
        <v>0</v>
      </c>
      <c r="E26" s="36">
        <v>0</v>
      </c>
      <c r="F26" s="36">
        <v>0</v>
      </c>
      <c r="G26" s="36">
        <v>0</v>
      </c>
      <c r="H26" s="36">
        <v>0</v>
      </c>
      <c r="I26" s="30" t="e">
        <v>#DIV/0!</v>
      </c>
      <c r="J26" s="30" t="e">
        <v>#DIV/0!</v>
      </c>
    </row>
    <row r="27" spans="1:10" ht="43.2" x14ac:dyDescent="0.3">
      <c r="A27" s="18" t="s">
        <v>1194</v>
      </c>
      <c r="B27" s="37">
        <v>0</v>
      </c>
      <c r="C27" s="37">
        <v>0</v>
      </c>
      <c r="D27" s="37">
        <v>0</v>
      </c>
      <c r="E27" s="37">
        <v>0</v>
      </c>
      <c r="F27" s="37">
        <v>0</v>
      </c>
      <c r="G27" s="37">
        <v>0</v>
      </c>
      <c r="H27" s="37">
        <v>0</v>
      </c>
      <c r="I27" s="31" t="e">
        <v>#DIV/0!</v>
      </c>
      <c r="J27" s="31" t="e">
        <v>#DIV/0!</v>
      </c>
    </row>
    <row r="28" spans="1:10" ht="28.8" x14ac:dyDescent="0.3">
      <c r="A28" s="19" t="s">
        <v>1295</v>
      </c>
      <c r="B28" s="38">
        <v>0</v>
      </c>
      <c r="C28" s="38">
        <v>0</v>
      </c>
      <c r="D28" s="38">
        <v>0</v>
      </c>
      <c r="E28" s="38">
        <v>0</v>
      </c>
      <c r="F28" s="38">
        <v>0</v>
      </c>
      <c r="G28" s="38">
        <v>0</v>
      </c>
      <c r="H28" s="38">
        <v>0</v>
      </c>
      <c r="I28" s="27" t="e">
        <v>#DIV/0!</v>
      </c>
      <c r="J28" s="27" t="e">
        <v>#DIV/0!</v>
      </c>
    </row>
    <row r="29" spans="1:10" ht="28.8" x14ac:dyDescent="0.3">
      <c r="A29" s="17" t="s">
        <v>1205</v>
      </c>
      <c r="B29" s="36">
        <v>32892824553</v>
      </c>
      <c r="C29" s="36">
        <v>56080656159.839996</v>
      </c>
      <c r="D29" s="36">
        <v>48564789474.800003</v>
      </c>
      <c r="E29" s="36">
        <v>43197431478.970001</v>
      </c>
      <c r="F29" s="36">
        <v>21655733869.09</v>
      </c>
      <c r="G29" s="36">
        <v>552543356.83999634</v>
      </c>
      <c r="H29" s="36">
        <v>7515866685.0399933</v>
      </c>
      <c r="I29" s="30">
        <v>0.99014734500849721</v>
      </c>
      <c r="J29" s="30">
        <v>0.86598112076972822</v>
      </c>
    </row>
    <row r="30" spans="1:10" ht="28.8" x14ac:dyDescent="0.3">
      <c r="A30" s="18" t="s">
        <v>1215</v>
      </c>
      <c r="B30" s="37">
        <v>12892824553</v>
      </c>
      <c r="C30" s="37">
        <v>27470705877.84</v>
      </c>
      <c r="D30" s="37">
        <v>19956250368.799999</v>
      </c>
      <c r="E30" s="37">
        <v>15568179955.040001</v>
      </c>
      <c r="F30" s="37">
        <v>15336084700</v>
      </c>
      <c r="G30" s="37">
        <v>552543356.84000015</v>
      </c>
      <c r="H30" s="37">
        <v>7514455509.0400009</v>
      </c>
      <c r="I30" s="31">
        <v>0.97988608813704625</v>
      </c>
      <c r="J30" s="31">
        <v>0.72645568182862952</v>
      </c>
    </row>
    <row r="31" spans="1:10" ht="43.2" x14ac:dyDescent="0.3">
      <c r="A31" s="19" t="s">
        <v>1296</v>
      </c>
      <c r="B31" s="38">
        <v>12892824553</v>
      </c>
      <c r="C31" s="38">
        <v>23630414947.529999</v>
      </c>
      <c r="D31" s="38">
        <v>17581232908</v>
      </c>
      <c r="E31" s="38">
        <v>13477554990.040001</v>
      </c>
      <c r="F31" s="38">
        <v>13410976110</v>
      </c>
      <c r="G31" s="38">
        <v>243513171.52999878</v>
      </c>
      <c r="H31" s="38">
        <v>6049182039.5299988</v>
      </c>
      <c r="I31" s="27">
        <v>0.98969492613351451</v>
      </c>
      <c r="J31" s="27">
        <v>0.74400864085705365</v>
      </c>
    </row>
    <row r="32" spans="1:10" ht="43.2" x14ac:dyDescent="0.3">
      <c r="A32" s="19" t="s">
        <v>1297</v>
      </c>
      <c r="B32" s="38">
        <v>0</v>
      </c>
      <c r="C32" s="38">
        <v>3840290930.3099999</v>
      </c>
      <c r="D32" s="38">
        <v>2375017460.8000002</v>
      </c>
      <c r="E32" s="38">
        <v>2090624965</v>
      </c>
      <c r="F32" s="38">
        <v>1925108590</v>
      </c>
      <c r="G32" s="38">
        <v>309030185.30999994</v>
      </c>
      <c r="H32" s="38">
        <v>1465273469.5099998</v>
      </c>
      <c r="I32" s="27">
        <v>0.91952948593791717</v>
      </c>
      <c r="J32" s="27">
        <v>0.61844727493296492</v>
      </c>
    </row>
    <row r="33" spans="1:10" x14ac:dyDescent="0.3">
      <c r="A33" s="18" t="s">
        <v>1206</v>
      </c>
      <c r="B33" s="37">
        <v>20000000000</v>
      </c>
      <c r="C33" s="37">
        <v>28609950282</v>
      </c>
      <c r="D33" s="37">
        <v>28608539106</v>
      </c>
      <c r="E33" s="37">
        <v>27629251523.93</v>
      </c>
      <c r="F33" s="37">
        <v>6319649169.0900002</v>
      </c>
      <c r="G33" s="37">
        <v>0</v>
      </c>
      <c r="H33" s="37">
        <v>1411176</v>
      </c>
      <c r="I33" s="31">
        <v>1</v>
      </c>
      <c r="J33" s="31">
        <v>0.99995067534245641</v>
      </c>
    </row>
    <row r="34" spans="1:10" ht="43.2" x14ac:dyDescent="0.3">
      <c r="A34" s="19" t="s">
        <v>1298</v>
      </c>
      <c r="B34" s="38">
        <v>20000000000</v>
      </c>
      <c r="C34" s="38">
        <v>28609950282</v>
      </c>
      <c r="D34" s="38">
        <v>28608539106</v>
      </c>
      <c r="E34" s="38">
        <v>27629251523.93</v>
      </c>
      <c r="F34" s="38">
        <v>6319649169.0900002</v>
      </c>
      <c r="G34" s="38">
        <v>0</v>
      </c>
      <c r="H34" s="38">
        <v>1411176</v>
      </c>
      <c r="I34" s="27">
        <v>1</v>
      </c>
      <c r="J34" s="27">
        <v>0.99995067534245641</v>
      </c>
    </row>
    <row r="35" spans="1:10" ht="28.8" x14ac:dyDescent="0.3">
      <c r="A35" s="16" t="s">
        <v>1060</v>
      </c>
      <c r="B35" s="35">
        <v>500000000</v>
      </c>
      <c r="C35" s="35">
        <v>1000000000</v>
      </c>
      <c r="D35" s="35">
        <v>127897120</v>
      </c>
      <c r="E35" s="35">
        <v>84672120</v>
      </c>
      <c r="F35" s="35">
        <v>41447120</v>
      </c>
      <c r="G35" s="35">
        <v>438352880</v>
      </c>
      <c r="H35" s="35">
        <v>872102880</v>
      </c>
      <c r="I35" s="29">
        <v>0.56164712000000006</v>
      </c>
      <c r="J35" s="29">
        <v>0.12789712</v>
      </c>
    </row>
    <row r="36" spans="1:10" ht="28.8" x14ac:dyDescent="0.3">
      <c r="A36" s="17" t="s">
        <v>1127</v>
      </c>
      <c r="B36" s="36">
        <v>500000000</v>
      </c>
      <c r="C36" s="36">
        <v>1000000000</v>
      </c>
      <c r="D36" s="36">
        <v>127897120</v>
      </c>
      <c r="E36" s="36">
        <v>84672120</v>
      </c>
      <c r="F36" s="36">
        <v>41447120</v>
      </c>
      <c r="G36" s="36">
        <v>438352880</v>
      </c>
      <c r="H36" s="36">
        <v>872102880</v>
      </c>
      <c r="I36" s="30">
        <v>0.56164712000000006</v>
      </c>
      <c r="J36" s="30">
        <v>0.12789712</v>
      </c>
    </row>
    <row r="37" spans="1:10" ht="43.2" x14ac:dyDescent="0.3">
      <c r="A37" s="18" t="s">
        <v>1160</v>
      </c>
      <c r="B37" s="37">
        <v>400000000</v>
      </c>
      <c r="C37" s="37">
        <v>700000000</v>
      </c>
      <c r="D37" s="37">
        <v>0</v>
      </c>
      <c r="E37" s="37">
        <v>0</v>
      </c>
      <c r="F37" s="37">
        <v>0</v>
      </c>
      <c r="G37" s="37">
        <v>291000000</v>
      </c>
      <c r="H37" s="37">
        <v>700000000</v>
      </c>
      <c r="I37" s="31">
        <v>0.5842857142857143</v>
      </c>
      <c r="J37" s="31">
        <v>0</v>
      </c>
    </row>
    <row r="38" spans="1:10" ht="57.6" x14ac:dyDescent="0.3">
      <c r="A38" s="19" t="s">
        <v>1299</v>
      </c>
      <c r="B38" s="38">
        <v>400000000</v>
      </c>
      <c r="C38" s="38">
        <v>700000000</v>
      </c>
      <c r="D38" s="38">
        <v>0</v>
      </c>
      <c r="E38" s="38">
        <v>0</v>
      </c>
      <c r="F38" s="38">
        <v>0</v>
      </c>
      <c r="G38" s="38">
        <v>291000000</v>
      </c>
      <c r="H38" s="38">
        <v>700000000</v>
      </c>
      <c r="I38" s="27">
        <v>0.5842857142857143</v>
      </c>
      <c r="J38" s="27">
        <v>0</v>
      </c>
    </row>
    <row r="39" spans="1:10" ht="28.8" x14ac:dyDescent="0.3">
      <c r="A39" s="18" t="s">
        <v>1132</v>
      </c>
      <c r="B39" s="37">
        <v>100000000</v>
      </c>
      <c r="C39" s="37">
        <v>300000000</v>
      </c>
      <c r="D39" s="37">
        <v>127897120</v>
      </c>
      <c r="E39" s="37">
        <v>84672120</v>
      </c>
      <c r="F39" s="37">
        <v>41447120</v>
      </c>
      <c r="G39" s="37">
        <v>147352880</v>
      </c>
      <c r="H39" s="37">
        <v>172102880</v>
      </c>
      <c r="I39" s="31">
        <v>0.50882373333333331</v>
      </c>
      <c r="J39" s="31">
        <v>0.42632373333333334</v>
      </c>
    </row>
    <row r="40" spans="1:10" ht="43.2" x14ac:dyDescent="0.3">
      <c r="A40" s="19" t="s">
        <v>1300</v>
      </c>
      <c r="B40" s="38">
        <v>100000000</v>
      </c>
      <c r="C40" s="38">
        <v>300000000</v>
      </c>
      <c r="D40" s="38">
        <v>127897120</v>
      </c>
      <c r="E40" s="38">
        <v>84672120</v>
      </c>
      <c r="F40" s="38">
        <v>41447120</v>
      </c>
      <c r="G40" s="38">
        <v>147352880</v>
      </c>
      <c r="H40" s="38">
        <v>172102880</v>
      </c>
      <c r="I40" s="27">
        <v>0.50882373333333331</v>
      </c>
      <c r="J40" s="27">
        <v>0.42632373333333334</v>
      </c>
    </row>
    <row r="41" spans="1:10" x14ac:dyDescent="0.3">
      <c r="A41" s="19" t="s">
        <v>1673</v>
      </c>
      <c r="B41" s="38">
        <v>42034103776</v>
      </c>
      <c r="C41" s="38">
        <v>61521935382.839996</v>
      </c>
      <c r="D41" s="38">
        <v>49618101063.800003</v>
      </c>
      <c r="E41" s="38">
        <v>44108752647.970001</v>
      </c>
      <c r="F41" s="38">
        <v>22329093690.09</v>
      </c>
      <c r="G41" s="38">
        <v>2983257052.8399963</v>
      </c>
      <c r="H41" s="38">
        <v>11903834319.039993</v>
      </c>
      <c r="I41" s="27">
        <v>0.95150905064550195</v>
      </c>
      <c r="J41" s="27">
        <v>0.80651073076676538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A8EDB-548B-4DF6-A6AB-DCD8BD5C5426}">
  <dimension ref="A1:J49"/>
  <sheetViews>
    <sheetView topLeftCell="A44" workbookViewId="0">
      <selection activeCell="D8" sqref="D8"/>
    </sheetView>
  </sheetViews>
  <sheetFormatPr baseColWidth="10" defaultRowHeight="14.4" x14ac:dyDescent="0.3"/>
  <cols>
    <col min="1" max="1" width="69.33203125" style="14" customWidth="1"/>
    <col min="2" max="3" width="18.6640625" style="33" bestFit="1" customWidth="1"/>
    <col min="4" max="6" width="17.6640625" style="33" bestFit="1" customWidth="1"/>
    <col min="7" max="8" width="18.6640625" style="33" bestFit="1" customWidth="1"/>
    <col min="9" max="10" width="14.88671875" style="27" bestFit="1" customWidth="1"/>
  </cols>
  <sheetData>
    <row r="1" spans="1:10" x14ac:dyDescent="0.3">
      <c r="A1" s="13" t="s">
        <v>2</v>
      </c>
      <c r="B1" s="33" t="s">
        <v>1662</v>
      </c>
    </row>
    <row r="3" spans="1:10" ht="28.8" x14ac:dyDescent="0.3">
      <c r="A3" s="13" t="s">
        <v>1672</v>
      </c>
      <c r="B3" s="33" t="s">
        <v>1666</v>
      </c>
      <c r="C3" s="33" t="s">
        <v>1667</v>
      </c>
      <c r="D3" s="33" t="s">
        <v>1669</v>
      </c>
      <c r="E3" s="33" t="s">
        <v>1668</v>
      </c>
      <c r="F3" s="33" t="s">
        <v>1670</v>
      </c>
      <c r="G3" s="33" t="s">
        <v>1642</v>
      </c>
      <c r="H3" s="33" t="s">
        <v>1671</v>
      </c>
      <c r="I3" s="27" t="s">
        <v>1643</v>
      </c>
      <c r="J3" s="27" t="s">
        <v>1644</v>
      </c>
    </row>
    <row r="4" spans="1:10" x14ac:dyDescent="0.3">
      <c r="A4" s="20" t="s">
        <v>1222</v>
      </c>
      <c r="B4" s="39">
        <v>12614180235.58</v>
      </c>
      <c r="C4" s="39">
        <v>15903154206.6</v>
      </c>
      <c r="D4" s="39">
        <v>4541557790</v>
      </c>
      <c r="E4" s="39">
        <v>2499271323</v>
      </c>
      <c r="F4" s="39">
        <v>1040466571</v>
      </c>
      <c r="G4" s="39">
        <v>11154847120.6</v>
      </c>
      <c r="H4" s="39">
        <v>11361596416.6</v>
      </c>
      <c r="I4" s="32">
        <v>0.29857643485777152</v>
      </c>
      <c r="J4" s="32">
        <v>0.28557591349489642</v>
      </c>
    </row>
    <row r="5" spans="1:10" x14ac:dyDescent="0.3">
      <c r="A5" s="16" t="s">
        <v>1018</v>
      </c>
      <c r="B5" s="35">
        <v>12614180235.58</v>
      </c>
      <c r="C5" s="35">
        <v>15903154206.6</v>
      </c>
      <c r="D5" s="35">
        <v>4541557790</v>
      </c>
      <c r="E5" s="35">
        <v>2499271323</v>
      </c>
      <c r="F5" s="35">
        <v>1040466571</v>
      </c>
      <c r="G5" s="35">
        <v>11154847120.6</v>
      </c>
      <c r="H5" s="35">
        <v>11361596416.6</v>
      </c>
      <c r="I5" s="29">
        <v>0.29857643485777152</v>
      </c>
      <c r="J5" s="29">
        <v>0.28557591349489642</v>
      </c>
    </row>
    <row r="6" spans="1:10" x14ac:dyDescent="0.3">
      <c r="A6" s="17" t="s">
        <v>1019</v>
      </c>
      <c r="B6" s="36">
        <v>12614180235.58</v>
      </c>
      <c r="C6" s="36">
        <v>15903154206.6</v>
      </c>
      <c r="D6" s="36">
        <v>4541557790</v>
      </c>
      <c r="E6" s="36">
        <v>2499271323</v>
      </c>
      <c r="F6" s="36">
        <v>1040466571</v>
      </c>
      <c r="G6" s="36">
        <v>11154847120.6</v>
      </c>
      <c r="H6" s="36">
        <v>11361596416.6</v>
      </c>
      <c r="I6" s="30">
        <v>0.29857643485777152</v>
      </c>
      <c r="J6" s="30">
        <v>0.28557591349489642</v>
      </c>
    </row>
    <row r="7" spans="1:10" ht="28.8" x14ac:dyDescent="0.3">
      <c r="A7" s="18" t="s">
        <v>1020</v>
      </c>
      <c r="B7" s="37">
        <v>12614180235.58</v>
      </c>
      <c r="C7" s="37">
        <v>15903154206.6</v>
      </c>
      <c r="D7" s="37">
        <v>4541557790</v>
      </c>
      <c r="E7" s="37">
        <v>2499271323</v>
      </c>
      <c r="F7" s="37">
        <v>1040466571</v>
      </c>
      <c r="G7" s="37">
        <v>11154847120.6</v>
      </c>
      <c r="H7" s="37">
        <v>11361596416.6</v>
      </c>
      <c r="I7" s="31">
        <v>0.29857643485777152</v>
      </c>
      <c r="J7" s="31">
        <v>0.28557591349489642</v>
      </c>
    </row>
    <row r="8" spans="1:10" ht="28.8" x14ac:dyDescent="0.3">
      <c r="A8" s="19" t="s">
        <v>1301</v>
      </c>
      <c r="B8" s="38">
        <v>1300000000</v>
      </c>
      <c r="C8" s="38">
        <v>4583301428.6300001</v>
      </c>
      <c r="D8" s="38">
        <v>1040466571</v>
      </c>
      <c r="E8" s="38">
        <v>1040466571</v>
      </c>
      <c r="F8" s="38">
        <v>1040466571</v>
      </c>
      <c r="G8" s="38">
        <v>3338301428.6300001</v>
      </c>
      <c r="H8" s="38">
        <v>3542834857.6300001</v>
      </c>
      <c r="I8" s="27">
        <v>0.27163825451736529</v>
      </c>
      <c r="J8" s="27">
        <v>0.22701246845791834</v>
      </c>
    </row>
    <row r="9" spans="1:10" ht="28.8" x14ac:dyDescent="0.3">
      <c r="A9" s="19" t="s">
        <v>1302</v>
      </c>
      <c r="B9" s="38">
        <v>0</v>
      </c>
      <c r="C9" s="38">
        <v>5672542.3899999997</v>
      </c>
      <c r="D9" s="38">
        <v>0</v>
      </c>
      <c r="E9" s="38">
        <v>0</v>
      </c>
      <c r="F9" s="38">
        <v>0</v>
      </c>
      <c r="G9" s="38">
        <v>5672542.3899999997</v>
      </c>
      <c r="H9" s="38">
        <v>5672542.3899999997</v>
      </c>
      <c r="I9" s="27">
        <v>0</v>
      </c>
      <c r="J9" s="27">
        <v>0</v>
      </c>
    </row>
    <row r="10" spans="1:10" ht="72" x14ac:dyDescent="0.3">
      <c r="A10" s="19" t="s">
        <v>1303</v>
      </c>
      <c r="B10" s="38">
        <v>200000000</v>
      </c>
      <c r="C10" s="38">
        <v>0</v>
      </c>
      <c r="D10" s="38">
        <v>0</v>
      </c>
      <c r="E10" s="38">
        <v>0</v>
      </c>
      <c r="F10" s="38">
        <v>0</v>
      </c>
      <c r="G10" s="38">
        <v>0</v>
      </c>
      <c r="H10" s="38">
        <v>0</v>
      </c>
      <c r="I10" s="27" t="e">
        <v>#DIV/0!</v>
      </c>
      <c r="J10" s="27" t="e">
        <v>#DIV/0!</v>
      </c>
    </row>
    <row r="11" spans="1:10" ht="57.6" x14ac:dyDescent="0.3">
      <c r="A11" s="19" t="s">
        <v>1304</v>
      </c>
      <c r="B11" s="38">
        <v>200000000</v>
      </c>
      <c r="C11" s="38">
        <v>0</v>
      </c>
      <c r="D11" s="38">
        <v>0</v>
      </c>
      <c r="E11" s="38">
        <v>0</v>
      </c>
      <c r="F11" s="38">
        <v>0</v>
      </c>
      <c r="G11" s="38">
        <v>0</v>
      </c>
      <c r="H11" s="38">
        <v>0</v>
      </c>
      <c r="I11" s="27" t="e">
        <v>#DIV/0!</v>
      </c>
      <c r="J11" s="27" t="e">
        <v>#DIV/0!</v>
      </c>
    </row>
    <row r="12" spans="1:10" ht="57.6" x14ac:dyDescent="0.3">
      <c r="A12" s="19" t="s">
        <v>1305</v>
      </c>
      <c r="B12" s="38">
        <v>300000000</v>
      </c>
      <c r="C12" s="38">
        <v>0</v>
      </c>
      <c r="D12" s="38">
        <v>0</v>
      </c>
      <c r="E12" s="38">
        <v>0</v>
      </c>
      <c r="F12" s="38">
        <v>0</v>
      </c>
      <c r="G12" s="38">
        <v>0</v>
      </c>
      <c r="H12" s="38">
        <v>0</v>
      </c>
      <c r="I12" s="27" t="e">
        <v>#DIV/0!</v>
      </c>
      <c r="J12" s="27" t="e">
        <v>#DIV/0!</v>
      </c>
    </row>
    <row r="13" spans="1:10" ht="43.2" x14ac:dyDescent="0.3">
      <c r="A13" s="19" t="s">
        <v>1306</v>
      </c>
      <c r="B13" s="38">
        <v>250000000</v>
      </c>
      <c r="C13" s="38">
        <v>0</v>
      </c>
      <c r="D13" s="38">
        <v>0</v>
      </c>
      <c r="E13" s="38">
        <v>0</v>
      </c>
      <c r="F13" s="38">
        <v>0</v>
      </c>
      <c r="G13" s="38">
        <v>0</v>
      </c>
      <c r="H13" s="38">
        <v>0</v>
      </c>
      <c r="I13" s="27" t="e">
        <v>#DIV/0!</v>
      </c>
      <c r="J13" s="27" t="e">
        <v>#DIV/0!</v>
      </c>
    </row>
    <row r="14" spans="1:10" ht="43.2" x14ac:dyDescent="0.3">
      <c r="A14" s="19" t="s">
        <v>1307</v>
      </c>
      <c r="B14" s="38">
        <v>1000000000</v>
      </c>
      <c r="C14" s="38">
        <v>0</v>
      </c>
      <c r="D14" s="38">
        <v>0</v>
      </c>
      <c r="E14" s="38">
        <v>0</v>
      </c>
      <c r="F14" s="38">
        <v>0</v>
      </c>
      <c r="G14" s="38">
        <v>0</v>
      </c>
      <c r="H14" s="38">
        <v>0</v>
      </c>
      <c r="I14" s="27" t="e">
        <v>#DIV/0!</v>
      </c>
      <c r="J14" s="27" t="e">
        <v>#DIV/0!</v>
      </c>
    </row>
    <row r="15" spans="1:10" ht="57.6" x14ac:dyDescent="0.3">
      <c r="A15" s="19" t="s">
        <v>1308</v>
      </c>
      <c r="B15" s="38">
        <v>200000000</v>
      </c>
      <c r="C15" s="38">
        <v>0</v>
      </c>
      <c r="D15" s="38">
        <v>0</v>
      </c>
      <c r="E15" s="38">
        <v>0</v>
      </c>
      <c r="F15" s="38">
        <v>0</v>
      </c>
      <c r="G15" s="38">
        <v>0</v>
      </c>
      <c r="H15" s="38">
        <v>0</v>
      </c>
      <c r="I15" s="27" t="e">
        <v>#DIV/0!</v>
      </c>
      <c r="J15" s="27" t="e">
        <v>#DIV/0!</v>
      </c>
    </row>
    <row r="16" spans="1:10" ht="43.2" x14ac:dyDescent="0.3">
      <c r="A16" s="19" t="s">
        <v>1309</v>
      </c>
      <c r="B16" s="38">
        <v>800000000</v>
      </c>
      <c r="C16" s="38">
        <v>0</v>
      </c>
      <c r="D16" s="38">
        <v>0</v>
      </c>
      <c r="E16" s="38">
        <v>0</v>
      </c>
      <c r="F16" s="38">
        <v>0</v>
      </c>
      <c r="G16" s="38">
        <v>0</v>
      </c>
      <c r="H16" s="38">
        <v>0</v>
      </c>
      <c r="I16" s="27" t="e">
        <v>#DIV/0!</v>
      </c>
      <c r="J16" s="27" t="e">
        <v>#DIV/0!</v>
      </c>
    </row>
    <row r="17" spans="1:10" ht="43.2" x14ac:dyDescent="0.3">
      <c r="A17" s="19" t="s">
        <v>1310</v>
      </c>
      <c r="B17" s="38">
        <v>100000000</v>
      </c>
      <c r="C17" s="38">
        <v>0</v>
      </c>
      <c r="D17" s="38">
        <v>0</v>
      </c>
      <c r="E17" s="38">
        <v>0</v>
      </c>
      <c r="F17" s="38">
        <v>0</v>
      </c>
      <c r="G17" s="38">
        <v>0</v>
      </c>
      <c r="H17" s="38">
        <v>0</v>
      </c>
      <c r="I17" s="27" t="e">
        <v>#DIV/0!</v>
      </c>
      <c r="J17" s="27" t="e">
        <v>#DIV/0!</v>
      </c>
    </row>
    <row r="18" spans="1:10" ht="72" x14ac:dyDescent="0.3">
      <c r="A18" s="19" t="s">
        <v>1311</v>
      </c>
      <c r="B18" s="38">
        <v>0</v>
      </c>
      <c r="C18" s="38">
        <v>0</v>
      </c>
      <c r="D18" s="38">
        <v>0</v>
      </c>
      <c r="E18" s="38">
        <v>0</v>
      </c>
      <c r="F18" s="38">
        <v>0</v>
      </c>
      <c r="G18" s="38">
        <v>0</v>
      </c>
      <c r="H18" s="38">
        <v>0</v>
      </c>
      <c r="I18" s="27" t="e">
        <v>#DIV/0!</v>
      </c>
      <c r="J18" s="27" t="e">
        <v>#DIV/0!</v>
      </c>
    </row>
    <row r="19" spans="1:10" ht="43.2" x14ac:dyDescent="0.3">
      <c r="A19" s="19" t="s">
        <v>1312</v>
      </c>
      <c r="B19" s="38">
        <v>200000000</v>
      </c>
      <c r="C19" s="38">
        <v>200000000</v>
      </c>
      <c r="D19" s="38">
        <v>0</v>
      </c>
      <c r="E19" s="38">
        <v>0</v>
      </c>
      <c r="F19" s="38">
        <v>0</v>
      </c>
      <c r="G19" s="38">
        <v>200000000</v>
      </c>
      <c r="H19" s="38">
        <v>200000000</v>
      </c>
      <c r="I19" s="27">
        <v>0</v>
      </c>
      <c r="J19" s="27">
        <v>0</v>
      </c>
    </row>
    <row r="20" spans="1:10" x14ac:dyDescent="0.3">
      <c r="A20" s="19" t="s">
        <v>1313</v>
      </c>
      <c r="B20" s="38">
        <v>250000000</v>
      </c>
      <c r="C20" s="38">
        <v>0</v>
      </c>
      <c r="D20" s="38">
        <v>0</v>
      </c>
      <c r="E20" s="38">
        <v>0</v>
      </c>
      <c r="F20" s="38">
        <v>0</v>
      </c>
      <c r="G20" s="38">
        <v>0</v>
      </c>
      <c r="H20" s="38">
        <v>0</v>
      </c>
      <c r="I20" s="27" t="e">
        <v>#DIV/0!</v>
      </c>
      <c r="J20" s="27" t="e">
        <v>#DIV/0!</v>
      </c>
    </row>
    <row r="21" spans="1:10" ht="43.2" x14ac:dyDescent="0.3">
      <c r="A21" s="19" t="s">
        <v>1314</v>
      </c>
      <c r="B21" s="38">
        <v>200000000</v>
      </c>
      <c r="C21" s="38">
        <v>2803305147</v>
      </c>
      <c r="D21" s="38">
        <v>2003191219</v>
      </c>
      <c r="E21" s="38">
        <v>300478682</v>
      </c>
      <c r="F21" s="38">
        <v>0</v>
      </c>
      <c r="G21" s="38">
        <v>799998061</v>
      </c>
      <c r="H21" s="38">
        <v>800113928</v>
      </c>
      <c r="I21" s="27">
        <v>0.7146232682317406</v>
      </c>
      <c r="J21" s="27">
        <v>0.71458193594933672</v>
      </c>
    </row>
    <row r="22" spans="1:10" ht="43.2" x14ac:dyDescent="0.3">
      <c r="A22" s="19" t="s">
        <v>1315</v>
      </c>
      <c r="B22" s="38">
        <v>0</v>
      </c>
      <c r="C22" s="38">
        <v>0</v>
      </c>
      <c r="D22" s="38">
        <v>0</v>
      </c>
      <c r="E22" s="38">
        <v>0</v>
      </c>
      <c r="F22" s="38">
        <v>0</v>
      </c>
      <c r="G22" s="38">
        <v>0</v>
      </c>
      <c r="H22" s="38">
        <v>0</v>
      </c>
      <c r="I22" s="27" t="e">
        <v>#DIV/0!</v>
      </c>
      <c r="J22" s="27" t="e">
        <v>#DIV/0!</v>
      </c>
    </row>
    <row r="23" spans="1:10" ht="43.2" x14ac:dyDescent="0.3">
      <c r="A23" s="19" t="s">
        <v>1316</v>
      </c>
      <c r="B23" s="38">
        <v>0</v>
      </c>
      <c r="C23" s="38">
        <v>1500000000</v>
      </c>
      <c r="D23" s="38">
        <v>1497900000</v>
      </c>
      <c r="E23" s="38">
        <v>1158326070</v>
      </c>
      <c r="F23" s="38">
        <v>0</v>
      </c>
      <c r="G23" s="38">
        <v>0</v>
      </c>
      <c r="H23" s="38">
        <v>2100000</v>
      </c>
      <c r="I23" s="27">
        <v>1</v>
      </c>
      <c r="J23" s="27">
        <v>0.99860000000000004</v>
      </c>
    </row>
    <row r="24" spans="1:10" ht="43.2" x14ac:dyDescent="0.3">
      <c r="A24" s="19" t="s">
        <v>1317</v>
      </c>
      <c r="B24" s="38">
        <v>0</v>
      </c>
      <c r="C24" s="38">
        <v>0</v>
      </c>
      <c r="D24" s="38">
        <v>0</v>
      </c>
      <c r="E24" s="38">
        <v>0</v>
      </c>
      <c r="F24" s="38">
        <v>0</v>
      </c>
      <c r="G24" s="38">
        <v>0</v>
      </c>
      <c r="H24" s="38">
        <v>0</v>
      </c>
      <c r="I24" s="27" t="e">
        <v>#DIV/0!</v>
      </c>
      <c r="J24" s="27" t="e">
        <v>#DIV/0!</v>
      </c>
    </row>
    <row r="25" spans="1:10" ht="43.2" x14ac:dyDescent="0.3">
      <c r="A25" s="19" t="s">
        <v>1318</v>
      </c>
      <c r="B25" s="38">
        <v>300000000</v>
      </c>
      <c r="C25" s="38">
        <v>0</v>
      </c>
      <c r="D25" s="38">
        <v>0</v>
      </c>
      <c r="E25" s="38">
        <v>0</v>
      </c>
      <c r="F25" s="38">
        <v>0</v>
      </c>
      <c r="G25" s="38">
        <v>0</v>
      </c>
      <c r="H25" s="38">
        <v>0</v>
      </c>
      <c r="I25" s="27" t="e">
        <v>#DIV/0!</v>
      </c>
      <c r="J25" s="27" t="e">
        <v>#DIV/0!</v>
      </c>
    </row>
    <row r="26" spans="1:10" ht="43.2" x14ac:dyDescent="0.3">
      <c r="A26" s="19" t="s">
        <v>1319</v>
      </c>
      <c r="B26" s="38">
        <v>200000000</v>
      </c>
      <c r="C26" s="38">
        <v>0</v>
      </c>
      <c r="D26" s="38">
        <v>0</v>
      </c>
      <c r="E26" s="38">
        <v>0</v>
      </c>
      <c r="F26" s="38">
        <v>0</v>
      </c>
      <c r="G26" s="38">
        <v>0</v>
      </c>
      <c r="H26" s="38">
        <v>0</v>
      </c>
      <c r="I26" s="27" t="e">
        <v>#DIV/0!</v>
      </c>
      <c r="J26" s="27" t="e">
        <v>#DIV/0!</v>
      </c>
    </row>
    <row r="27" spans="1:10" ht="43.2" x14ac:dyDescent="0.3">
      <c r="A27" s="19" t="s">
        <v>1320</v>
      </c>
      <c r="B27" s="38">
        <v>200000000</v>
      </c>
      <c r="C27" s="38">
        <v>0</v>
      </c>
      <c r="D27" s="38">
        <v>0</v>
      </c>
      <c r="E27" s="38">
        <v>0</v>
      </c>
      <c r="F27" s="38">
        <v>0</v>
      </c>
      <c r="G27" s="38">
        <v>0</v>
      </c>
      <c r="H27" s="38">
        <v>0</v>
      </c>
      <c r="I27" s="27" t="e">
        <v>#DIV/0!</v>
      </c>
      <c r="J27" s="27" t="e">
        <v>#DIV/0!</v>
      </c>
    </row>
    <row r="28" spans="1:10" ht="43.2" x14ac:dyDescent="0.3">
      <c r="A28" s="19" t="s">
        <v>1321</v>
      </c>
      <c r="B28" s="38">
        <v>300000000</v>
      </c>
      <c r="C28" s="38">
        <v>0</v>
      </c>
      <c r="D28" s="38">
        <v>0</v>
      </c>
      <c r="E28" s="38">
        <v>0</v>
      </c>
      <c r="F28" s="38">
        <v>0</v>
      </c>
      <c r="G28" s="38">
        <v>0</v>
      </c>
      <c r="H28" s="38">
        <v>0</v>
      </c>
      <c r="I28" s="27" t="e">
        <v>#DIV/0!</v>
      </c>
      <c r="J28" s="27" t="e">
        <v>#DIV/0!</v>
      </c>
    </row>
    <row r="29" spans="1:10" ht="43.2" x14ac:dyDescent="0.3">
      <c r="A29" s="19" t="s">
        <v>1322</v>
      </c>
      <c r="B29" s="38">
        <v>300000000</v>
      </c>
      <c r="C29" s="38">
        <v>0</v>
      </c>
      <c r="D29" s="38">
        <v>0</v>
      </c>
      <c r="E29" s="38">
        <v>0</v>
      </c>
      <c r="F29" s="38">
        <v>0</v>
      </c>
      <c r="G29" s="38">
        <v>0</v>
      </c>
      <c r="H29" s="38">
        <v>0</v>
      </c>
      <c r="I29" s="27" t="e">
        <v>#DIV/0!</v>
      </c>
      <c r="J29" s="27" t="e">
        <v>#DIV/0!</v>
      </c>
    </row>
    <row r="30" spans="1:10" ht="43.2" x14ac:dyDescent="0.3">
      <c r="A30" s="19" t="s">
        <v>1323</v>
      </c>
      <c r="B30" s="38">
        <v>200000000</v>
      </c>
      <c r="C30" s="38">
        <v>0</v>
      </c>
      <c r="D30" s="38">
        <v>0</v>
      </c>
      <c r="E30" s="38">
        <v>0</v>
      </c>
      <c r="F30" s="38">
        <v>0</v>
      </c>
      <c r="G30" s="38">
        <v>0</v>
      </c>
      <c r="H30" s="38">
        <v>0</v>
      </c>
      <c r="I30" s="27" t="e">
        <v>#DIV/0!</v>
      </c>
      <c r="J30" s="27" t="e">
        <v>#DIV/0!</v>
      </c>
    </row>
    <row r="31" spans="1:10" ht="43.2" x14ac:dyDescent="0.3">
      <c r="A31" s="19" t="s">
        <v>1324</v>
      </c>
      <c r="B31" s="38">
        <v>200000000</v>
      </c>
      <c r="C31" s="38">
        <v>0</v>
      </c>
      <c r="D31" s="38">
        <v>0</v>
      </c>
      <c r="E31" s="38">
        <v>0</v>
      </c>
      <c r="F31" s="38">
        <v>0</v>
      </c>
      <c r="G31" s="38">
        <v>0</v>
      </c>
      <c r="H31" s="38">
        <v>0</v>
      </c>
      <c r="I31" s="27" t="e">
        <v>#DIV/0!</v>
      </c>
      <c r="J31" s="27" t="e">
        <v>#DIV/0!</v>
      </c>
    </row>
    <row r="32" spans="1:10" ht="43.2" x14ac:dyDescent="0.3">
      <c r="A32" s="19" t="s">
        <v>1325</v>
      </c>
      <c r="B32" s="38">
        <v>200000000</v>
      </c>
      <c r="C32" s="38">
        <v>0</v>
      </c>
      <c r="D32" s="38">
        <v>0</v>
      </c>
      <c r="E32" s="38">
        <v>0</v>
      </c>
      <c r="F32" s="38">
        <v>0</v>
      </c>
      <c r="G32" s="38">
        <v>0</v>
      </c>
      <c r="H32" s="38">
        <v>0</v>
      </c>
      <c r="I32" s="27" t="e">
        <v>#DIV/0!</v>
      </c>
      <c r="J32" s="27" t="e">
        <v>#DIV/0!</v>
      </c>
    </row>
    <row r="33" spans="1:10" ht="43.2" x14ac:dyDescent="0.3">
      <c r="A33" s="19" t="s">
        <v>1326</v>
      </c>
      <c r="B33" s="38">
        <v>200000000</v>
      </c>
      <c r="C33" s="38">
        <v>0</v>
      </c>
      <c r="D33" s="38">
        <v>0</v>
      </c>
      <c r="E33" s="38">
        <v>0</v>
      </c>
      <c r="F33" s="38">
        <v>0</v>
      </c>
      <c r="G33" s="38">
        <v>0</v>
      </c>
      <c r="H33" s="38">
        <v>0</v>
      </c>
      <c r="I33" s="27" t="e">
        <v>#DIV/0!</v>
      </c>
      <c r="J33" s="27" t="e">
        <v>#DIV/0!</v>
      </c>
    </row>
    <row r="34" spans="1:10" ht="43.2" x14ac:dyDescent="0.3">
      <c r="A34" s="19" t="s">
        <v>1327</v>
      </c>
      <c r="B34" s="38">
        <v>1425000000</v>
      </c>
      <c r="C34" s="38">
        <v>1425000000</v>
      </c>
      <c r="D34" s="38">
        <v>0</v>
      </c>
      <c r="E34" s="38">
        <v>0</v>
      </c>
      <c r="F34" s="38">
        <v>0</v>
      </c>
      <c r="G34" s="38">
        <v>1425000000</v>
      </c>
      <c r="H34" s="38">
        <v>1425000000</v>
      </c>
      <c r="I34" s="27">
        <v>0</v>
      </c>
      <c r="J34" s="27">
        <v>0</v>
      </c>
    </row>
    <row r="35" spans="1:10" ht="43.2" x14ac:dyDescent="0.3">
      <c r="A35" s="19" t="s">
        <v>1328</v>
      </c>
      <c r="B35" s="38">
        <v>200000000</v>
      </c>
      <c r="C35" s="38">
        <v>0</v>
      </c>
      <c r="D35" s="38">
        <v>0</v>
      </c>
      <c r="E35" s="38">
        <v>0</v>
      </c>
      <c r="F35" s="38">
        <v>0</v>
      </c>
      <c r="G35" s="38">
        <v>0</v>
      </c>
      <c r="H35" s="38">
        <v>0</v>
      </c>
      <c r="I35" s="27" t="e">
        <v>#DIV/0!</v>
      </c>
      <c r="J35" s="27" t="e">
        <v>#DIV/0!</v>
      </c>
    </row>
    <row r="36" spans="1:10" ht="43.2" x14ac:dyDescent="0.3">
      <c r="A36" s="19" t="s">
        <v>1329</v>
      </c>
      <c r="B36" s="38">
        <v>300000000</v>
      </c>
      <c r="C36" s="38">
        <v>0</v>
      </c>
      <c r="D36" s="38">
        <v>0</v>
      </c>
      <c r="E36" s="38">
        <v>0</v>
      </c>
      <c r="F36" s="38">
        <v>0</v>
      </c>
      <c r="G36" s="38">
        <v>0</v>
      </c>
      <c r="H36" s="38">
        <v>0</v>
      </c>
      <c r="I36" s="27" t="e">
        <v>#DIV/0!</v>
      </c>
      <c r="J36" s="27" t="e">
        <v>#DIV/0!</v>
      </c>
    </row>
    <row r="37" spans="1:10" ht="43.2" x14ac:dyDescent="0.3">
      <c r="A37" s="19" t="s">
        <v>1330</v>
      </c>
      <c r="B37" s="38">
        <v>200000000</v>
      </c>
      <c r="C37" s="38">
        <v>0</v>
      </c>
      <c r="D37" s="38">
        <v>0</v>
      </c>
      <c r="E37" s="38">
        <v>0</v>
      </c>
      <c r="F37" s="38">
        <v>0</v>
      </c>
      <c r="G37" s="38">
        <v>0</v>
      </c>
      <c r="H37" s="38">
        <v>0</v>
      </c>
      <c r="I37" s="27" t="e">
        <v>#DIV/0!</v>
      </c>
      <c r="J37" s="27" t="e">
        <v>#DIV/0!</v>
      </c>
    </row>
    <row r="38" spans="1:10" ht="28.8" x14ac:dyDescent="0.3">
      <c r="A38" s="19" t="s">
        <v>1331</v>
      </c>
      <c r="B38" s="38">
        <v>100000000</v>
      </c>
      <c r="C38" s="38">
        <v>0</v>
      </c>
      <c r="D38" s="38">
        <v>0</v>
      </c>
      <c r="E38" s="38">
        <v>0</v>
      </c>
      <c r="F38" s="38">
        <v>0</v>
      </c>
      <c r="G38" s="38">
        <v>0</v>
      </c>
      <c r="H38" s="38">
        <v>0</v>
      </c>
      <c r="I38" s="27" t="e">
        <v>#DIV/0!</v>
      </c>
      <c r="J38" s="27" t="e">
        <v>#DIV/0!</v>
      </c>
    </row>
    <row r="39" spans="1:10" ht="43.2" x14ac:dyDescent="0.3">
      <c r="A39" s="19" t="s">
        <v>1332</v>
      </c>
      <c r="B39" s="38">
        <v>100000000</v>
      </c>
      <c r="C39" s="38">
        <v>100000000</v>
      </c>
      <c r="D39" s="38">
        <v>0</v>
      </c>
      <c r="E39" s="38">
        <v>0</v>
      </c>
      <c r="F39" s="38">
        <v>0</v>
      </c>
      <c r="G39" s="38">
        <v>100000000</v>
      </c>
      <c r="H39" s="38">
        <v>100000000</v>
      </c>
      <c r="I39" s="27">
        <v>0</v>
      </c>
      <c r="J39" s="27">
        <v>0</v>
      </c>
    </row>
    <row r="40" spans="1:10" ht="43.2" x14ac:dyDescent="0.3">
      <c r="A40" s="19" t="s">
        <v>1333</v>
      </c>
      <c r="B40" s="38">
        <v>100000000</v>
      </c>
      <c r="C40" s="38">
        <v>100000000</v>
      </c>
      <c r="D40" s="38">
        <v>0</v>
      </c>
      <c r="E40" s="38">
        <v>0</v>
      </c>
      <c r="F40" s="38">
        <v>0</v>
      </c>
      <c r="G40" s="38">
        <v>100000000</v>
      </c>
      <c r="H40" s="38">
        <v>100000000</v>
      </c>
      <c r="I40" s="27">
        <v>0</v>
      </c>
      <c r="J40" s="27">
        <v>0</v>
      </c>
    </row>
    <row r="41" spans="1:10" ht="43.2" x14ac:dyDescent="0.3">
      <c r="A41" s="19" t="s">
        <v>1334</v>
      </c>
      <c r="B41" s="38">
        <v>100000000</v>
      </c>
      <c r="C41" s="38">
        <v>0</v>
      </c>
      <c r="D41" s="38">
        <v>0</v>
      </c>
      <c r="E41" s="38">
        <v>0</v>
      </c>
      <c r="F41" s="38">
        <v>0</v>
      </c>
      <c r="G41" s="38">
        <v>0</v>
      </c>
      <c r="H41" s="38">
        <v>0</v>
      </c>
      <c r="I41" s="27" t="e">
        <v>#DIV/0!</v>
      </c>
      <c r="J41" s="27" t="e">
        <v>#DIV/0!</v>
      </c>
    </row>
    <row r="42" spans="1:10" ht="43.2" x14ac:dyDescent="0.3">
      <c r="A42" s="19" t="s">
        <v>1335</v>
      </c>
      <c r="B42" s="38">
        <v>300000000</v>
      </c>
      <c r="C42" s="38">
        <v>0</v>
      </c>
      <c r="D42" s="38">
        <v>0</v>
      </c>
      <c r="E42" s="38">
        <v>0</v>
      </c>
      <c r="F42" s="38">
        <v>0</v>
      </c>
      <c r="G42" s="38">
        <v>0</v>
      </c>
      <c r="H42" s="38">
        <v>0</v>
      </c>
      <c r="I42" s="27" t="e">
        <v>#DIV/0!</v>
      </c>
      <c r="J42" s="27" t="e">
        <v>#DIV/0!</v>
      </c>
    </row>
    <row r="43" spans="1:10" ht="43.2" x14ac:dyDescent="0.3">
      <c r="A43" s="19" t="s">
        <v>1336</v>
      </c>
      <c r="B43" s="38">
        <v>1000000000</v>
      </c>
      <c r="C43" s="38">
        <v>4225437500</v>
      </c>
      <c r="D43" s="38">
        <v>0</v>
      </c>
      <c r="E43" s="38">
        <v>0</v>
      </c>
      <c r="F43" s="38">
        <v>0</v>
      </c>
      <c r="G43" s="38">
        <v>4225437500</v>
      </c>
      <c r="H43" s="38">
        <v>4225437500</v>
      </c>
      <c r="I43" s="27">
        <v>0</v>
      </c>
      <c r="J43" s="27">
        <v>0</v>
      </c>
    </row>
    <row r="44" spans="1:10" ht="28.8" x14ac:dyDescent="0.3">
      <c r="A44" s="19" t="s">
        <v>1337</v>
      </c>
      <c r="B44" s="38">
        <v>899980235.58000004</v>
      </c>
      <c r="C44" s="38">
        <v>899980235.58000004</v>
      </c>
      <c r="D44" s="38">
        <v>0</v>
      </c>
      <c r="E44" s="38">
        <v>0</v>
      </c>
      <c r="F44" s="38">
        <v>0</v>
      </c>
      <c r="G44" s="38">
        <v>899980235.58000004</v>
      </c>
      <c r="H44" s="38">
        <v>899980235.58000004</v>
      </c>
      <c r="I44" s="27">
        <v>0</v>
      </c>
      <c r="J44" s="27">
        <v>0</v>
      </c>
    </row>
    <row r="45" spans="1:10" ht="43.2" x14ac:dyDescent="0.3">
      <c r="A45" s="19" t="s">
        <v>1338</v>
      </c>
      <c r="B45" s="38">
        <v>189200000</v>
      </c>
      <c r="C45" s="38">
        <v>60457353</v>
      </c>
      <c r="D45" s="38">
        <v>0</v>
      </c>
      <c r="E45" s="38">
        <v>0</v>
      </c>
      <c r="F45" s="38">
        <v>0</v>
      </c>
      <c r="G45" s="38">
        <v>60457353</v>
      </c>
      <c r="H45" s="38">
        <v>60457353</v>
      </c>
      <c r="I45" s="27">
        <v>0</v>
      </c>
      <c r="J45" s="27">
        <v>0</v>
      </c>
    </row>
    <row r="46" spans="1:10" ht="28.8" x14ac:dyDescent="0.3">
      <c r="A46" s="19" t="s">
        <v>1339</v>
      </c>
      <c r="B46" s="38">
        <v>300000000</v>
      </c>
      <c r="C46" s="38">
        <v>0</v>
      </c>
      <c r="D46" s="38">
        <v>0</v>
      </c>
      <c r="E46" s="38">
        <v>0</v>
      </c>
      <c r="F46" s="38">
        <v>0</v>
      </c>
      <c r="G46" s="38">
        <v>0</v>
      </c>
      <c r="H46" s="38">
        <v>0</v>
      </c>
      <c r="I46" s="27" t="e">
        <v>#DIV/0!</v>
      </c>
      <c r="J46" s="27" t="e">
        <v>#DIV/0!</v>
      </c>
    </row>
    <row r="47" spans="1:10" ht="43.2" x14ac:dyDescent="0.3">
      <c r="A47" s="19" t="s">
        <v>1340</v>
      </c>
      <c r="B47" s="38">
        <v>300000000</v>
      </c>
      <c r="C47" s="38">
        <v>0</v>
      </c>
      <c r="D47" s="38">
        <v>0</v>
      </c>
      <c r="E47" s="38">
        <v>0</v>
      </c>
      <c r="F47" s="38">
        <v>0</v>
      </c>
      <c r="G47" s="38">
        <v>0</v>
      </c>
      <c r="H47" s="38">
        <v>0</v>
      </c>
      <c r="I47" s="27" t="e">
        <v>#DIV/0!</v>
      </c>
      <c r="J47" s="27" t="e">
        <v>#DIV/0!</v>
      </c>
    </row>
    <row r="48" spans="1:10" ht="43.2" x14ac:dyDescent="0.3">
      <c r="A48" s="19" t="s">
        <v>1341</v>
      </c>
      <c r="B48" s="38">
        <v>0</v>
      </c>
      <c r="C48" s="38">
        <v>0</v>
      </c>
      <c r="D48" s="38">
        <v>0</v>
      </c>
      <c r="E48" s="38">
        <v>0</v>
      </c>
      <c r="F48" s="38">
        <v>0</v>
      </c>
      <c r="G48" s="38">
        <v>0</v>
      </c>
      <c r="H48" s="38">
        <v>0</v>
      </c>
      <c r="I48" s="27" t="e">
        <v>#DIV/0!</v>
      </c>
      <c r="J48" s="27" t="e">
        <v>#DIV/0!</v>
      </c>
    </row>
    <row r="49" spans="1:10" x14ac:dyDescent="0.3">
      <c r="A49" s="19" t="s">
        <v>1673</v>
      </c>
      <c r="B49" s="38">
        <v>12614180235.58</v>
      </c>
      <c r="C49" s="38">
        <v>15903154206.6</v>
      </c>
      <c r="D49" s="38">
        <v>4541557790</v>
      </c>
      <c r="E49" s="38">
        <v>2499271323</v>
      </c>
      <c r="F49" s="38">
        <v>1040466571</v>
      </c>
      <c r="G49" s="38">
        <v>11154847120.6</v>
      </c>
      <c r="H49" s="38">
        <v>11361596416.6</v>
      </c>
      <c r="I49" s="27">
        <v>0.29857643485777152</v>
      </c>
      <c r="J49" s="27">
        <v>0.28557591349489642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C3A02-D150-4238-AA6B-C826C8D9B1BF}">
  <dimension ref="A1:J67"/>
  <sheetViews>
    <sheetView topLeftCell="A3" workbookViewId="0">
      <selection activeCell="A3" sqref="A1:A1048576"/>
    </sheetView>
  </sheetViews>
  <sheetFormatPr baseColWidth="10" defaultRowHeight="14.4" x14ac:dyDescent="0.3"/>
  <cols>
    <col min="1" max="1" width="63.33203125" style="14" customWidth="1"/>
    <col min="2" max="6" width="19.6640625" style="5" bestFit="1" customWidth="1"/>
    <col min="7" max="8" width="18.6640625" style="5" bestFit="1" customWidth="1"/>
    <col min="9" max="10" width="18.6640625" style="8" bestFit="1" customWidth="1"/>
  </cols>
  <sheetData>
    <row r="1" spans="1:10" x14ac:dyDescent="0.3">
      <c r="A1" s="13" t="s">
        <v>2</v>
      </c>
      <c r="B1" s="33" t="s">
        <v>1661</v>
      </c>
      <c r="C1" s="33"/>
      <c r="D1" s="33"/>
      <c r="E1" s="33"/>
      <c r="F1" s="33"/>
      <c r="G1" s="33"/>
      <c r="H1" s="33"/>
      <c r="I1" s="27"/>
      <c r="J1" s="27"/>
    </row>
    <row r="3" spans="1:10" ht="28.8" x14ac:dyDescent="0.3">
      <c r="A3" s="13" t="s">
        <v>1672</v>
      </c>
      <c r="B3" s="33" t="s">
        <v>1666</v>
      </c>
      <c r="C3" s="33" t="s">
        <v>1667</v>
      </c>
      <c r="D3" s="33" t="s">
        <v>1669</v>
      </c>
      <c r="E3" s="33" t="s">
        <v>1668</v>
      </c>
      <c r="F3" s="33" t="s">
        <v>1670</v>
      </c>
      <c r="G3" s="33" t="s">
        <v>1642</v>
      </c>
      <c r="H3" s="33" t="s">
        <v>1671</v>
      </c>
      <c r="I3" s="27" t="s">
        <v>1643</v>
      </c>
      <c r="J3" s="27" t="s">
        <v>1644</v>
      </c>
    </row>
    <row r="4" spans="1:10" x14ac:dyDescent="0.3">
      <c r="A4" s="20" t="s">
        <v>1223</v>
      </c>
      <c r="B4" s="39">
        <v>185090029794</v>
      </c>
      <c r="C4" s="39">
        <v>251895221219.91998</v>
      </c>
      <c r="D4" s="39">
        <v>230776651963.20001</v>
      </c>
      <c r="E4" s="39">
        <v>187617744194.54004</v>
      </c>
      <c r="F4" s="39">
        <v>179378169093.01001</v>
      </c>
      <c r="G4" s="39">
        <v>19981953193.959991</v>
      </c>
      <c r="H4" s="39">
        <v>21118569256.719971</v>
      </c>
      <c r="I4" s="32">
        <v>0.92067355189515676</v>
      </c>
      <c r="J4" s="32">
        <v>0.91616129454761608</v>
      </c>
    </row>
    <row r="5" spans="1:10" x14ac:dyDescent="0.3">
      <c r="A5" s="16" t="s">
        <v>1026</v>
      </c>
      <c r="B5" s="35">
        <v>170759915455</v>
      </c>
      <c r="C5" s="35">
        <v>238167672065.62997</v>
      </c>
      <c r="D5" s="35">
        <v>217701903404.42999</v>
      </c>
      <c r="E5" s="35">
        <v>182464510049.53003</v>
      </c>
      <c r="F5" s="35">
        <v>174569455811.67001</v>
      </c>
      <c r="G5" s="35">
        <v>19671086530.069977</v>
      </c>
      <c r="H5" s="35">
        <v>20465768661.199982</v>
      </c>
      <c r="I5" s="29">
        <v>0.91740656336998849</v>
      </c>
      <c r="J5" s="29">
        <v>0.91406991350379241</v>
      </c>
    </row>
    <row r="6" spans="1:10" ht="28.8" x14ac:dyDescent="0.3">
      <c r="A6" s="17" t="s">
        <v>1106</v>
      </c>
      <c r="B6" s="36">
        <v>170759915455</v>
      </c>
      <c r="C6" s="36">
        <v>238167672065.62997</v>
      </c>
      <c r="D6" s="36">
        <v>217701903404.42999</v>
      </c>
      <c r="E6" s="36">
        <v>182464510049.53003</v>
      </c>
      <c r="F6" s="36">
        <v>174569455811.67001</v>
      </c>
      <c r="G6" s="36">
        <v>19671086530.069977</v>
      </c>
      <c r="H6" s="36">
        <v>20465768661.199982</v>
      </c>
      <c r="I6" s="30">
        <v>0.91740656336998849</v>
      </c>
      <c r="J6" s="30">
        <v>0.91406991350379241</v>
      </c>
    </row>
    <row r="7" spans="1:10" ht="28.8" x14ac:dyDescent="0.3">
      <c r="A7" s="18" t="s">
        <v>1107</v>
      </c>
      <c r="B7" s="37">
        <v>126152245876</v>
      </c>
      <c r="C7" s="37">
        <v>158217128360.10999</v>
      </c>
      <c r="D7" s="37">
        <v>150571497636.42999</v>
      </c>
      <c r="E7" s="37">
        <v>130289858050.67001</v>
      </c>
      <c r="F7" s="37">
        <v>128137843244.67001</v>
      </c>
      <c r="G7" s="37">
        <v>6950532618.769989</v>
      </c>
      <c r="H7" s="37">
        <v>7645630723.6799927</v>
      </c>
      <c r="I7" s="31">
        <v>0.95606965762297091</v>
      </c>
      <c r="J7" s="31">
        <v>0.95167633995809753</v>
      </c>
    </row>
    <row r="8" spans="1:10" ht="28.8" x14ac:dyDescent="0.3">
      <c r="A8" s="19" t="s">
        <v>1342</v>
      </c>
      <c r="B8" s="38">
        <v>1</v>
      </c>
      <c r="C8" s="38">
        <v>1</v>
      </c>
      <c r="D8" s="38">
        <v>0</v>
      </c>
      <c r="E8" s="38">
        <v>0</v>
      </c>
      <c r="F8" s="38">
        <v>0</v>
      </c>
      <c r="G8" s="38">
        <v>1</v>
      </c>
      <c r="H8" s="38">
        <v>1</v>
      </c>
      <c r="I8" s="27">
        <v>0</v>
      </c>
      <c r="J8" s="27">
        <v>0</v>
      </c>
    </row>
    <row r="9" spans="1:10" ht="57.6" x14ac:dyDescent="0.3">
      <c r="A9" s="19" t="s">
        <v>1343</v>
      </c>
      <c r="B9" s="38">
        <v>115406493904</v>
      </c>
      <c r="C9" s="38">
        <v>149324795844.10999</v>
      </c>
      <c r="D9" s="38">
        <v>145670655503.42999</v>
      </c>
      <c r="E9" s="38">
        <v>127157840781.67001</v>
      </c>
      <c r="F9" s="38">
        <v>125251937725.67001</v>
      </c>
      <c r="G9" s="38">
        <v>2966542235.769989</v>
      </c>
      <c r="H9" s="38">
        <v>3654140340.6799927</v>
      </c>
      <c r="I9" s="27">
        <v>0.98013362603979748</v>
      </c>
      <c r="J9" s="27">
        <v>0.97552891118970764</v>
      </c>
    </row>
    <row r="10" spans="1:10" ht="28.8" x14ac:dyDescent="0.3">
      <c r="A10" s="19" t="s">
        <v>1344</v>
      </c>
      <c r="B10" s="38">
        <v>0</v>
      </c>
      <c r="C10" s="38">
        <v>250000000</v>
      </c>
      <c r="D10" s="38">
        <v>0</v>
      </c>
      <c r="E10" s="38">
        <v>0</v>
      </c>
      <c r="F10" s="38">
        <v>0</v>
      </c>
      <c r="G10" s="38">
        <v>250000000</v>
      </c>
      <c r="H10" s="38">
        <v>250000000</v>
      </c>
      <c r="I10" s="27">
        <v>0</v>
      </c>
      <c r="J10" s="27">
        <v>0</v>
      </c>
    </row>
    <row r="11" spans="1:10" ht="28.8" x14ac:dyDescent="0.3">
      <c r="A11" s="19" t="s">
        <v>1345</v>
      </c>
      <c r="B11" s="38">
        <v>567275082</v>
      </c>
      <c r="C11" s="38">
        <v>100000000</v>
      </c>
      <c r="D11" s="38">
        <v>0</v>
      </c>
      <c r="E11" s="38">
        <v>0</v>
      </c>
      <c r="F11" s="38">
        <v>0</v>
      </c>
      <c r="G11" s="38">
        <v>100000000</v>
      </c>
      <c r="H11" s="38">
        <v>100000000</v>
      </c>
      <c r="I11" s="27">
        <v>0</v>
      </c>
      <c r="J11" s="27">
        <v>0</v>
      </c>
    </row>
    <row r="12" spans="1:10" ht="43.2" x14ac:dyDescent="0.3">
      <c r="A12" s="19" t="s">
        <v>1346</v>
      </c>
      <c r="B12" s="38">
        <v>6020741727</v>
      </c>
      <c r="C12" s="38">
        <v>6995313882</v>
      </c>
      <c r="D12" s="38">
        <v>3353823500</v>
      </c>
      <c r="E12" s="38">
        <v>1992690166</v>
      </c>
      <c r="F12" s="38">
        <v>1746578416</v>
      </c>
      <c r="G12" s="38">
        <v>3633990382</v>
      </c>
      <c r="H12" s="38">
        <v>3641490382</v>
      </c>
      <c r="I12" s="27">
        <v>0.48051074715163156</v>
      </c>
      <c r="J12" s="27">
        <v>0.47943860083675371</v>
      </c>
    </row>
    <row r="13" spans="1:10" ht="57.6" x14ac:dyDescent="0.3">
      <c r="A13" s="19" t="s">
        <v>1347</v>
      </c>
      <c r="B13" s="38">
        <v>0</v>
      </c>
      <c r="C13" s="38">
        <v>407691530</v>
      </c>
      <c r="D13" s="38">
        <v>407691530</v>
      </c>
      <c r="E13" s="38">
        <v>0</v>
      </c>
      <c r="F13" s="38">
        <v>0</v>
      </c>
      <c r="G13" s="38">
        <v>0</v>
      </c>
      <c r="H13" s="38">
        <v>0</v>
      </c>
      <c r="I13" s="27">
        <v>1</v>
      </c>
      <c r="J13" s="27">
        <v>1</v>
      </c>
    </row>
    <row r="14" spans="1:10" ht="57.6" x14ac:dyDescent="0.3">
      <c r="A14" s="19" t="s">
        <v>1348</v>
      </c>
      <c r="B14" s="38">
        <v>1114827103</v>
      </c>
      <c r="C14" s="38">
        <v>1114827103</v>
      </c>
      <c r="D14" s="38">
        <v>1114827103</v>
      </c>
      <c r="E14" s="38">
        <v>1114827103</v>
      </c>
      <c r="F14" s="38">
        <v>1114827103</v>
      </c>
      <c r="G14" s="38">
        <v>0</v>
      </c>
      <c r="H14" s="38">
        <v>0</v>
      </c>
      <c r="I14" s="27">
        <v>1</v>
      </c>
      <c r="J14" s="27">
        <v>1</v>
      </c>
    </row>
    <row r="15" spans="1:10" ht="28.8" x14ac:dyDescent="0.3">
      <c r="A15" s="19" t="s">
        <v>1349</v>
      </c>
      <c r="B15" s="38">
        <v>3042908059</v>
      </c>
      <c r="C15" s="38">
        <v>24500000</v>
      </c>
      <c r="D15" s="38">
        <v>24500000</v>
      </c>
      <c r="E15" s="38">
        <v>24500000</v>
      </c>
      <c r="F15" s="38">
        <v>24500000</v>
      </c>
      <c r="G15" s="38">
        <v>0</v>
      </c>
      <c r="H15" s="38">
        <v>0</v>
      </c>
      <c r="I15" s="27">
        <v>1</v>
      </c>
      <c r="J15" s="27">
        <v>1</v>
      </c>
    </row>
    <row r="16" spans="1:10" ht="28.8" x14ac:dyDescent="0.3">
      <c r="A16" s="18" t="s">
        <v>1167</v>
      </c>
      <c r="B16" s="37">
        <v>43138198437</v>
      </c>
      <c r="C16" s="37">
        <v>74207860925.429993</v>
      </c>
      <c r="D16" s="37">
        <v>61425135213</v>
      </c>
      <c r="E16" s="37">
        <v>50521209860</v>
      </c>
      <c r="F16" s="37">
        <v>45372717567</v>
      </c>
      <c r="G16" s="37">
        <v>12718531341.169991</v>
      </c>
      <c r="H16" s="37">
        <v>12782725712.429993</v>
      </c>
      <c r="I16" s="31">
        <v>0.82860937934930379</v>
      </c>
      <c r="J16" s="31">
        <v>0.82774431774451629</v>
      </c>
    </row>
    <row r="17" spans="1:10" ht="43.2" x14ac:dyDescent="0.3">
      <c r="A17" s="19" t="s">
        <v>1350</v>
      </c>
      <c r="B17" s="38">
        <v>42938198437</v>
      </c>
      <c r="C17" s="38">
        <v>65579468217</v>
      </c>
      <c r="D17" s="38">
        <v>52796742504.739998</v>
      </c>
      <c r="E17" s="38">
        <v>45448250211.739998</v>
      </c>
      <c r="F17" s="38">
        <v>40299757918.739998</v>
      </c>
      <c r="G17" s="38">
        <v>12718531341</v>
      </c>
      <c r="H17" s="38">
        <v>12782725712.260002</v>
      </c>
      <c r="I17" s="27">
        <v>0.80605924862161349</v>
      </c>
      <c r="J17" s="27">
        <v>0.80508036951500672</v>
      </c>
    </row>
    <row r="18" spans="1:10" ht="43.2" x14ac:dyDescent="0.3">
      <c r="A18" s="19" t="s">
        <v>1351</v>
      </c>
      <c r="B18" s="38">
        <v>0</v>
      </c>
      <c r="C18" s="38">
        <v>8628392708.4300003</v>
      </c>
      <c r="D18" s="38">
        <v>8628392708.2600002</v>
      </c>
      <c r="E18" s="38">
        <v>5072959648.2600002</v>
      </c>
      <c r="F18" s="38">
        <v>5072959648.2600002</v>
      </c>
      <c r="G18" s="38">
        <v>0.17000007629394531</v>
      </c>
      <c r="H18" s="38">
        <v>0.17000007629394531</v>
      </c>
      <c r="I18" s="27">
        <v>0.99999999998029765</v>
      </c>
      <c r="J18" s="27">
        <v>0.99999999998029765</v>
      </c>
    </row>
    <row r="19" spans="1:10" ht="57.6" x14ac:dyDescent="0.3">
      <c r="A19" s="19" t="s">
        <v>1352</v>
      </c>
      <c r="B19" s="38">
        <v>200000000</v>
      </c>
      <c r="C19" s="38">
        <v>0</v>
      </c>
      <c r="D19" s="38">
        <v>0</v>
      </c>
      <c r="E19" s="38">
        <v>0</v>
      </c>
      <c r="F19" s="38">
        <v>0</v>
      </c>
      <c r="G19" s="38">
        <v>0</v>
      </c>
      <c r="H19" s="38">
        <v>0</v>
      </c>
      <c r="I19" s="27" t="e">
        <v>#DIV/0!</v>
      </c>
      <c r="J19" s="27" t="e">
        <v>#DIV/0!</v>
      </c>
    </row>
    <row r="20" spans="1:10" ht="43.2" x14ac:dyDescent="0.3">
      <c r="A20" s="18" t="s">
        <v>1177</v>
      </c>
      <c r="B20" s="37">
        <v>1000000000</v>
      </c>
      <c r="C20" s="37">
        <v>4761322438.1299992</v>
      </c>
      <c r="D20" s="37">
        <v>4757299868</v>
      </c>
      <c r="E20" s="37">
        <v>963500000</v>
      </c>
      <c r="F20" s="37">
        <v>963500000</v>
      </c>
      <c r="G20" s="37">
        <v>1322570.1299991608</v>
      </c>
      <c r="H20" s="37">
        <v>4022570.1299991608</v>
      </c>
      <c r="I20" s="31">
        <v>0.99972222630431251</v>
      </c>
      <c r="J20" s="31">
        <v>0.99915515695854051</v>
      </c>
    </row>
    <row r="21" spans="1:10" ht="43.2" x14ac:dyDescent="0.3">
      <c r="A21" s="19" t="s">
        <v>1353</v>
      </c>
      <c r="B21" s="38">
        <v>1000000000</v>
      </c>
      <c r="C21" s="38">
        <v>4761322438.1299992</v>
      </c>
      <c r="D21" s="38">
        <v>4757299868</v>
      </c>
      <c r="E21" s="38">
        <v>963500000</v>
      </c>
      <c r="F21" s="38">
        <v>963500000</v>
      </c>
      <c r="G21" s="38">
        <v>1322570.1299991608</v>
      </c>
      <c r="H21" s="38">
        <v>4022570.1299991608</v>
      </c>
      <c r="I21" s="27">
        <v>0.99972222630431251</v>
      </c>
      <c r="J21" s="27">
        <v>0.99915515695854051</v>
      </c>
    </row>
    <row r="22" spans="1:10" ht="28.8" x14ac:dyDescent="0.3">
      <c r="A22" s="18" t="s">
        <v>1213</v>
      </c>
      <c r="B22" s="37">
        <v>150000000</v>
      </c>
      <c r="C22" s="37">
        <v>150000000</v>
      </c>
      <c r="D22" s="37">
        <v>140733333</v>
      </c>
      <c r="E22" s="37">
        <v>129933333</v>
      </c>
      <c r="F22" s="37">
        <v>54800000</v>
      </c>
      <c r="G22" s="37">
        <v>700000</v>
      </c>
      <c r="H22" s="37">
        <v>9266667</v>
      </c>
      <c r="I22" s="31">
        <v>0.99533333333333329</v>
      </c>
      <c r="J22" s="31">
        <v>0.93822222</v>
      </c>
    </row>
    <row r="23" spans="1:10" ht="28.8" x14ac:dyDescent="0.3">
      <c r="A23" s="19" t="s">
        <v>1354</v>
      </c>
      <c r="B23" s="38">
        <v>150000000</v>
      </c>
      <c r="C23" s="38">
        <v>150000000</v>
      </c>
      <c r="D23" s="38">
        <v>140733333</v>
      </c>
      <c r="E23" s="38">
        <v>129933333</v>
      </c>
      <c r="F23" s="38">
        <v>54800000</v>
      </c>
      <c r="G23" s="38">
        <v>700000</v>
      </c>
      <c r="H23" s="38">
        <v>9266667</v>
      </c>
      <c r="I23" s="27">
        <v>0.99533333333333329</v>
      </c>
      <c r="J23" s="27">
        <v>0.93822222</v>
      </c>
    </row>
    <row r="24" spans="1:10" x14ac:dyDescent="0.3">
      <c r="A24" s="18" t="s">
        <v>1151</v>
      </c>
      <c r="B24" s="37">
        <v>319471142</v>
      </c>
      <c r="C24" s="37">
        <v>831360341.96000004</v>
      </c>
      <c r="D24" s="37">
        <v>807237354</v>
      </c>
      <c r="E24" s="37">
        <v>560008805.86000001</v>
      </c>
      <c r="F24" s="37">
        <v>40595000</v>
      </c>
      <c r="G24" s="37">
        <v>0</v>
      </c>
      <c r="H24" s="37">
        <v>24122987.960000038</v>
      </c>
      <c r="I24" s="31">
        <v>1</v>
      </c>
      <c r="J24" s="31">
        <v>0.97098371579389009</v>
      </c>
    </row>
    <row r="25" spans="1:10" ht="43.2" x14ac:dyDescent="0.3">
      <c r="A25" s="19" t="s">
        <v>1355</v>
      </c>
      <c r="B25" s="38">
        <v>0</v>
      </c>
      <c r="C25" s="38">
        <v>511889199.95999998</v>
      </c>
      <c r="D25" s="38">
        <v>511889199.95999998</v>
      </c>
      <c r="E25" s="38">
        <v>306656941.60000002</v>
      </c>
      <c r="F25" s="38">
        <v>0</v>
      </c>
      <c r="G25" s="38">
        <v>0</v>
      </c>
      <c r="H25" s="38">
        <v>0</v>
      </c>
      <c r="I25" s="27">
        <v>1</v>
      </c>
      <c r="J25" s="27">
        <v>1</v>
      </c>
    </row>
    <row r="26" spans="1:10" ht="43.2" x14ac:dyDescent="0.3">
      <c r="A26" s="19" t="s">
        <v>1356</v>
      </c>
      <c r="B26" s="38">
        <v>319471142</v>
      </c>
      <c r="C26" s="38">
        <v>319471142</v>
      </c>
      <c r="D26" s="38">
        <v>295348154.04000002</v>
      </c>
      <c r="E26" s="38">
        <v>253351864.25999999</v>
      </c>
      <c r="F26" s="38">
        <v>40595000</v>
      </c>
      <c r="G26" s="38">
        <v>0</v>
      </c>
      <c r="H26" s="38">
        <v>24122987.959999979</v>
      </c>
      <c r="I26" s="27">
        <v>1</v>
      </c>
      <c r="J26" s="27">
        <v>0.92449087010181352</v>
      </c>
    </row>
    <row r="27" spans="1:10" x14ac:dyDescent="0.3">
      <c r="A27" s="16" t="s">
        <v>1030</v>
      </c>
      <c r="B27" s="35">
        <v>1000000000</v>
      </c>
      <c r="C27" s="35">
        <v>1000000000</v>
      </c>
      <c r="D27" s="35">
        <v>1000000000</v>
      </c>
      <c r="E27" s="35">
        <v>900000000</v>
      </c>
      <c r="F27" s="35">
        <v>900000000</v>
      </c>
      <c r="G27" s="35">
        <v>0</v>
      </c>
      <c r="H27" s="35">
        <v>0</v>
      </c>
      <c r="I27" s="29">
        <v>1</v>
      </c>
      <c r="J27" s="29">
        <v>1</v>
      </c>
    </row>
    <row r="28" spans="1:10" ht="43.2" x14ac:dyDescent="0.3">
      <c r="A28" s="17" t="s">
        <v>1038</v>
      </c>
      <c r="B28" s="36">
        <v>1000000000</v>
      </c>
      <c r="C28" s="36">
        <v>1000000000</v>
      </c>
      <c r="D28" s="36">
        <v>1000000000</v>
      </c>
      <c r="E28" s="36">
        <v>900000000</v>
      </c>
      <c r="F28" s="36">
        <v>900000000</v>
      </c>
      <c r="G28" s="36">
        <v>0</v>
      </c>
      <c r="H28" s="36">
        <v>0</v>
      </c>
      <c r="I28" s="30">
        <v>1</v>
      </c>
      <c r="J28" s="30">
        <v>1</v>
      </c>
    </row>
    <row r="29" spans="1:10" ht="28.8" x14ac:dyDescent="0.3">
      <c r="A29" s="18" t="s">
        <v>1150</v>
      </c>
      <c r="B29" s="37">
        <v>1000000000</v>
      </c>
      <c r="C29" s="37">
        <v>1000000000</v>
      </c>
      <c r="D29" s="37">
        <v>1000000000</v>
      </c>
      <c r="E29" s="37">
        <v>900000000</v>
      </c>
      <c r="F29" s="37">
        <v>900000000</v>
      </c>
      <c r="G29" s="37">
        <v>0</v>
      </c>
      <c r="H29" s="37">
        <v>0</v>
      </c>
      <c r="I29" s="31">
        <v>1</v>
      </c>
      <c r="J29" s="31">
        <v>1</v>
      </c>
    </row>
    <row r="30" spans="1:10" ht="43.2" x14ac:dyDescent="0.3">
      <c r="A30" s="19" t="s">
        <v>1357</v>
      </c>
      <c r="B30" s="38">
        <v>1000000000</v>
      </c>
      <c r="C30" s="38">
        <v>1000000000</v>
      </c>
      <c r="D30" s="38">
        <v>1000000000</v>
      </c>
      <c r="E30" s="38">
        <v>900000000</v>
      </c>
      <c r="F30" s="38">
        <v>900000000</v>
      </c>
      <c r="G30" s="38">
        <v>0</v>
      </c>
      <c r="H30" s="38">
        <v>0</v>
      </c>
      <c r="I30" s="27">
        <v>1</v>
      </c>
      <c r="J30" s="27">
        <v>1</v>
      </c>
    </row>
    <row r="31" spans="1:10" x14ac:dyDescent="0.3">
      <c r="A31" s="16" t="s">
        <v>1055</v>
      </c>
      <c r="B31" s="35">
        <v>2647022339</v>
      </c>
      <c r="C31" s="35">
        <v>2603939807.8899999</v>
      </c>
      <c r="D31" s="35">
        <v>2346689138</v>
      </c>
      <c r="E31" s="35">
        <v>1804203183</v>
      </c>
      <c r="F31" s="35">
        <v>1718871198</v>
      </c>
      <c r="G31" s="35">
        <v>122302178.88999987</v>
      </c>
      <c r="H31" s="35">
        <v>257250669.88999987</v>
      </c>
      <c r="I31" s="29">
        <v>0.95303187173550585</v>
      </c>
      <c r="J31" s="29">
        <v>0.90120713654343154</v>
      </c>
    </row>
    <row r="32" spans="1:10" x14ac:dyDescent="0.3">
      <c r="A32" s="17" t="s">
        <v>1056</v>
      </c>
      <c r="B32" s="36">
        <v>2246974652</v>
      </c>
      <c r="C32" s="36">
        <v>2282529780.8899999</v>
      </c>
      <c r="D32" s="36">
        <v>2040189138</v>
      </c>
      <c r="E32" s="36">
        <v>1804203183</v>
      </c>
      <c r="F32" s="36">
        <v>1718871198</v>
      </c>
      <c r="G32" s="36">
        <v>107392151.88999987</v>
      </c>
      <c r="H32" s="36">
        <v>242340642.88999987</v>
      </c>
      <c r="I32" s="30">
        <v>0.95295038304029234</v>
      </c>
      <c r="J32" s="30">
        <v>0.8938280477569468</v>
      </c>
    </row>
    <row r="33" spans="1:10" x14ac:dyDescent="0.3">
      <c r="A33" s="18" t="s">
        <v>1164</v>
      </c>
      <c r="B33" s="37">
        <v>2126000000</v>
      </c>
      <c r="C33" s="37">
        <v>2161555128.8899999</v>
      </c>
      <c r="D33" s="37">
        <v>2025189138</v>
      </c>
      <c r="E33" s="37">
        <v>1789203183</v>
      </c>
      <c r="F33" s="37">
        <v>1703871198</v>
      </c>
      <c r="G33" s="37">
        <v>11417499.889999866</v>
      </c>
      <c r="H33" s="37">
        <v>136365990.88999987</v>
      </c>
      <c r="I33" s="31">
        <v>0.9947179233425969</v>
      </c>
      <c r="J33" s="31">
        <v>0.93691301736078025</v>
      </c>
    </row>
    <row r="34" spans="1:10" ht="72" x14ac:dyDescent="0.3">
      <c r="A34" s="19" t="s">
        <v>1358</v>
      </c>
      <c r="B34" s="38">
        <v>2126000000</v>
      </c>
      <c r="C34" s="38">
        <v>2161555128.8899999</v>
      </c>
      <c r="D34" s="38">
        <v>2025189138</v>
      </c>
      <c r="E34" s="38">
        <v>1789203183</v>
      </c>
      <c r="F34" s="38">
        <v>1703871198</v>
      </c>
      <c r="G34" s="38">
        <v>11417499.889999866</v>
      </c>
      <c r="H34" s="38">
        <v>136365990.88999987</v>
      </c>
      <c r="I34" s="27">
        <v>0.9947179233425969</v>
      </c>
      <c r="J34" s="27">
        <v>0.93691301736078025</v>
      </c>
    </row>
    <row r="35" spans="1:10" x14ac:dyDescent="0.3">
      <c r="A35" s="18" t="s">
        <v>1166</v>
      </c>
      <c r="B35" s="37">
        <v>120974651</v>
      </c>
      <c r="C35" s="37">
        <v>120974651</v>
      </c>
      <c r="D35" s="37">
        <v>15000000</v>
      </c>
      <c r="E35" s="37">
        <v>15000000</v>
      </c>
      <c r="F35" s="37">
        <v>15000000</v>
      </c>
      <c r="G35" s="37">
        <v>95974651</v>
      </c>
      <c r="H35" s="37">
        <v>105974651</v>
      </c>
      <c r="I35" s="31">
        <v>0.20665486358790983</v>
      </c>
      <c r="J35" s="31">
        <v>0.12399291815274591</v>
      </c>
    </row>
    <row r="36" spans="1:10" ht="28.8" x14ac:dyDescent="0.3">
      <c r="A36" s="19" t="s">
        <v>1359</v>
      </c>
      <c r="B36" s="38">
        <v>11974651</v>
      </c>
      <c r="C36" s="38">
        <v>11974651</v>
      </c>
      <c r="D36" s="38">
        <v>0</v>
      </c>
      <c r="E36" s="38">
        <v>0</v>
      </c>
      <c r="F36" s="38">
        <v>0</v>
      </c>
      <c r="G36" s="38">
        <v>1974651</v>
      </c>
      <c r="H36" s="38">
        <v>11974651</v>
      </c>
      <c r="I36" s="27">
        <v>0.83509740701420021</v>
      </c>
      <c r="J36" s="27">
        <v>0</v>
      </c>
    </row>
    <row r="37" spans="1:10" ht="28.8" x14ac:dyDescent="0.3">
      <c r="A37" s="19" t="s">
        <v>1360</v>
      </c>
      <c r="B37" s="38">
        <v>109000000</v>
      </c>
      <c r="C37" s="38">
        <v>109000000</v>
      </c>
      <c r="D37" s="38">
        <v>15000000</v>
      </c>
      <c r="E37" s="38">
        <v>15000000</v>
      </c>
      <c r="F37" s="38">
        <v>15000000</v>
      </c>
      <c r="G37" s="38">
        <v>94000000</v>
      </c>
      <c r="H37" s="38">
        <v>94000000</v>
      </c>
      <c r="I37" s="27">
        <v>0.13761467889908258</v>
      </c>
      <c r="J37" s="27">
        <v>0.13761467889908258</v>
      </c>
    </row>
    <row r="38" spans="1:10" ht="28.8" x14ac:dyDescent="0.3">
      <c r="A38" s="18" t="s">
        <v>1214</v>
      </c>
      <c r="B38" s="37">
        <v>1</v>
      </c>
      <c r="C38" s="37">
        <v>1</v>
      </c>
      <c r="D38" s="37">
        <v>0</v>
      </c>
      <c r="E38" s="37">
        <v>0</v>
      </c>
      <c r="F38" s="37">
        <v>0</v>
      </c>
      <c r="G38" s="37">
        <v>1</v>
      </c>
      <c r="H38" s="37">
        <v>1</v>
      </c>
      <c r="I38" s="31">
        <v>0</v>
      </c>
      <c r="J38" s="31">
        <v>0</v>
      </c>
    </row>
    <row r="39" spans="1:10" ht="28.8" x14ac:dyDescent="0.3">
      <c r="A39" s="19" t="s">
        <v>1361</v>
      </c>
      <c r="B39" s="38">
        <v>1</v>
      </c>
      <c r="C39" s="38">
        <v>1</v>
      </c>
      <c r="D39" s="38">
        <v>0</v>
      </c>
      <c r="E39" s="38">
        <v>0</v>
      </c>
      <c r="F39" s="38">
        <v>0</v>
      </c>
      <c r="G39" s="38">
        <v>1</v>
      </c>
      <c r="H39" s="38">
        <v>1</v>
      </c>
      <c r="I39" s="27">
        <v>0</v>
      </c>
      <c r="J39" s="27">
        <v>0</v>
      </c>
    </row>
    <row r="40" spans="1:10" ht="28.8" x14ac:dyDescent="0.3">
      <c r="A40" s="17" t="s">
        <v>1133</v>
      </c>
      <c r="B40" s="36">
        <v>400047687</v>
      </c>
      <c r="C40" s="36">
        <v>321410027</v>
      </c>
      <c r="D40" s="36">
        <v>306500000</v>
      </c>
      <c r="E40" s="36">
        <v>0</v>
      </c>
      <c r="F40" s="36">
        <v>0</v>
      </c>
      <c r="G40" s="36">
        <v>14910027</v>
      </c>
      <c r="H40" s="36">
        <v>14910027</v>
      </c>
      <c r="I40" s="30">
        <v>0.95361057295203799</v>
      </c>
      <c r="J40" s="30">
        <v>0.95361057295203799</v>
      </c>
    </row>
    <row r="41" spans="1:10" ht="28.8" x14ac:dyDescent="0.3">
      <c r="A41" s="18" t="s">
        <v>1134</v>
      </c>
      <c r="B41" s="37">
        <v>194847687</v>
      </c>
      <c r="C41" s="37">
        <v>116210027</v>
      </c>
      <c r="D41" s="37">
        <v>101300000</v>
      </c>
      <c r="E41" s="37">
        <v>0</v>
      </c>
      <c r="F41" s="37">
        <v>0</v>
      </c>
      <c r="G41" s="37">
        <v>14910027</v>
      </c>
      <c r="H41" s="37">
        <v>14910027</v>
      </c>
      <c r="I41" s="31">
        <v>0.87169758595787949</v>
      </c>
      <c r="J41" s="31">
        <v>0.87169758595787949</v>
      </c>
    </row>
    <row r="42" spans="1:10" ht="43.2" x14ac:dyDescent="0.3">
      <c r="A42" s="19" t="s">
        <v>1362</v>
      </c>
      <c r="B42" s="38">
        <v>66597687</v>
      </c>
      <c r="C42" s="38">
        <v>64910027</v>
      </c>
      <c r="D42" s="38">
        <v>50000000</v>
      </c>
      <c r="E42" s="38">
        <v>0</v>
      </c>
      <c r="F42" s="38">
        <v>0</v>
      </c>
      <c r="G42" s="38">
        <v>14910027</v>
      </c>
      <c r="H42" s="38">
        <v>14910027</v>
      </c>
      <c r="I42" s="27">
        <v>0.77029701435804365</v>
      </c>
      <c r="J42" s="27">
        <v>0.77029701435804365</v>
      </c>
    </row>
    <row r="43" spans="1:10" ht="28.8" x14ac:dyDescent="0.3">
      <c r="A43" s="19" t="s">
        <v>1363</v>
      </c>
      <c r="B43" s="38">
        <v>51300000</v>
      </c>
      <c r="C43" s="38">
        <v>51300000</v>
      </c>
      <c r="D43" s="38">
        <v>51300000</v>
      </c>
      <c r="E43" s="38">
        <v>0</v>
      </c>
      <c r="F43" s="38">
        <v>0</v>
      </c>
      <c r="G43" s="38">
        <v>0</v>
      </c>
      <c r="H43" s="38">
        <v>0</v>
      </c>
      <c r="I43" s="27">
        <v>1</v>
      </c>
      <c r="J43" s="27">
        <v>1</v>
      </c>
    </row>
    <row r="44" spans="1:10" ht="28.8" x14ac:dyDescent="0.3">
      <c r="A44" s="19" t="s">
        <v>1364</v>
      </c>
      <c r="B44" s="38">
        <v>51300000</v>
      </c>
      <c r="C44" s="38">
        <v>0</v>
      </c>
      <c r="D44" s="38">
        <v>0</v>
      </c>
      <c r="E44" s="38">
        <v>0</v>
      </c>
      <c r="F44" s="38">
        <v>0</v>
      </c>
      <c r="G44" s="38">
        <v>0</v>
      </c>
      <c r="H44" s="38">
        <v>0</v>
      </c>
      <c r="I44" s="27" t="e">
        <v>#DIV/0!</v>
      </c>
      <c r="J44" s="27" t="e">
        <v>#DIV/0!</v>
      </c>
    </row>
    <row r="45" spans="1:10" ht="43.2" x14ac:dyDescent="0.3">
      <c r="A45" s="19" t="s">
        <v>1365</v>
      </c>
      <c r="B45" s="38">
        <v>25650000</v>
      </c>
      <c r="C45" s="38">
        <v>0</v>
      </c>
      <c r="D45" s="38">
        <v>0</v>
      </c>
      <c r="E45" s="38">
        <v>0</v>
      </c>
      <c r="F45" s="38">
        <v>0</v>
      </c>
      <c r="G45" s="38">
        <v>0</v>
      </c>
      <c r="H45" s="38">
        <v>0</v>
      </c>
      <c r="I45" s="27" t="e">
        <v>#DIV/0!</v>
      </c>
      <c r="J45" s="27" t="e">
        <v>#DIV/0!</v>
      </c>
    </row>
    <row r="46" spans="1:10" x14ac:dyDescent="0.3">
      <c r="A46" s="18" t="s">
        <v>1172</v>
      </c>
      <c r="B46" s="37">
        <v>102600000</v>
      </c>
      <c r="C46" s="37">
        <v>102600000</v>
      </c>
      <c r="D46" s="37">
        <v>102600000</v>
      </c>
      <c r="E46" s="37">
        <v>0</v>
      </c>
      <c r="F46" s="37">
        <v>0</v>
      </c>
      <c r="G46" s="37">
        <v>0</v>
      </c>
      <c r="H46" s="37">
        <v>0</v>
      </c>
      <c r="I46" s="31">
        <v>1</v>
      </c>
      <c r="J46" s="31">
        <v>1</v>
      </c>
    </row>
    <row r="47" spans="1:10" ht="28.8" x14ac:dyDescent="0.3">
      <c r="A47" s="19" t="s">
        <v>1366</v>
      </c>
      <c r="B47" s="38">
        <v>102600000</v>
      </c>
      <c r="C47" s="38">
        <v>102600000</v>
      </c>
      <c r="D47" s="38">
        <v>102600000</v>
      </c>
      <c r="E47" s="38">
        <v>0</v>
      </c>
      <c r="F47" s="38">
        <v>0</v>
      </c>
      <c r="G47" s="38">
        <v>0</v>
      </c>
      <c r="H47" s="38">
        <v>0</v>
      </c>
      <c r="I47" s="27">
        <v>1</v>
      </c>
      <c r="J47" s="27">
        <v>1</v>
      </c>
    </row>
    <row r="48" spans="1:10" x14ac:dyDescent="0.3">
      <c r="A48" s="18" t="s">
        <v>1171</v>
      </c>
      <c r="B48" s="37">
        <v>102600000</v>
      </c>
      <c r="C48" s="37">
        <v>102600000</v>
      </c>
      <c r="D48" s="37">
        <v>102600000</v>
      </c>
      <c r="E48" s="37">
        <v>0</v>
      </c>
      <c r="F48" s="37">
        <v>0</v>
      </c>
      <c r="G48" s="37">
        <v>0</v>
      </c>
      <c r="H48" s="37">
        <v>0</v>
      </c>
      <c r="I48" s="31">
        <v>1</v>
      </c>
      <c r="J48" s="31">
        <v>1</v>
      </c>
    </row>
    <row r="49" spans="1:10" ht="28.8" x14ac:dyDescent="0.3">
      <c r="A49" s="19" t="s">
        <v>1367</v>
      </c>
      <c r="B49" s="38">
        <v>102600000</v>
      </c>
      <c r="C49" s="38">
        <v>102600000</v>
      </c>
      <c r="D49" s="38">
        <v>102600000</v>
      </c>
      <c r="E49" s="38">
        <v>0</v>
      </c>
      <c r="F49" s="38">
        <v>0</v>
      </c>
      <c r="G49" s="38">
        <v>0</v>
      </c>
      <c r="H49" s="38">
        <v>0</v>
      </c>
      <c r="I49" s="27">
        <v>1</v>
      </c>
      <c r="J49" s="27">
        <v>1</v>
      </c>
    </row>
    <row r="50" spans="1:10" x14ac:dyDescent="0.3">
      <c r="A50" s="16" t="s">
        <v>1018</v>
      </c>
      <c r="B50" s="35">
        <v>10683092000</v>
      </c>
      <c r="C50" s="35">
        <v>10123609346.4</v>
      </c>
      <c r="D50" s="35">
        <v>9728059420.7700005</v>
      </c>
      <c r="E50" s="35">
        <v>2449030962.0100002</v>
      </c>
      <c r="F50" s="35">
        <v>2189842083.3400002</v>
      </c>
      <c r="G50" s="35">
        <v>188564485</v>
      </c>
      <c r="H50" s="35">
        <v>395549925.62999916</v>
      </c>
      <c r="I50" s="29">
        <v>0.98137378887826654</v>
      </c>
      <c r="J50" s="29">
        <v>0.96092797419423748</v>
      </c>
    </row>
    <row r="51" spans="1:10" ht="28.8" x14ac:dyDescent="0.3">
      <c r="A51" s="17" t="s">
        <v>1104</v>
      </c>
      <c r="B51" s="36">
        <v>8443092000</v>
      </c>
      <c r="C51" s="36">
        <v>8143209346.3999996</v>
      </c>
      <c r="D51" s="36">
        <v>7979026726</v>
      </c>
      <c r="E51" s="36">
        <v>993726726</v>
      </c>
      <c r="F51" s="36">
        <v>879002960</v>
      </c>
      <c r="G51" s="36">
        <v>55092000</v>
      </c>
      <c r="H51" s="36">
        <v>164182620.39999962</v>
      </c>
      <c r="I51" s="30">
        <v>0.99323460841340705</v>
      </c>
      <c r="J51" s="30">
        <v>0.97983809412039957</v>
      </c>
    </row>
    <row r="52" spans="1:10" x14ac:dyDescent="0.3">
      <c r="A52" s="18" t="s">
        <v>1105</v>
      </c>
      <c r="B52" s="37">
        <v>8400000000</v>
      </c>
      <c r="C52" s="37">
        <v>8010117346.3999996</v>
      </c>
      <c r="D52" s="37">
        <v>7906169626</v>
      </c>
      <c r="E52" s="37">
        <v>920869626</v>
      </c>
      <c r="F52" s="37">
        <v>836002960</v>
      </c>
      <c r="G52" s="37">
        <v>0</v>
      </c>
      <c r="H52" s="37">
        <v>103947720.39999962</v>
      </c>
      <c r="I52" s="31">
        <v>1</v>
      </c>
      <c r="J52" s="31">
        <v>0.98702294661803958</v>
      </c>
    </row>
    <row r="53" spans="1:10" ht="57.6" x14ac:dyDescent="0.3">
      <c r="A53" s="19" t="s">
        <v>1368</v>
      </c>
      <c r="B53" s="38">
        <v>400000000</v>
      </c>
      <c r="C53" s="38">
        <v>241617346.40000001</v>
      </c>
      <c r="D53" s="38">
        <v>198516666</v>
      </c>
      <c r="E53" s="38">
        <v>198516666</v>
      </c>
      <c r="F53" s="38">
        <v>193150000</v>
      </c>
      <c r="G53" s="38">
        <v>0</v>
      </c>
      <c r="H53" s="38">
        <v>43100680.400000006</v>
      </c>
      <c r="I53" s="27">
        <v>1</v>
      </c>
      <c r="J53" s="27">
        <v>0.82161595166000045</v>
      </c>
    </row>
    <row r="54" spans="1:10" ht="57.6" x14ac:dyDescent="0.3">
      <c r="A54" s="19" t="s">
        <v>1369</v>
      </c>
      <c r="B54" s="38">
        <v>8000000000</v>
      </c>
      <c r="C54" s="38">
        <v>7768500000</v>
      </c>
      <c r="D54" s="38">
        <v>7707652960</v>
      </c>
      <c r="E54" s="38">
        <v>722352960</v>
      </c>
      <c r="F54" s="38">
        <v>642852960</v>
      </c>
      <c r="G54" s="38">
        <v>0</v>
      </c>
      <c r="H54" s="38">
        <v>60847040</v>
      </c>
      <c r="I54" s="27">
        <v>1</v>
      </c>
      <c r="J54" s="27">
        <v>0.99216746604878681</v>
      </c>
    </row>
    <row r="55" spans="1:10" ht="28.8" x14ac:dyDescent="0.3">
      <c r="A55" s="18" t="s">
        <v>1211</v>
      </c>
      <c r="B55" s="37">
        <v>43092000</v>
      </c>
      <c r="C55" s="37">
        <v>133092000</v>
      </c>
      <c r="D55" s="37">
        <v>72857100</v>
      </c>
      <c r="E55" s="37">
        <v>72857100</v>
      </c>
      <c r="F55" s="37">
        <v>43000000</v>
      </c>
      <c r="G55" s="37">
        <v>55092000</v>
      </c>
      <c r="H55" s="37">
        <v>60234900</v>
      </c>
      <c r="I55" s="31">
        <v>0.58606076999368861</v>
      </c>
      <c r="J55" s="31">
        <v>0.54741907853214322</v>
      </c>
    </row>
    <row r="56" spans="1:10" ht="72" x14ac:dyDescent="0.3">
      <c r="A56" s="19" t="s">
        <v>1370</v>
      </c>
      <c r="B56" s="38">
        <v>43092000</v>
      </c>
      <c r="C56" s="38">
        <v>133092000</v>
      </c>
      <c r="D56" s="38">
        <v>72857100</v>
      </c>
      <c r="E56" s="38">
        <v>72857100</v>
      </c>
      <c r="F56" s="38">
        <v>43000000</v>
      </c>
      <c r="G56" s="38">
        <v>55092000</v>
      </c>
      <c r="H56" s="38">
        <v>60234900</v>
      </c>
      <c r="I56" s="27">
        <v>0.58606076999368861</v>
      </c>
      <c r="J56" s="27">
        <v>0.54741907853214322</v>
      </c>
    </row>
    <row r="57" spans="1:10" ht="28.8" x14ac:dyDescent="0.3">
      <c r="A57" s="17" t="s">
        <v>1162</v>
      </c>
      <c r="B57" s="36">
        <v>2240000000</v>
      </c>
      <c r="C57" s="36">
        <v>1980400000</v>
      </c>
      <c r="D57" s="36">
        <v>1749032694.77</v>
      </c>
      <c r="E57" s="36">
        <v>1455304236.01</v>
      </c>
      <c r="F57" s="36">
        <v>1310839123.3399999</v>
      </c>
      <c r="G57" s="36">
        <v>133472485</v>
      </c>
      <c r="H57" s="36">
        <v>231367305.23000002</v>
      </c>
      <c r="I57" s="30">
        <v>0.93260326954150674</v>
      </c>
      <c r="J57" s="30">
        <v>0.88317142737325793</v>
      </c>
    </row>
    <row r="58" spans="1:10" ht="28.8" x14ac:dyDescent="0.3">
      <c r="A58" s="18" t="s">
        <v>1163</v>
      </c>
      <c r="B58" s="37">
        <v>615384616</v>
      </c>
      <c r="C58" s="37">
        <v>615384616</v>
      </c>
      <c r="D58" s="37">
        <v>538865005</v>
      </c>
      <c r="E58" s="37">
        <v>363166333</v>
      </c>
      <c r="F58" s="37">
        <v>325033000</v>
      </c>
      <c r="G58" s="37">
        <v>6466616</v>
      </c>
      <c r="H58" s="37">
        <v>76519611</v>
      </c>
      <c r="I58" s="31">
        <v>0.98949174901050829</v>
      </c>
      <c r="J58" s="31">
        <v>0.8756556322493444</v>
      </c>
    </row>
    <row r="59" spans="1:10" ht="28.8" x14ac:dyDescent="0.3">
      <c r="A59" s="19" t="s">
        <v>1371</v>
      </c>
      <c r="B59" s="38">
        <v>615384616</v>
      </c>
      <c r="C59" s="38">
        <v>615384616</v>
      </c>
      <c r="D59" s="38">
        <v>538865005</v>
      </c>
      <c r="E59" s="38">
        <v>363166333</v>
      </c>
      <c r="F59" s="38">
        <v>325033000</v>
      </c>
      <c r="G59" s="38">
        <v>6466616</v>
      </c>
      <c r="H59" s="38">
        <v>76519611</v>
      </c>
      <c r="I59" s="27">
        <v>0.98949174901050829</v>
      </c>
      <c r="J59" s="27">
        <v>0.8756556322493444</v>
      </c>
    </row>
    <row r="60" spans="1:10" x14ac:dyDescent="0.3">
      <c r="A60" s="18" t="s">
        <v>1212</v>
      </c>
      <c r="B60" s="37">
        <v>384615384</v>
      </c>
      <c r="C60" s="37">
        <v>384615384</v>
      </c>
      <c r="D60" s="37">
        <v>384147383.75999999</v>
      </c>
      <c r="E60" s="37">
        <v>266117597</v>
      </c>
      <c r="F60" s="37">
        <v>195722484</v>
      </c>
      <c r="G60" s="37">
        <v>0</v>
      </c>
      <c r="H60" s="37">
        <v>468000.24000000954</v>
      </c>
      <c r="I60" s="31">
        <v>1</v>
      </c>
      <c r="J60" s="31">
        <v>0.99878319937405313</v>
      </c>
    </row>
    <row r="61" spans="1:10" ht="28.8" x14ac:dyDescent="0.3">
      <c r="A61" s="19" t="s">
        <v>1372</v>
      </c>
      <c r="B61" s="38">
        <v>384615384</v>
      </c>
      <c r="C61" s="38">
        <v>384615384</v>
      </c>
      <c r="D61" s="38">
        <v>384147383.75999999</v>
      </c>
      <c r="E61" s="38">
        <v>266117597</v>
      </c>
      <c r="F61" s="38">
        <v>195722484</v>
      </c>
      <c r="G61" s="38">
        <v>0</v>
      </c>
      <c r="H61" s="38">
        <v>468000.24000000954</v>
      </c>
      <c r="I61" s="27">
        <v>1</v>
      </c>
      <c r="J61" s="27">
        <v>0.99878319937405313</v>
      </c>
    </row>
    <row r="62" spans="1:10" x14ac:dyDescent="0.3">
      <c r="A62" s="18" t="s">
        <v>1169</v>
      </c>
      <c r="B62" s="37">
        <v>640000000</v>
      </c>
      <c r="C62" s="37">
        <v>594000000</v>
      </c>
      <c r="D62" s="37">
        <v>593866668</v>
      </c>
      <c r="E62" s="37">
        <v>593866668</v>
      </c>
      <c r="F62" s="37">
        <v>575366668</v>
      </c>
      <c r="G62" s="37">
        <v>0</v>
      </c>
      <c r="H62" s="37">
        <v>133332</v>
      </c>
      <c r="I62" s="31">
        <v>1</v>
      </c>
      <c r="J62" s="31">
        <v>0.99977553535353536</v>
      </c>
    </row>
    <row r="63" spans="1:10" ht="28.8" x14ac:dyDescent="0.3">
      <c r="A63" s="19" t="s">
        <v>1373</v>
      </c>
      <c r="B63" s="38">
        <v>640000000</v>
      </c>
      <c r="C63" s="38">
        <v>594000000</v>
      </c>
      <c r="D63" s="38">
        <v>593866668</v>
      </c>
      <c r="E63" s="38">
        <v>593866668</v>
      </c>
      <c r="F63" s="38">
        <v>575366668</v>
      </c>
      <c r="G63" s="38">
        <v>0</v>
      </c>
      <c r="H63" s="38">
        <v>133332</v>
      </c>
      <c r="I63" s="27">
        <v>1</v>
      </c>
      <c r="J63" s="27">
        <v>0.99977553535353536</v>
      </c>
    </row>
    <row r="64" spans="1:10" ht="28.8" x14ac:dyDescent="0.3">
      <c r="A64" s="18" t="s">
        <v>1210</v>
      </c>
      <c r="B64" s="37">
        <v>600000000</v>
      </c>
      <c r="C64" s="37">
        <v>386400000</v>
      </c>
      <c r="D64" s="37">
        <v>232153638.00999999</v>
      </c>
      <c r="E64" s="37">
        <v>232153638.00999999</v>
      </c>
      <c r="F64" s="37">
        <v>214716971.34</v>
      </c>
      <c r="G64" s="37">
        <v>127005869</v>
      </c>
      <c r="H64" s="37">
        <v>154246361.99000001</v>
      </c>
      <c r="I64" s="31">
        <v>0.6713098628364389</v>
      </c>
      <c r="J64" s="31">
        <v>0.6008116925724637</v>
      </c>
    </row>
    <row r="65" spans="1:10" ht="43.2" x14ac:dyDescent="0.3">
      <c r="A65" s="19" t="s">
        <v>1374</v>
      </c>
      <c r="B65" s="38">
        <v>300000000</v>
      </c>
      <c r="C65" s="38">
        <v>300000000</v>
      </c>
      <c r="D65" s="38">
        <v>232153638.00999999</v>
      </c>
      <c r="E65" s="38">
        <v>232153638.00999999</v>
      </c>
      <c r="F65" s="38">
        <v>214716971.34</v>
      </c>
      <c r="G65" s="38">
        <v>40605869</v>
      </c>
      <c r="H65" s="38">
        <v>67846361.99000001</v>
      </c>
      <c r="I65" s="27">
        <v>0.86464710333333328</v>
      </c>
      <c r="J65" s="27">
        <v>0.77384546003333332</v>
      </c>
    </row>
    <row r="66" spans="1:10" ht="43.2" x14ac:dyDescent="0.3">
      <c r="A66" s="19" t="s">
        <v>1375</v>
      </c>
      <c r="B66" s="38">
        <v>300000000</v>
      </c>
      <c r="C66" s="38">
        <v>86400000</v>
      </c>
      <c r="D66" s="38">
        <v>0</v>
      </c>
      <c r="E66" s="38">
        <v>0</v>
      </c>
      <c r="F66" s="38">
        <v>0</v>
      </c>
      <c r="G66" s="38">
        <v>86400000</v>
      </c>
      <c r="H66" s="38">
        <v>86400000</v>
      </c>
      <c r="I66" s="27">
        <v>0</v>
      </c>
      <c r="J66" s="27">
        <v>0</v>
      </c>
    </row>
    <row r="67" spans="1:10" x14ac:dyDescent="0.3">
      <c r="A67" s="19" t="s">
        <v>1673</v>
      </c>
      <c r="B67" s="38">
        <v>185090029794</v>
      </c>
      <c r="C67" s="38">
        <v>251895221219.91998</v>
      </c>
      <c r="D67" s="38">
        <v>230776651963.20001</v>
      </c>
      <c r="E67" s="38">
        <v>187617744194.54004</v>
      </c>
      <c r="F67" s="38">
        <v>179378169093.01001</v>
      </c>
      <c r="G67" s="38">
        <v>19981953193.959991</v>
      </c>
      <c r="H67" s="38">
        <v>21118569256.719971</v>
      </c>
      <c r="I67" s="27">
        <v>0.92067355189515676</v>
      </c>
      <c r="J67" s="27">
        <v>0.91616129454761608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D0B7F-7DB3-4A65-8C1A-C4045D68A12B}">
  <dimension ref="A1:J23"/>
  <sheetViews>
    <sheetView topLeftCell="A19" workbookViewId="0">
      <selection activeCell="A31" sqref="A31"/>
    </sheetView>
  </sheetViews>
  <sheetFormatPr baseColWidth="10" defaultRowHeight="14.4" x14ac:dyDescent="0.3"/>
  <cols>
    <col min="1" max="1" width="54.5546875" style="14" customWidth="1"/>
    <col min="2" max="8" width="18.6640625" style="5" bestFit="1" customWidth="1"/>
    <col min="9" max="10" width="13.109375" style="8" bestFit="1" customWidth="1"/>
  </cols>
  <sheetData>
    <row r="1" spans="1:10" x14ac:dyDescent="0.3">
      <c r="A1" s="13" t="s">
        <v>2</v>
      </c>
      <c r="B1" s="33" t="s">
        <v>1660</v>
      </c>
      <c r="C1" s="33"/>
      <c r="D1" s="33"/>
      <c r="E1" s="33"/>
      <c r="F1" s="33"/>
      <c r="G1" s="33"/>
      <c r="H1" s="33"/>
      <c r="I1" s="27"/>
      <c r="J1" s="27"/>
    </row>
    <row r="3" spans="1:10" ht="28.8" x14ac:dyDescent="0.3">
      <c r="A3" s="13" t="s">
        <v>1672</v>
      </c>
      <c r="B3" s="33" t="s">
        <v>1666</v>
      </c>
      <c r="C3" s="33" t="s">
        <v>1667</v>
      </c>
      <c r="D3" s="33" t="s">
        <v>1669</v>
      </c>
      <c r="E3" s="33" t="s">
        <v>1668</v>
      </c>
      <c r="F3" s="33" t="s">
        <v>1670</v>
      </c>
      <c r="G3" s="33" t="s">
        <v>1642</v>
      </c>
      <c r="H3" s="33" t="s">
        <v>1671</v>
      </c>
      <c r="I3" s="27" t="s">
        <v>1643</v>
      </c>
      <c r="J3" s="27" t="s">
        <v>1644</v>
      </c>
    </row>
    <row r="4" spans="1:10" x14ac:dyDescent="0.3">
      <c r="A4" s="20" t="s">
        <v>1224</v>
      </c>
      <c r="B4" s="39">
        <v>17227928391</v>
      </c>
      <c r="C4" s="39">
        <v>56997881370.459999</v>
      </c>
      <c r="D4" s="39">
        <v>39752463553</v>
      </c>
      <c r="E4" s="39">
        <v>27291119425.27</v>
      </c>
      <c r="F4" s="39">
        <v>26658195474.780003</v>
      </c>
      <c r="G4" s="39">
        <v>13659510278.979996</v>
      </c>
      <c r="H4" s="39">
        <v>17245417817.460007</v>
      </c>
      <c r="I4" s="32">
        <v>0.76035056127438383</v>
      </c>
      <c r="J4" s="32">
        <v>0.69743756429519321</v>
      </c>
    </row>
    <row r="5" spans="1:10" x14ac:dyDescent="0.3">
      <c r="A5" s="16" t="s">
        <v>1026</v>
      </c>
      <c r="B5" s="35">
        <v>17077928391</v>
      </c>
      <c r="C5" s="35">
        <v>56847881370.459999</v>
      </c>
      <c r="D5" s="35">
        <v>39626205722</v>
      </c>
      <c r="E5" s="35">
        <v>27173090991.049999</v>
      </c>
      <c r="F5" s="35">
        <v>26540167040.560001</v>
      </c>
      <c r="G5" s="35">
        <v>13653430652.979996</v>
      </c>
      <c r="H5" s="35">
        <v>17221675648.460007</v>
      </c>
      <c r="I5" s="29">
        <v>0.75982516280589552</v>
      </c>
      <c r="J5" s="29">
        <v>0.69705686063774841</v>
      </c>
    </row>
    <row r="6" spans="1:10" x14ac:dyDescent="0.3">
      <c r="A6" s="17" t="s">
        <v>1098</v>
      </c>
      <c r="B6" s="36">
        <v>16277928391</v>
      </c>
      <c r="C6" s="36">
        <v>56688381370.459999</v>
      </c>
      <c r="D6" s="36">
        <v>39473700722</v>
      </c>
      <c r="E6" s="36">
        <v>27023390991.049999</v>
      </c>
      <c r="F6" s="36">
        <v>26392917040.560001</v>
      </c>
      <c r="G6" s="36">
        <v>13653430652.979996</v>
      </c>
      <c r="H6" s="36">
        <v>17214680648.460007</v>
      </c>
      <c r="I6" s="30">
        <v>0.75914940023151334</v>
      </c>
      <c r="J6" s="30">
        <v>0.69632788532165635</v>
      </c>
    </row>
    <row r="7" spans="1:10" x14ac:dyDescent="0.3">
      <c r="A7" s="18" t="s">
        <v>1139</v>
      </c>
      <c r="B7" s="37">
        <v>11816301750</v>
      </c>
      <c r="C7" s="37">
        <v>34287737554.040001</v>
      </c>
      <c r="D7" s="37">
        <v>20210930631.339996</v>
      </c>
      <c r="E7" s="37">
        <v>13225467525.889999</v>
      </c>
      <c r="F7" s="37">
        <v>12762834721.560001</v>
      </c>
      <c r="G7" s="37">
        <v>13653430651.029999</v>
      </c>
      <c r="H7" s="37">
        <v>14076806922.700005</v>
      </c>
      <c r="I7" s="31">
        <v>0.60179843801268063</v>
      </c>
      <c r="J7" s="31">
        <v>0.58945069208739953</v>
      </c>
    </row>
    <row r="8" spans="1:10" ht="57.6" x14ac:dyDescent="0.3">
      <c r="A8" s="19" t="s">
        <v>1376</v>
      </c>
      <c r="B8" s="38">
        <v>0</v>
      </c>
      <c r="C8" s="38">
        <v>774299317.32000005</v>
      </c>
      <c r="D8" s="38">
        <v>686586946</v>
      </c>
      <c r="E8" s="38">
        <v>78683160.450000003</v>
      </c>
      <c r="F8" s="38">
        <v>0</v>
      </c>
      <c r="G8" s="38">
        <v>0.69000005722045898</v>
      </c>
      <c r="H8" s="38">
        <v>87712371.320000052</v>
      </c>
      <c r="I8" s="27">
        <v>0.99999999910887172</v>
      </c>
      <c r="J8" s="27">
        <v>0.88672032977687543</v>
      </c>
    </row>
    <row r="9" spans="1:10" ht="57.6" x14ac:dyDescent="0.3">
      <c r="A9" s="19" t="s">
        <v>1377</v>
      </c>
      <c r="B9" s="38">
        <v>11816301750</v>
      </c>
      <c r="C9" s="38">
        <v>30832532005.440002</v>
      </c>
      <c r="D9" s="38">
        <v>16862028231.099998</v>
      </c>
      <c r="E9" s="38">
        <v>10956256213.639999</v>
      </c>
      <c r="F9" s="38">
        <v>10572306569.76</v>
      </c>
      <c r="G9" s="38">
        <v>13653430649.300003</v>
      </c>
      <c r="H9" s="38">
        <v>13970503774.340004</v>
      </c>
      <c r="I9" s="27">
        <v>0.55717452439874116</v>
      </c>
      <c r="J9" s="27">
        <v>0.54689080443101179</v>
      </c>
    </row>
    <row r="10" spans="1:10" ht="57.6" x14ac:dyDescent="0.3">
      <c r="A10" s="19" t="s">
        <v>1378</v>
      </c>
      <c r="B10" s="38">
        <v>0</v>
      </c>
      <c r="C10" s="38">
        <v>2680906231.2800002</v>
      </c>
      <c r="D10" s="38">
        <v>2662315454.2399998</v>
      </c>
      <c r="E10" s="38">
        <v>2190528151.8000002</v>
      </c>
      <c r="F10" s="38">
        <v>2190528151.8000002</v>
      </c>
      <c r="G10" s="38">
        <v>1.0400004386901855</v>
      </c>
      <c r="H10" s="38">
        <v>18590777.040000439</v>
      </c>
      <c r="I10" s="27">
        <v>0.99999999961207131</v>
      </c>
      <c r="J10" s="27">
        <v>0.99306548777309367</v>
      </c>
    </row>
    <row r="11" spans="1:10" ht="43.2" x14ac:dyDescent="0.3">
      <c r="A11" s="18" t="s">
        <v>1099</v>
      </c>
      <c r="B11" s="37">
        <v>2461626641</v>
      </c>
      <c r="C11" s="37">
        <v>4416227511.8099995</v>
      </c>
      <c r="D11" s="37">
        <v>3398601313.6500001</v>
      </c>
      <c r="E11" s="37">
        <v>3358974266.1500001</v>
      </c>
      <c r="F11" s="37">
        <v>3199083119.9899998</v>
      </c>
      <c r="G11" s="37">
        <v>0.68000030517578125</v>
      </c>
      <c r="H11" s="37">
        <v>1017626198.1599994</v>
      </c>
      <c r="I11" s="31">
        <v>0.99999999984602239</v>
      </c>
      <c r="J11" s="31">
        <v>0.76957115650436148</v>
      </c>
    </row>
    <row r="12" spans="1:10" ht="57.6" x14ac:dyDescent="0.3">
      <c r="A12" s="19" t="s">
        <v>1379</v>
      </c>
      <c r="B12" s="38">
        <v>2461626641</v>
      </c>
      <c r="C12" s="38">
        <v>4416227511.8099995</v>
      </c>
      <c r="D12" s="38">
        <v>3398601313.6500001</v>
      </c>
      <c r="E12" s="38">
        <v>3358974266.1500001</v>
      </c>
      <c r="F12" s="38">
        <v>3199083119.9899998</v>
      </c>
      <c r="G12" s="38">
        <v>0.68000030517578125</v>
      </c>
      <c r="H12" s="38">
        <v>1017626198.1599994</v>
      </c>
      <c r="I12" s="27">
        <v>0.99999999984602239</v>
      </c>
      <c r="J12" s="27">
        <v>0.76957115650436148</v>
      </c>
    </row>
    <row r="13" spans="1:10" ht="28.8" x14ac:dyDescent="0.3">
      <c r="A13" s="18" t="s">
        <v>1158</v>
      </c>
      <c r="B13" s="37">
        <v>2000000000</v>
      </c>
      <c r="C13" s="37">
        <v>17984416304.610001</v>
      </c>
      <c r="D13" s="37">
        <v>15864168777.01</v>
      </c>
      <c r="E13" s="37">
        <v>10438949199.01</v>
      </c>
      <c r="F13" s="37">
        <v>10430999199.01</v>
      </c>
      <c r="G13" s="37">
        <v>1.2700004577636719</v>
      </c>
      <c r="H13" s="37">
        <v>2120247527.6000004</v>
      </c>
      <c r="I13" s="31">
        <v>0.99999999992938327</v>
      </c>
      <c r="J13" s="31">
        <v>0.88210640302757504</v>
      </c>
    </row>
    <row r="14" spans="1:10" ht="43.2" x14ac:dyDescent="0.3">
      <c r="A14" s="19" t="s">
        <v>1380</v>
      </c>
      <c r="B14" s="38">
        <v>0</v>
      </c>
      <c r="C14" s="38">
        <v>644031299</v>
      </c>
      <c r="D14" s="38">
        <v>0</v>
      </c>
      <c r="E14" s="38">
        <v>0</v>
      </c>
      <c r="F14" s="38">
        <v>0</v>
      </c>
      <c r="G14" s="38">
        <v>0</v>
      </c>
      <c r="H14" s="38">
        <v>644031299</v>
      </c>
      <c r="I14" s="27">
        <v>1</v>
      </c>
      <c r="J14" s="27">
        <v>0</v>
      </c>
    </row>
    <row r="15" spans="1:10" ht="43.2" x14ac:dyDescent="0.3">
      <c r="A15" s="19" t="s">
        <v>1381</v>
      </c>
      <c r="B15" s="38">
        <v>2000000000</v>
      </c>
      <c r="C15" s="38">
        <v>17340385005.610001</v>
      </c>
      <c r="D15" s="38">
        <v>15864168777.01</v>
      </c>
      <c r="E15" s="38">
        <v>10438949199.01</v>
      </c>
      <c r="F15" s="38">
        <v>10430999199.01</v>
      </c>
      <c r="G15" s="38">
        <v>1.2700004577636719</v>
      </c>
      <c r="H15" s="38">
        <v>1476216228.6000004</v>
      </c>
      <c r="I15" s="27">
        <v>0.99999999992676059</v>
      </c>
      <c r="J15" s="27">
        <v>0.9148683130090588</v>
      </c>
    </row>
    <row r="16" spans="1:10" ht="28.8" x14ac:dyDescent="0.3">
      <c r="A16" s="17" t="s">
        <v>1091</v>
      </c>
      <c r="B16" s="36">
        <v>800000000</v>
      </c>
      <c r="C16" s="36">
        <v>159500000</v>
      </c>
      <c r="D16" s="36">
        <v>152505000</v>
      </c>
      <c r="E16" s="36">
        <v>149700000</v>
      </c>
      <c r="F16" s="36">
        <v>147250000</v>
      </c>
      <c r="G16" s="36">
        <v>0</v>
      </c>
      <c r="H16" s="36">
        <v>6995000</v>
      </c>
      <c r="I16" s="30">
        <v>1</v>
      </c>
      <c r="J16" s="30">
        <v>0.95614420062695926</v>
      </c>
    </row>
    <row r="17" spans="1:10" ht="28.8" x14ac:dyDescent="0.3">
      <c r="A17" s="18" t="s">
        <v>1092</v>
      </c>
      <c r="B17" s="37">
        <v>800000000</v>
      </c>
      <c r="C17" s="37">
        <v>159500000</v>
      </c>
      <c r="D17" s="37">
        <v>152505000</v>
      </c>
      <c r="E17" s="37">
        <v>149700000</v>
      </c>
      <c r="F17" s="37">
        <v>147250000</v>
      </c>
      <c r="G17" s="37">
        <v>0</v>
      </c>
      <c r="H17" s="37">
        <v>6995000</v>
      </c>
      <c r="I17" s="31">
        <v>1</v>
      </c>
      <c r="J17" s="31">
        <v>0.95614420062695926</v>
      </c>
    </row>
    <row r="18" spans="1:10" ht="72" x14ac:dyDescent="0.3">
      <c r="A18" s="19" t="s">
        <v>1382</v>
      </c>
      <c r="B18" s="38">
        <v>800000000</v>
      </c>
      <c r="C18" s="38">
        <v>159500000</v>
      </c>
      <c r="D18" s="38">
        <v>152505000</v>
      </c>
      <c r="E18" s="38">
        <v>149700000</v>
      </c>
      <c r="F18" s="38">
        <v>147250000</v>
      </c>
      <c r="G18" s="38">
        <v>0</v>
      </c>
      <c r="H18" s="38">
        <v>6995000</v>
      </c>
      <c r="I18" s="27">
        <v>1</v>
      </c>
      <c r="J18" s="27">
        <v>0.95614420062695926</v>
      </c>
    </row>
    <row r="19" spans="1:10" ht="28.8" x14ac:dyDescent="0.3">
      <c r="A19" s="16" t="s">
        <v>1060</v>
      </c>
      <c r="B19" s="35">
        <v>150000000</v>
      </c>
      <c r="C19" s="35">
        <v>150000000</v>
      </c>
      <c r="D19" s="35">
        <v>126257831</v>
      </c>
      <c r="E19" s="35">
        <v>118028434.22</v>
      </c>
      <c r="F19" s="35">
        <v>118028434.22</v>
      </c>
      <c r="G19" s="35">
        <v>6079626</v>
      </c>
      <c r="H19" s="35">
        <v>23742169</v>
      </c>
      <c r="I19" s="29">
        <v>0.95946916000000004</v>
      </c>
      <c r="J19" s="29">
        <v>0.84171887333333328</v>
      </c>
    </row>
    <row r="20" spans="1:10" ht="28.8" x14ac:dyDescent="0.3">
      <c r="A20" s="17" t="s">
        <v>1127</v>
      </c>
      <c r="B20" s="36">
        <v>150000000</v>
      </c>
      <c r="C20" s="36">
        <v>150000000</v>
      </c>
      <c r="D20" s="36">
        <v>126257831</v>
      </c>
      <c r="E20" s="36">
        <v>118028434.22</v>
      </c>
      <c r="F20" s="36">
        <v>118028434.22</v>
      </c>
      <c r="G20" s="36">
        <v>6079626</v>
      </c>
      <c r="H20" s="36">
        <v>23742169</v>
      </c>
      <c r="I20" s="30">
        <v>0.95946916000000004</v>
      </c>
      <c r="J20" s="30">
        <v>0.84171887333333328</v>
      </c>
    </row>
    <row r="21" spans="1:10" ht="43.2" x14ac:dyDescent="0.3">
      <c r="A21" s="18" t="s">
        <v>1128</v>
      </c>
      <c r="B21" s="37">
        <v>150000000</v>
      </c>
      <c r="C21" s="37">
        <v>150000000</v>
      </c>
      <c r="D21" s="37">
        <v>126257831</v>
      </c>
      <c r="E21" s="37">
        <v>118028434.22</v>
      </c>
      <c r="F21" s="37">
        <v>118028434.22</v>
      </c>
      <c r="G21" s="37">
        <v>6079626</v>
      </c>
      <c r="H21" s="37">
        <v>23742169</v>
      </c>
      <c r="I21" s="31">
        <v>0.95946916000000004</v>
      </c>
      <c r="J21" s="31">
        <v>0.84171887333333328</v>
      </c>
    </row>
    <row r="22" spans="1:10" ht="43.2" x14ac:dyDescent="0.3">
      <c r="A22" s="19" t="s">
        <v>1383</v>
      </c>
      <c r="B22" s="38">
        <v>150000000</v>
      </c>
      <c r="C22" s="38">
        <v>150000000</v>
      </c>
      <c r="D22" s="38">
        <v>126257831</v>
      </c>
      <c r="E22" s="38">
        <v>118028434.22</v>
      </c>
      <c r="F22" s="38">
        <v>118028434.22</v>
      </c>
      <c r="G22" s="38">
        <v>6079626</v>
      </c>
      <c r="H22" s="38">
        <v>23742169</v>
      </c>
      <c r="I22" s="27">
        <v>0.95946916000000004</v>
      </c>
      <c r="J22" s="27">
        <v>0.84171887333333328</v>
      </c>
    </row>
    <row r="23" spans="1:10" x14ac:dyDescent="0.3">
      <c r="A23" s="19" t="s">
        <v>1673</v>
      </c>
      <c r="B23" s="38">
        <v>17227928391</v>
      </c>
      <c r="C23" s="38">
        <v>56997881370.459999</v>
      </c>
      <c r="D23" s="38">
        <v>39752463553</v>
      </c>
      <c r="E23" s="38">
        <v>27291119425.27</v>
      </c>
      <c r="F23" s="38">
        <v>26658195474.780003</v>
      </c>
      <c r="G23" s="38">
        <v>13659510278.979996</v>
      </c>
      <c r="H23" s="38">
        <v>17245417817.460007</v>
      </c>
      <c r="I23" s="27">
        <v>0.76035056127438383</v>
      </c>
      <c r="J23" s="27">
        <v>0.69743756429519321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969BB-FD42-494C-B887-B9E929C2F9D4}">
  <dimension ref="A1:J46"/>
  <sheetViews>
    <sheetView topLeftCell="B1" workbookViewId="0">
      <selection activeCell="I6" sqref="I6"/>
    </sheetView>
  </sheetViews>
  <sheetFormatPr baseColWidth="10" defaultRowHeight="14.4" x14ac:dyDescent="0.3"/>
  <cols>
    <col min="1" max="1" width="73" style="14" customWidth="1"/>
    <col min="2" max="6" width="19.6640625" style="5" bestFit="1" customWidth="1"/>
    <col min="7" max="8" width="17.6640625" style="5" bestFit="1" customWidth="1"/>
    <col min="9" max="10" width="13" style="8" bestFit="1" customWidth="1"/>
  </cols>
  <sheetData>
    <row r="1" spans="1:10" x14ac:dyDescent="0.3">
      <c r="A1" s="13" t="s">
        <v>2</v>
      </c>
      <c r="B1" s="33" t="s">
        <v>1659</v>
      </c>
      <c r="C1" s="33"/>
      <c r="D1" s="33"/>
      <c r="E1" s="33"/>
      <c r="F1" s="33"/>
      <c r="G1" s="33"/>
      <c r="H1" s="33"/>
      <c r="I1" s="27"/>
      <c r="J1" s="27"/>
    </row>
    <row r="3" spans="1:10" ht="28.8" x14ac:dyDescent="0.3">
      <c r="A3" s="13" t="s">
        <v>1672</v>
      </c>
      <c r="B3" s="33" t="s">
        <v>1666</v>
      </c>
      <c r="C3" s="33" t="s">
        <v>1667</v>
      </c>
      <c r="D3" s="33" t="s">
        <v>1669</v>
      </c>
      <c r="E3" s="33" t="s">
        <v>1668</v>
      </c>
      <c r="F3" s="33" t="s">
        <v>1670</v>
      </c>
      <c r="G3" s="33" t="s">
        <v>1642</v>
      </c>
      <c r="H3" s="33" t="s">
        <v>1671</v>
      </c>
      <c r="I3" s="27" t="s">
        <v>1643</v>
      </c>
      <c r="J3" s="27" t="s">
        <v>1644</v>
      </c>
    </row>
    <row r="4" spans="1:10" x14ac:dyDescent="0.3">
      <c r="A4" s="20" t="s">
        <v>1225</v>
      </c>
      <c r="B4" s="39">
        <v>597002921974</v>
      </c>
      <c r="C4" s="39">
        <v>646499184912.19995</v>
      </c>
      <c r="D4" s="39">
        <v>639891862677.09973</v>
      </c>
      <c r="E4" s="39">
        <v>605113042558.24988</v>
      </c>
      <c r="F4" s="39">
        <v>583976950493.16992</v>
      </c>
      <c r="G4" s="39">
        <v>2356764964.8997803</v>
      </c>
      <c r="H4" s="39">
        <v>6607322235.1000977</v>
      </c>
      <c r="I4" s="32">
        <v>0.9963545739578622</v>
      </c>
      <c r="J4" s="32">
        <v>0.98977984444636624</v>
      </c>
    </row>
    <row r="5" spans="1:10" x14ac:dyDescent="0.3">
      <c r="A5" s="16" t="s">
        <v>1030</v>
      </c>
      <c r="B5" s="35">
        <v>597002921974</v>
      </c>
      <c r="C5" s="35">
        <v>646499184912.19995</v>
      </c>
      <c r="D5" s="35">
        <v>639891862677.09973</v>
      </c>
      <c r="E5" s="35">
        <v>605113042558.24988</v>
      </c>
      <c r="F5" s="35">
        <v>583976950493.16992</v>
      </c>
      <c r="G5" s="35">
        <v>2356764964.8997803</v>
      </c>
      <c r="H5" s="35">
        <v>6607322235.1000977</v>
      </c>
      <c r="I5" s="29">
        <v>0.9963545739578622</v>
      </c>
      <c r="J5" s="29">
        <v>0.98977984444636624</v>
      </c>
    </row>
    <row r="6" spans="1:10" ht="28.8" x14ac:dyDescent="0.3">
      <c r="A6" s="17" t="s">
        <v>1038</v>
      </c>
      <c r="B6" s="36">
        <v>597002921974</v>
      </c>
      <c r="C6" s="36">
        <v>646499184912.19995</v>
      </c>
      <c r="D6" s="36">
        <v>639891862677.09973</v>
      </c>
      <c r="E6" s="36">
        <v>605113042558.24988</v>
      </c>
      <c r="F6" s="36">
        <v>583976950493.16992</v>
      </c>
      <c r="G6" s="36">
        <v>2356764964.8997803</v>
      </c>
      <c r="H6" s="36">
        <v>6607322235.1000977</v>
      </c>
      <c r="I6" s="30">
        <v>0.9963545739578622</v>
      </c>
      <c r="J6" s="30">
        <v>0.98977984444636624</v>
      </c>
    </row>
    <row r="7" spans="1:10" ht="28.8" x14ac:dyDescent="0.3">
      <c r="A7" s="18" t="s">
        <v>1039</v>
      </c>
      <c r="B7" s="37">
        <v>573948704969</v>
      </c>
      <c r="C7" s="37">
        <v>616655764785.44995</v>
      </c>
      <c r="D7" s="37">
        <v>614636275986.30981</v>
      </c>
      <c r="E7" s="37">
        <v>593370039902.62988</v>
      </c>
      <c r="F7" s="37">
        <v>573442272062.29993</v>
      </c>
      <c r="G7" s="37">
        <v>1763351218.3098145</v>
      </c>
      <c r="H7" s="37">
        <v>2019488799.1400146</v>
      </c>
      <c r="I7" s="31">
        <v>0.99714046098486842</v>
      </c>
      <c r="J7" s="31">
        <v>0.99672509540254983</v>
      </c>
    </row>
    <row r="8" spans="1:10" ht="43.2" x14ac:dyDescent="0.3">
      <c r="A8" s="19" t="s">
        <v>1384</v>
      </c>
      <c r="B8" s="38">
        <v>410194887080</v>
      </c>
      <c r="C8" s="38">
        <v>417988242761.20001</v>
      </c>
      <c r="D8" s="38">
        <v>417988242761</v>
      </c>
      <c r="E8" s="38">
        <v>417885866046</v>
      </c>
      <c r="F8" s="38">
        <v>408368980533</v>
      </c>
      <c r="G8" s="38">
        <v>0.20001220703125</v>
      </c>
      <c r="H8" s="38">
        <v>0.20001220703125</v>
      </c>
      <c r="I8" s="27">
        <v>0.99999999999952149</v>
      </c>
      <c r="J8" s="27">
        <v>0.99999999999952149</v>
      </c>
    </row>
    <row r="9" spans="1:10" ht="43.2" x14ac:dyDescent="0.3">
      <c r="A9" s="19" t="s">
        <v>1385</v>
      </c>
      <c r="B9" s="38">
        <v>0</v>
      </c>
      <c r="C9" s="38">
        <v>5580627174.8000002</v>
      </c>
      <c r="D9" s="38">
        <v>5580627174</v>
      </c>
      <c r="E9" s="38">
        <v>5580627174</v>
      </c>
      <c r="F9" s="38">
        <v>5580627174</v>
      </c>
      <c r="G9" s="38">
        <v>0.80000019073486328</v>
      </c>
      <c r="H9" s="38">
        <v>0.80000019073486328</v>
      </c>
      <c r="I9" s="27">
        <v>0.99999999985664689</v>
      </c>
      <c r="J9" s="27">
        <v>0.99999999985664689</v>
      </c>
    </row>
    <row r="10" spans="1:10" ht="28.8" x14ac:dyDescent="0.3">
      <c r="A10" s="19" t="s">
        <v>1386</v>
      </c>
      <c r="B10" s="38">
        <v>54998764487</v>
      </c>
      <c r="C10" s="38">
        <v>64932777750.880005</v>
      </c>
      <c r="D10" s="38">
        <v>64673223341.43</v>
      </c>
      <c r="E10" s="38">
        <v>62492913530.130005</v>
      </c>
      <c r="F10" s="38">
        <v>57866128564.130005</v>
      </c>
      <c r="G10" s="38">
        <v>216200065.38999939</v>
      </c>
      <c r="H10" s="38">
        <v>259554409.45000458</v>
      </c>
      <c r="I10" s="27">
        <v>0.99667040171576415</v>
      </c>
      <c r="J10" s="27">
        <v>0.99600272129977552</v>
      </c>
    </row>
    <row r="11" spans="1:10" ht="28.8" x14ac:dyDescent="0.3">
      <c r="A11" s="19" t="s">
        <v>1387</v>
      </c>
      <c r="B11" s="38">
        <v>73826478309</v>
      </c>
      <c r="C11" s="38">
        <v>73156012422.020004</v>
      </c>
      <c r="D11" s="38">
        <v>72957530308.320007</v>
      </c>
      <c r="E11" s="38">
        <v>72919945657.020004</v>
      </c>
      <c r="F11" s="38">
        <v>71562919761.020004</v>
      </c>
      <c r="G11" s="38">
        <v>15544430</v>
      </c>
      <c r="H11" s="38">
        <v>198482113.69999695</v>
      </c>
      <c r="I11" s="27">
        <v>0.999787516712771</v>
      </c>
      <c r="J11" s="27">
        <v>0.99728686532892197</v>
      </c>
    </row>
    <row r="12" spans="1:10" ht="43.2" x14ac:dyDescent="0.3">
      <c r="A12" s="19" t="s">
        <v>1388</v>
      </c>
      <c r="B12" s="38">
        <v>0</v>
      </c>
      <c r="C12" s="38">
        <v>2429850000</v>
      </c>
      <c r="D12" s="38">
        <v>1838295951.6500001</v>
      </c>
      <c r="E12" s="38">
        <v>1744635616.6700001</v>
      </c>
      <c r="F12" s="38">
        <v>0</v>
      </c>
      <c r="G12" s="38">
        <v>591554003.95000005</v>
      </c>
      <c r="H12" s="38">
        <v>591554048.3499999</v>
      </c>
      <c r="I12" s="27">
        <v>0.75654711033602895</v>
      </c>
      <c r="J12" s="27">
        <v>0.75654709206329618</v>
      </c>
    </row>
    <row r="13" spans="1:10" ht="43.2" x14ac:dyDescent="0.3">
      <c r="A13" s="19" t="s">
        <v>1389</v>
      </c>
      <c r="B13" s="38">
        <v>3853744496</v>
      </c>
      <c r="C13" s="38">
        <v>4551179315.4799995</v>
      </c>
      <c r="D13" s="38">
        <v>4551179271.0799999</v>
      </c>
      <c r="E13" s="38">
        <v>3848801767.3299999</v>
      </c>
      <c r="F13" s="38">
        <v>3519283701</v>
      </c>
      <c r="G13" s="38">
        <v>0</v>
      </c>
      <c r="H13" s="38">
        <v>44.399999618530273</v>
      </c>
      <c r="I13" s="27">
        <v>1</v>
      </c>
      <c r="J13" s="27">
        <v>0.99999999024428687</v>
      </c>
    </row>
    <row r="14" spans="1:10" ht="43.2" x14ac:dyDescent="0.3">
      <c r="A14" s="19" t="s">
        <v>1390</v>
      </c>
      <c r="B14" s="38">
        <v>0</v>
      </c>
      <c r="C14" s="38">
        <v>9734352</v>
      </c>
      <c r="D14" s="38">
        <v>6057084</v>
      </c>
      <c r="E14" s="38">
        <v>6057084</v>
      </c>
      <c r="F14" s="38">
        <v>6057084</v>
      </c>
      <c r="G14" s="38">
        <v>3677268</v>
      </c>
      <c r="H14" s="38">
        <v>3677268</v>
      </c>
      <c r="I14" s="27">
        <v>0.6222380287871242</v>
      </c>
      <c r="J14" s="27">
        <v>0.6222380287871242</v>
      </c>
    </row>
    <row r="15" spans="1:10" ht="43.2" x14ac:dyDescent="0.3">
      <c r="A15" s="19" t="s">
        <v>1391</v>
      </c>
      <c r="B15" s="38">
        <v>1638009053</v>
      </c>
      <c r="C15" s="38">
        <v>1638009053</v>
      </c>
      <c r="D15" s="38">
        <v>1479631323.48</v>
      </c>
      <c r="E15" s="38">
        <v>1466858649.48</v>
      </c>
      <c r="F15" s="38">
        <v>1466814449.48</v>
      </c>
      <c r="G15" s="38">
        <v>158377729.51999998</v>
      </c>
      <c r="H15" s="38">
        <v>158377729.51999998</v>
      </c>
      <c r="I15" s="27">
        <v>0.9033108338260204</v>
      </c>
      <c r="J15" s="27">
        <v>0.9033108338260204</v>
      </c>
    </row>
    <row r="16" spans="1:10" ht="28.8" x14ac:dyDescent="0.3">
      <c r="A16" s="19" t="s">
        <v>1392</v>
      </c>
      <c r="B16" s="38">
        <v>6061600000</v>
      </c>
      <c r="C16" s="38">
        <v>6839435621.1000004</v>
      </c>
      <c r="D16" s="38">
        <v>6761255595.8799992</v>
      </c>
      <c r="E16" s="38">
        <v>4889352933.9899998</v>
      </c>
      <c r="F16" s="38">
        <v>4011003909.2699995</v>
      </c>
      <c r="G16" s="38">
        <v>78180023.989999771</v>
      </c>
      <c r="H16" s="38">
        <v>78180025.220001221</v>
      </c>
      <c r="I16" s="27">
        <v>0.98856922876080444</v>
      </c>
      <c r="J16" s="27">
        <v>0.98856922858096474</v>
      </c>
    </row>
    <row r="17" spans="1:10" ht="43.2" x14ac:dyDescent="0.3">
      <c r="A17" s="19" t="s">
        <v>1393</v>
      </c>
      <c r="B17" s="38">
        <v>2841232833</v>
      </c>
      <c r="C17" s="38">
        <v>1700325168.8</v>
      </c>
      <c r="D17" s="38">
        <v>1700325167.99</v>
      </c>
      <c r="E17" s="38">
        <v>1684475842.99</v>
      </c>
      <c r="F17" s="38">
        <v>1654358929.6600001</v>
      </c>
      <c r="G17" s="38">
        <v>0</v>
      </c>
      <c r="H17" s="38">
        <v>0.80999994277954102</v>
      </c>
      <c r="I17" s="27">
        <v>1</v>
      </c>
      <c r="J17" s="27">
        <v>0.99999999952362062</v>
      </c>
    </row>
    <row r="18" spans="1:10" ht="43.2" x14ac:dyDescent="0.3">
      <c r="A18" s="19" t="s">
        <v>1394</v>
      </c>
      <c r="B18" s="38">
        <v>905827769</v>
      </c>
      <c r="C18" s="38">
        <v>868296649.33000004</v>
      </c>
      <c r="D18" s="38">
        <v>868296649.33000004</v>
      </c>
      <c r="E18" s="38">
        <v>864821225.33000004</v>
      </c>
      <c r="F18" s="38">
        <v>859473218.33000004</v>
      </c>
      <c r="G18" s="38">
        <v>0</v>
      </c>
      <c r="H18" s="38">
        <v>0</v>
      </c>
      <c r="I18" s="27">
        <v>1</v>
      </c>
      <c r="J18" s="27">
        <v>1</v>
      </c>
    </row>
    <row r="19" spans="1:10" ht="28.8" x14ac:dyDescent="0.3">
      <c r="A19" s="19" t="s">
        <v>1395</v>
      </c>
      <c r="B19" s="38">
        <v>19628160942</v>
      </c>
      <c r="C19" s="38">
        <v>19745100026</v>
      </c>
      <c r="D19" s="38">
        <v>19015444692.200001</v>
      </c>
      <c r="E19" s="38">
        <v>12197097187.35</v>
      </c>
      <c r="F19" s="38">
        <v>10758037550.07</v>
      </c>
      <c r="G19" s="38">
        <v>699817696.45999908</v>
      </c>
      <c r="H19" s="38">
        <v>729655333.79999924</v>
      </c>
      <c r="I19" s="27">
        <v>0.96455739927685902</v>
      </c>
      <c r="J19" s="27">
        <v>0.96304625791516874</v>
      </c>
    </row>
    <row r="20" spans="1:10" ht="28.8" x14ac:dyDescent="0.3">
      <c r="A20" s="19" t="s">
        <v>1396</v>
      </c>
      <c r="B20" s="38">
        <v>0</v>
      </c>
      <c r="C20" s="38">
        <v>17216174490.84</v>
      </c>
      <c r="D20" s="38">
        <v>17216166665.949997</v>
      </c>
      <c r="E20" s="38">
        <v>7788587188.3400002</v>
      </c>
      <c r="F20" s="38">
        <v>7788587188.3400002</v>
      </c>
      <c r="G20" s="38">
        <v>0</v>
      </c>
      <c r="H20" s="38">
        <v>7824.8900032043457</v>
      </c>
      <c r="I20" s="27">
        <v>1</v>
      </c>
      <c r="J20" s="27">
        <v>0.99999954549194381</v>
      </c>
    </row>
    <row r="21" spans="1:10" ht="28.8" x14ac:dyDescent="0.3">
      <c r="A21" s="18" t="s">
        <v>1103</v>
      </c>
      <c r="B21" s="37">
        <v>631022404</v>
      </c>
      <c r="C21" s="37">
        <v>631022404</v>
      </c>
      <c r="D21" s="37">
        <v>598607935.83999991</v>
      </c>
      <c r="E21" s="37">
        <v>455760325</v>
      </c>
      <c r="F21" s="37">
        <v>455760325</v>
      </c>
      <c r="G21" s="37">
        <v>29720911</v>
      </c>
      <c r="H21" s="37">
        <v>32414468.160000086</v>
      </c>
      <c r="I21" s="31">
        <v>0.95290038703602031</v>
      </c>
      <c r="J21" s="31">
        <v>0.94863182677108226</v>
      </c>
    </row>
    <row r="22" spans="1:10" ht="57.6" x14ac:dyDescent="0.3">
      <c r="A22" s="19" t="s">
        <v>1397</v>
      </c>
      <c r="B22" s="38">
        <v>176686273.12</v>
      </c>
      <c r="C22" s="38">
        <v>165773623.12</v>
      </c>
      <c r="D22" s="38">
        <v>163672541</v>
      </c>
      <c r="E22" s="38">
        <v>162130800</v>
      </c>
      <c r="F22" s="38">
        <v>162130800</v>
      </c>
      <c r="G22" s="38">
        <v>2101082.1200000048</v>
      </c>
      <c r="H22" s="38">
        <v>2101082.1200000048</v>
      </c>
      <c r="I22" s="27">
        <v>0.98732559450378254</v>
      </c>
      <c r="J22" s="27">
        <v>0.98732559450378254</v>
      </c>
    </row>
    <row r="23" spans="1:10" ht="43.2" x14ac:dyDescent="0.3">
      <c r="A23" s="19" t="s">
        <v>1398</v>
      </c>
      <c r="B23" s="38">
        <v>315511202</v>
      </c>
      <c r="C23" s="38">
        <v>315511202</v>
      </c>
      <c r="D23" s="38">
        <v>312817644.83999997</v>
      </c>
      <c r="E23" s="38">
        <v>171511775</v>
      </c>
      <c r="F23" s="38">
        <v>171511775</v>
      </c>
      <c r="G23" s="38">
        <v>0</v>
      </c>
      <c r="H23" s="38">
        <v>2693557.1600000262</v>
      </c>
      <c r="I23" s="27">
        <v>1</v>
      </c>
      <c r="J23" s="27">
        <v>0.99146287947012413</v>
      </c>
    </row>
    <row r="24" spans="1:10" ht="43.2" x14ac:dyDescent="0.3">
      <c r="A24" s="19" t="s">
        <v>1399</v>
      </c>
      <c r="B24" s="38">
        <v>138824928.88</v>
      </c>
      <c r="C24" s="38">
        <v>149737578.88</v>
      </c>
      <c r="D24" s="38">
        <v>122117750</v>
      </c>
      <c r="E24" s="38">
        <v>122117750</v>
      </c>
      <c r="F24" s="38">
        <v>122117750</v>
      </c>
      <c r="G24" s="38">
        <v>27619828.879999995</v>
      </c>
      <c r="H24" s="38">
        <v>27619828.879999995</v>
      </c>
      <c r="I24" s="27">
        <v>0.81554510840505456</v>
      </c>
      <c r="J24" s="27">
        <v>0.81554510840505456</v>
      </c>
    </row>
    <row r="25" spans="1:10" x14ac:dyDescent="0.3">
      <c r="A25" s="18" t="s">
        <v>1088</v>
      </c>
      <c r="B25" s="37">
        <v>1413376000</v>
      </c>
      <c r="C25" s="37">
        <v>1011981000.12</v>
      </c>
      <c r="D25" s="37">
        <v>907862692</v>
      </c>
      <c r="E25" s="37">
        <v>904062692</v>
      </c>
      <c r="F25" s="37">
        <v>864062692</v>
      </c>
      <c r="G25" s="37">
        <v>2019180.1200000048</v>
      </c>
      <c r="H25" s="37">
        <v>104118308.12</v>
      </c>
      <c r="I25" s="31">
        <v>0.99800472526681772</v>
      </c>
      <c r="J25" s="31">
        <v>0.89711436468900729</v>
      </c>
    </row>
    <row r="26" spans="1:10" ht="43.2" x14ac:dyDescent="0.3">
      <c r="A26" s="19" t="s">
        <v>1400</v>
      </c>
      <c r="B26" s="38">
        <v>1330876000</v>
      </c>
      <c r="C26" s="38">
        <v>929481000.12</v>
      </c>
      <c r="D26" s="38">
        <v>826062692</v>
      </c>
      <c r="E26" s="38">
        <v>826062692</v>
      </c>
      <c r="F26" s="38">
        <v>786062692</v>
      </c>
      <c r="G26" s="38">
        <v>1319180.1200000048</v>
      </c>
      <c r="H26" s="38">
        <v>103418308.12</v>
      </c>
      <c r="I26" s="27">
        <v>0.99858073471127473</v>
      </c>
      <c r="J26" s="27">
        <v>0.88873542535388217</v>
      </c>
    </row>
    <row r="27" spans="1:10" ht="28.8" x14ac:dyDescent="0.3">
      <c r="A27" s="19" t="s">
        <v>1401</v>
      </c>
      <c r="B27" s="38">
        <v>82500000</v>
      </c>
      <c r="C27" s="38">
        <v>82500000</v>
      </c>
      <c r="D27" s="38">
        <v>81800000</v>
      </c>
      <c r="E27" s="38">
        <v>78000000</v>
      </c>
      <c r="F27" s="38">
        <v>78000000</v>
      </c>
      <c r="G27" s="38">
        <v>700000</v>
      </c>
      <c r="H27" s="38">
        <v>700000</v>
      </c>
      <c r="I27" s="27">
        <v>0.99151515151515146</v>
      </c>
      <c r="J27" s="27">
        <v>0.99151515151515146</v>
      </c>
    </row>
    <row r="28" spans="1:10" x14ac:dyDescent="0.3">
      <c r="A28" s="18" t="s">
        <v>1087</v>
      </c>
      <c r="B28" s="37">
        <v>4858785746</v>
      </c>
      <c r="C28" s="37">
        <v>1602684158</v>
      </c>
      <c r="D28" s="37">
        <v>1251795119</v>
      </c>
      <c r="E28" s="37">
        <v>1251795119</v>
      </c>
      <c r="F28" s="37">
        <v>639424000</v>
      </c>
      <c r="G28" s="37">
        <v>10715704</v>
      </c>
      <c r="H28" s="37">
        <v>350889039</v>
      </c>
      <c r="I28" s="31">
        <v>0.99331390159033439</v>
      </c>
      <c r="J28" s="31">
        <v>0.781061641341812</v>
      </c>
    </row>
    <row r="29" spans="1:10" ht="28.8" x14ac:dyDescent="0.3">
      <c r="A29" s="19" t="s">
        <v>1402</v>
      </c>
      <c r="B29" s="38">
        <v>750785746</v>
      </c>
      <c r="C29" s="38">
        <v>589099714</v>
      </c>
      <c r="D29" s="38">
        <v>384912000</v>
      </c>
      <c r="E29" s="38">
        <v>384912000</v>
      </c>
      <c r="F29" s="38">
        <v>340424000</v>
      </c>
      <c r="G29" s="38">
        <v>2012</v>
      </c>
      <c r="H29" s="38">
        <v>204187714</v>
      </c>
      <c r="I29" s="27">
        <v>0.99999658461894958</v>
      </c>
      <c r="J29" s="27">
        <v>0.65339023403430141</v>
      </c>
    </row>
    <row r="30" spans="1:10" ht="43.2" x14ac:dyDescent="0.3">
      <c r="A30" s="19" t="s">
        <v>1403</v>
      </c>
      <c r="B30" s="38">
        <v>4108000000</v>
      </c>
      <c r="C30" s="38">
        <v>1013584444</v>
      </c>
      <c r="D30" s="38">
        <v>866883119</v>
      </c>
      <c r="E30" s="38">
        <v>866883119</v>
      </c>
      <c r="F30" s="38">
        <v>299000000</v>
      </c>
      <c r="G30" s="38">
        <v>10713692</v>
      </c>
      <c r="H30" s="38">
        <v>146701325</v>
      </c>
      <c r="I30" s="27">
        <v>0.98942989697264927</v>
      </c>
      <c r="J30" s="27">
        <v>0.85526482192143827</v>
      </c>
    </row>
    <row r="31" spans="1:10" x14ac:dyDescent="0.3">
      <c r="A31" s="18" t="s">
        <v>1100</v>
      </c>
      <c r="B31" s="37">
        <v>1185693727</v>
      </c>
      <c r="C31" s="37">
        <v>1748693727</v>
      </c>
      <c r="D31" s="37">
        <v>1738817734</v>
      </c>
      <c r="E31" s="37">
        <v>1583524401</v>
      </c>
      <c r="F31" s="37">
        <v>1553547080.7</v>
      </c>
      <c r="G31" s="37">
        <v>5275993</v>
      </c>
      <c r="H31" s="37">
        <v>9875993</v>
      </c>
      <c r="I31" s="31">
        <v>0.99698289476393831</v>
      </c>
      <c r="J31" s="31">
        <v>0.99435235979433467</v>
      </c>
    </row>
    <row r="32" spans="1:10" ht="57.6" x14ac:dyDescent="0.3">
      <c r="A32" s="19" t="s">
        <v>1404</v>
      </c>
      <c r="B32" s="38">
        <v>240000000</v>
      </c>
      <c r="C32" s="38">
        <v>240000000</v>
      </c>
      <c r="D32" s="38">
        <v>230661110</v>
      </c>
      <c r="E32" s="38">
        <v>108511110</v>
      </c>
      <c r="F32" s="38">
        <v>108511110</v>
      </c>
      <c r="G32" s="38">
        <v>4738890</v>
      </c>
      <c r="H32" s="38">
        <v>9338890</v>
      </c>
      <c r="I32" s="27">
        <v>0.98025462500000005</v>
      </c>
      <c r="J32" s="27">
        <v>0.96108795833333338</v>
      </c>
    </row>
    <row r="33" spans="1:10" ht="43.2" x14ac:dyDescent="0.3">
      <c r="A33" s="19" t="s">
        <v>1405</v>
      </c>
      <c r="B33" s="38">
        <v>945693727</v>
      </c>
      <c r="C33" s="38">
        <v>1508693727</v>
      </c>
      <c r="D33" s="38">
        <v>1508156624</v>
      </c>
      <c r="E33" s="38">
        <v>1475013291</v>
      </c>
      <c r="F33" s="38">
        <v>1445035970.7</v>
      </c>
      <c r="G33" s="38">
        <v>537103</v>
      </c>
      <c r="H33" s="38">
        <v>537103</v>
      </c>
      <c r="I33" s="27">
        <v>0.99964399467540177</v>
      </c>
      <c r="J33" s="27">
        <v>0.99964399467540177</v>
      </c>
    </row>
    <row r="34" spans="1:10" ht="28.8" x14ac:dyDescent="0.3">
      <c r="A34" s="18" t="s">
        <v>1183</v>
      </c>
      <c r="B34" s="37">
        <v>3170451700</v>
      </c>
      <c r="C34" s="37">
        <v>4258570030</v>
      </c>
      <c r="D34" s="37">
        <v>1260512001</v>
      </c>
      <c r="E34" s="37">
        <v>1018445221</v>
      </c>
      <c r="F34" s="37">
        <v>753355960</v>
      </c>
      <c r="G34" s="37">
        <v>22386239.369999886</v>
      </c>
      <c r="H34" s="37">
        <v>2998058029</v>
      </c>
      <c r="I34" s="31">
        <v>0.99474324967951744</v>
      </c>
      <c r="J34" s="31">
        <v>0.29599419338420507</v>
      </c>
    </row>
    <row r="35" spans="1:10" ht="43.2" x14ac:dyDescent="0.3">
      <c r="A35" s="19" t="s">
        <v>1406</v>
      </c>
      <c r="B35" s="38">
        <v>3170451700</v>
      </c>
      <c r="C35" s="38">
        <v>4258570030</v>
      </c>
      <c r="D35" s="38">
        <v>1260512001</v>
      </c>
      <c r="E35" s="38">
        <v>1018445221</v>
      </c>
      <c r="F35" s="38">
        <v>753355960</v>
      </c>
      <c r="G35" s="38">
        <v>22386239.369999886</v>
      </c>
      <c r="H35" s="38">
        <v>2998058029</v>
      </c>
      <c r="I35" s="27">
        <v>0.99474324967951744</v>
      </c>
      <c r="J35" s="27">
        <v>0.29599419338420507</v>
      </c>
    </row>
    <row r="36" spans="1:10" ht="28.8" x14ac:dyDescent="0.3">
      <c r="A36" s="18" t="s">
        <v>1077</v>
      </c>
      <c r="B36" s="37">
        <v>10045087428</v>
      </c>
      <c r="C36" s="37">
        <v>18321163040.630001</v>
      </c>
      <c r="D36" s="37">
        <v>17699080871.629997</v>
      </c>
      <c r="E36" s="37">
        <v>5197830004</v>
      </c>
      <c r="F36" s="37">
        <v>5066096812</v>
      </c>
      <c r="G36" s="37">
        <v>496268002.00000381</v>
      </c>
      <c r="H36" s="37">
        <v>622082169.00000381</v>
      </c>
      <c r="I36" s="31">
        <v>0.97291285488265933</v>
      </c>
      <c r="J36" s="31">
        <v>0.96604570530700262</v>
      </c>
    </row>
    <row r="37" spans="1:10" ht="43.2" x14ac:dyDescent="0.3">
      <c r="A37" s="19" t="s">
        <v>1407</v>
      </c>
      <c r="B37" s="38">
        <v>432000000</v>
      </c>
      <c r="C37" s="38">
        <v>1122298651</v>
      </c>
      <c r="D37" s="38">
        <v>500216483</v>
      </c>
      <c r="E37" s="38">
        <v>497683150</v>
      </c>
      <c r="F37" s="38">
        <v>365949958</v>
      </c>
      <c r="G37" s="38">
        <v>496268001</v>
      </c>
      <c r="H37" s="38">
        <v>622082168</v>
      </c>
      <c r="I37" s="27">
        <v>0.55781110441698289</v>
      </c>
      <c r="J37" s="27">
        <v>0.44570710528279872</v>
      </c>
    </row>
    <row r="38" spans="1:10" ht="28.8" x14ac:dyDescent="0.3">
      <c r="A38" s="19" t="s">
        <v>1408</v>
      </c>
      <c r="B38" s="38">
        <v>9413087428</v>
      </c>
      <c r="C38" s="38">
        <v>12330778966</v>
      </c>
      <c r="D38" s="38">
        <v>12330778965.629999</v>
      </c>
      <c r="E38" s="38">
        <v>4700146854</v>
      </c>
      <c r="F38" s="38">
        <v>4700146854</v>
      </c>
      <c r="G38" s="38">
        <v>0.37000083923339844</v>
      </c>
      <c r="H38" s="38">
        <v>0.37000083923339844</v>
      </c>
      <c r="I38" s="27">
        <v>0.99999999996999367</v>
      </c>
      <c r="J38" s="27">
        <v>0.99999999996999367</v>
      </c>
    </row>
    <row r="39" spans="1:10" ht="28.8" x14ac:dyDescent="0.3">
      <c r="A39" s="19" t="s">
        <v>1409</v>
      </c>
      <c r="B39" s="38">
        <v>0</v>
      </c>
      <c r="C39" s="38">
        <v>4155811781.6300001</v>
      </c>
      <c r="D39" s="38">
        <v>4155811781</v>
      </c>
      <c r="E39" s="38">
        <v>0</v>
      </c>
      <c r="F39" s="38">
        <v>0</v>
      </c>
      <c r="G39" s="38">
        <v>0.63000011444091797</v>
      </c>
      <c r="H39" s="38">
        <v>0.63000011444091797</v>
      </c>
      <c r="I39" s="27">
        <v>0.99999999984840504</v>
      </c>
      <c r="J39" s="27">
        <v>0.99999999984840504</v>
      </c>
    </row>
    <row r="40" spans="1:10" ht="28.8" x14ac:dyDescent="0.3">
      <c r="A40" s="19" t="s">
        <v>1410</v>
      </c>
      <c r="B40" s="38">
        <v>0</v>
      </c>
      <c r="C40" s="38">
        <v>712273642</v>
      </c>
      <c r="D40" s="38">
        <v>712273642</v>
      </c>
      <c r="E40" s="38">
        <v>0</v>
      </c>
      <c r="F40" s="38">
        <v>0</v>
      </c>
      <c r="G40" s="38">
        <v>0</v>
      </c>
      <c r="H40" s="38">
        <v>0</v>
      </c>
      <c r="I40" s="27">
        <v>1</v>
      </c>
      <c r="J40" s="27">
        <v>1</v>
      </c>
    </row>
    <row r="41" spans="1:10" ht="43.2" x14ac:dyDescent="0.3">
      <c r="A41" s="19" t="s">
        <v>1411</v>
      </c>
      <c r="B41" s="38">
        <v>200000000</v>
      </c>
      <c r="C41" s="38">
        <v>0</v>
      </c>
      <c r="D41" s="38">
        <v>0</v>
      </c>
      <c r="E41" s="38">
        <v>0</v>
      </c>
      <c r="F41" s="38">
        <v>0</v>
      </c>
      <c r="G41" s="38">
        <v>0</v>
      </c>
      <c r="H41" s="38">
        <v>0</v>
      </c>
      <c r="I41" s="27" t="e">
        <v>#DIV/0!</v>
      </c>
      <c r="J41" s="27" t="e">
        <v>#DIV/0!</v>
      </c>
    </row>
    <row r="42" spans="1:10" ht="28.8" x14ac:dyDescent="0.3">
      <c r="A42" s="18" t="s">
        <v>1070</v>
      </c>
      <c r="B42" s="37">
        <v>1749800000</v>
      </c>
      <c r="C42" s="37">
        <v>2269305767</v>
      </c>
      <c r="D42" s="37">
        <v>1798910337.3200002</v>
      </c>
      <c r="E42" s="37">
        <v>1331584893.6199999</v>
      </c>
      <c r="F42" s="37">
        <v>1202431561.1700001</v>
      </c>
      <c r="G42" s="37">
        <v>27027717.099999905</v>
      </c>
      <c r="H42" s="37">
        <v>470395429.67999983</v>
      </c>
      <c r="I42" s="31">
        <v>0.98808987422804184</v>
      </c>
      <c r="J42" s="31">
        <v>0.79271394956094521</v>
      </c>
    </row>
    <row r="43" spans="1:10" ht="28.8" x14ac:dyDescent="0.3">
      <c r="A43" s="19" t="s">
        <v>1412</v>
      </c>
      <c r="B43" s="38">
        <v>421800000</v>
      </c>
      <c r="C43" s="38">
        <v>358800000</v>
      </c>
      <c r="D43" s="38">
        <v>347786549.12</v>
      </c>
      <c r="E43" s="38">
        <v>313297176</v>
      </c>
      <c r="F43" s="38">
        <v>298897176</v>
      </c>
      <c r="G43" s="38">
        <v>2507972</v>
      </c>
      <c r="H43" s="38">
        <v>11013450.879999995</v>
      </c>
      <c r="I43" s="27">
        <v>0.99301011148272023</v>
      </c>
      <c r="J43" s="27">
        <v>0.96930476343366778</v>
      </c>
    </row>
    <row r="44" spans="1:10" ht="43.2" x14ac:dyDescent="0.3">
      <c r="A44" s="19" t="s">
        <v>1413</v>
      </c>
      <c r="B44" s="38">
        <v>828000000</v>
      </c>
      <c r="C44" s="38">
        <v>1318000000</v>
      </c>
      <c r="D44" s="38">
        <v>905464687.20000005</v>
      </c>
      <c r="E44" s="38">
        <v>492437081.35000002</v>
      </c>
      <c r="F44" s="38">
        <v>382437082.89999998</v>
      </c>
      <c r="G44" s="38">
        <v>3463078.0999999046</v>
      </c>
      <c r="H44" s="38">
        <v>412535312.79999995</v>
      </c>
      <c r="I44" s="27">
        <v>0.9973724748861913</v>
      </c>
      <c r="J44" s="27">
        <v>0.68699900394537183</v>
      </c>
    </row>
    <row r="45" spans="1:10" ht="28.8" x14ac:dyDescent="0.3">
      <c r="A45" s="19" t="s">
        <v>1414</v>
      </c>
      <c r="B45" s="38">
        <v>500000000</v>
      </c>
      <c r="C45" s="38">
        <v>592505767</v>
      </c>
      <c r="D45" s="38">
        <v>545659101</v>
      </c>
      <c r="E45" s="38">
        <v>525850636.26999998</v>
      </c>
      <c r="F45" s="38">
        <v>521097302.26999998</v>
      </c>
      <c r="G45" s="38">
        <v>21056667</v>
      </c>
      <c r="H45" s="38">
        <v>46846666</v>
      </c>
      <c r="I45" s="27">
        <v>0.96446166742542438</v>
      </c>
      <c r="J45" s="27">
        <v>0.92093466661565848</v>
      </c>
    </row>
    <row r="46" spans="1:10" x14ac:dyDescent="0.3">
      <c r="A46" s="19" t="s">
        <v>1673</v>
      </c>
      <c r="B46" s="38">
        <v>597002921974</v>
      </c>
      <c r="C46" s="38">
        <v>646499184912.19995</v>
      </c>
      <c r="D46" s="38">
        <v>639891862677.09973</v>
      </c>
      <c r="E46" s="38">
        <v>605113042558.24988</v>
      </c>
      <c r="F46" s="38">
        <v>583976950493.16992</v>
      </c>
      <c r="G46" s="38">
        <v>2356764964.8997803</v>
      </c>
      <c r="H46" s="38">
        <v>6607322235.1000977</v>
      </c>
      <c r="I46" s="27">
        <v>0.9963545739578622</v>
      </c>
      <c r="J46" s="27">
        <v>0.98977984444636624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C1B73-33B3-4C9B-A640-813CED80F1D1}">
  <dimension ref="A1:J83"/>
  <sheetViews>
    <sheetView workbookViewId="0">
      <selection activeCell="A6" sqref="A6"/>
    </sheetView>
  </sheetViews>
  <sheetFormatPr baseColWidth="10" defaultRowHeight="14.4" x14ac:dyDescent="0.3"/>
  <cols>
    <col min="1" max="1" width="48.44140625" style="14" customWidth="1"/>
    <col min="2" max="6" width="18.6640625" style="33" bestFit="1" customWidth="1"/>
    <col min="7" max="7" width="23.6640625" style="33" bestFit="1" customWidth="1"/>
    <col min="8" max="8" width="22.109375" style="33" bestFit="1" customWidth="1"/>
    <col min="9" max="9" width="14.109375" style="27" bestFit="1" customWidth="1"/>
    <col min="10" max="10" width="12.88671875" style="27" bestFit="1" customWidth="1"/>
  </cols>
  <sheetData>
    <row r="1" spans="1:10" x14ac:dyDescent="0.3">
      <c r="A1" s="13" t="s">
        <v>2</v>
      </c>
      <c r="B1" s="33" t="s">
        <v>1658</v>
      </c>
    </row>
    <row r="3" spans="1:10" x14ac:dyDescent="0.3">
      <c r="A3" s="13" t="s">
        <v>1672</v>
      </c>
      <c r="B3" s="33" t="s">
        <v>1666</v>
      </c>
      <c r="C3" s="33" t="s">
        <v>1667</v>
      </c>
      <c r="D3" s="33" t="s">
        <v>1669</v>
      </c>
      <c r="E3" s="33" t="s">
        <v>1668</v>
      </c>
      <c r="F3" s="33" t="s">
        <v>1670</v>
      </c>
      <c r="G3" s="33" t="s">
        <v>1642</v>
      </c>
      <c r="H3" s="33" t="s">
        <v>1671</v>
      </c>
      <c r="I3" s="27" t="s">
        <v>1643</v>
      </c>
      <c r="J3" s="27" t="s">
        <v>1644</v>
      </c>
    </row>
    <row r="4" spans="1:10" ht="28.8" x14ac:dyDescent="0.3">
      <c r="A4" s="20" t="s">
        <v>1226</v>
      </c>
      <c r="B4" s="39">
        <v>15768439281</v>
      </c>
      <c r="C4" s="39">
        <v>23791995175.900002</v>
      </c>
      <c r="D4" s="39">
        <v>17002159060.33</v>
      </c>
      <c r="E4" s="39">
        <v>12819461514.450001</v>
      </c>
      <c r="F4" s="39">
        <v>10414891605.950001</v>
      </c>
      <c r="G4" s="39">
        <v>2824580917.1499977</v>
      </c>
      <c r="H4" s="39">
        <v>6789836115.5699978</v>
      </c>
      <c r="I4" s="32">
        <v>0.88128019965256443</v>
      </c>
      <c r="J4" s="32">
        <v>0.71461678327643019</v>
      </c>
    </row>
    <row r="5" spans="1:10" x14ac:dyDescent="0.3">
      <c r="A5" s="16" t="s">
        <v>1026</v>
      </c>
      <c r="B5" s="35">
        <v>470000000</v>
      </c>
      <c r="C5" s="35">
        <v>470000000</v>
      </c>
      <c r="D5" s="35">
        <v>461989966.19</v>
      </c>
      <c r="E5" s="35">
        <v>313540149.17000002</v>
      </c>
      <c r="F5" s="35">
        <v>272290149.17000002</v>
      </c>
      <c r="G5" s="35">
        <v>609893</v>
      </c>
      <c r="H5" s="35">
        <v>8010033.8100000024</v>
      </c>
      <c r="I5" s="29">
        <v>0.99870235531914897</v>
      </c>
      <c r="J5" s="29">
        <v>0.98295737487234047</v>
      </c>
    </row>
    <row r="6" spans="1:10" ht="28.8" x14ac:dyDescent="0.3">
      <c r="A6" s="17" t="s">
        <v>1084</v>
      </c>
      <c r="B6" s="36">
        <v>470000000</v>
      </c>
      <c r="C6" s="36">
        <v>470000000</v>
      </c>
      <c r="D6" s="36">
        <v>461989966.19</v>
      </c>
      <c r="E6" s="36">
        <v>313540149.17000002</v>
      </c>
      <c r="F6" s="36">
        <v>272290149.17000002</v>
      </c>
      <c r="G6" s="36">
        <v>609893</v>
      </c>
      <c r="H6" s="36">
        <v>8010033.8100000024</v>
      </c>
      <c r="I6" s="30">
        <v>0.99870235531914897</v>
      </c>
      <c r="J6" s="30">
        <v>0.98295737487234047</v>
      </c>
    </row>
    <row r="7" spans="1:10" x14ac:dyDescent="0.3">
      <c r="A7" s="18" t="s">
        <v>1156</v>
      </c>
      <c r="B7" s="37">
        <v>470000000</v>
      </c>
      <c r="C7" s="37">
        <v>470000000</v>
      </c>
      <c r="D7" s="37">
        <v>461989966.19</v>
      </c>
      <c r="E7" s="37">
        <v>313540149.17000002</v>
      </c>
      <c r="F7" s="37">
        <v>272290149.17000002</v>
      </c>
      <c r="G7" s="37">
        <v>609893</v>
      </c>
      <c r="H7" s="37">
        <v>8010033.8100000024</v>
      </c>
      <c r="I7" s="31">
        <v>0.99870235531914897</v>
      </c>
      <c r="J7" s="31">
        <v>0.98295737487234047</v>
      </c>
    </row>
    <row r="8" spans="1:10" ht="43.2" x14ac:dyDescent="0.3">
      <c r="A8" s="19" t="s">
        <v>1415</v>
      </c>
      <c r="B8" s="38">
        <v>105000000</v>
      </c>
      <c r="C8" s="38">
        <v>105000000</v>
      </c>
      <c r="D8" s="38">
        <v>104231000</v>
      </c>
      <c r="E8" s="38">
        <v>52045000</v>
      </c>
      <c r="F8" s="38">
        <v>52045000</v>
      </c>
      <c r="G8" s="38">
        <v>400000</v>
      </c>
      <c r="H8" s="38">
        <v>769000</v>
      </c>
      <c r="I8" s="27">
        <v>0.99619047619047618</v>
      </c>
      <c r="J8" s="27">
        <v>0.99267619047619049</v>
      </c>
    </row>
    <row r="9" spans="1:10" ht="43.2" x14ac:dyDescent="0.3">
      <c r="A9" s="19" t="s">
        <v>1416</v>
      </c>
      <c r="B9" s="38">
        <v>350000000</v>
      </c>
      <c r="C9" s="38">
        <v>350000000</v>
      </c>
      <c r="D9" s="38">
        <v>342758966.19</v>
      </c>
      <c r="E9" s="38">
        <v>246495149.19</v>
      </c>
      <c r="F9" s="38">
        <v>205245149.19</v>
      </c>
      <c r="G9" s="38">
        <v>209893</v>
      </c>
      <c r="H9" s="38">
        <v>7241033.8100000024</v>
      </c>
      <c r="I9" s="27">
        <v>0.99940030571428573</v>
      </c>
      <c r="J9" s="27">
        <v>0.97931133197142861</v>
      </c>
    </row>
    <row r="10" spans="1:10" ht="43.2" x14ac:dyDescent="0.3">
      <c r="A10" s="19" t="s">
        <v>1417</v>
      </c>
      <c r="B10" s="38">
        <v>15000000</v>
      </c>
      <c r="C10" s="38">
        <v>15000000</v>
      </c>
      <c r="D10" s="38">
        <v>15000000</v>
      </c>
      <c r="E10" s="38">
        <v>14999999.98</v>
      </c>
      <c r="F10" s="38">
        <v>14999999.98</v>
      </c>
      <c r="G10" s="38">
        <v>0</v>
      </c>
      <c r="H10" s="38">
        <v>0</v>
      </c>
      <c r="I10" s="27">
        <v>1</v>
      </c>
      <c r="J10" s="27">
        <v>1</v>
      </c>
    </row>
    <row r="11" spans="1:10" x14ac:dyDescent="0.3">
      <c r="A11" s="16" t="s">
        <v>1055</v>
      </c>
      <c r="B11" s="35">
        <v>977796854</v>
      </c>
      <c r="C11" s="35">
        <v>959796854</v>
      </c>
      <c r="D11" s="35">
        <v>898555233.60000002</v>
      </c>
      <c r="E11" s="35">
        <v>455234208</v>
      </c>
      <c r="F11" s="35">
        <v>448634208</v>
      </c>
      <c r="G11" s="35">
        <v>10592297</v>
      </c>
      <c r="H11" s="35">
        <v>61241620.399999976</v>
      </c>
      <c r="I11" s="29">
        <v>0.9889640219637561</v>
      </c>
      <c r="J11" s="29">
        <v>0.93619314322111757</v>
      </c>
    </row>
    <row r="12" spans="1:10" ht="28.8" x14ac:dyDescent="0.3">
      <c r="A12" s="17" t="s">
        <v>1056</v>
      </c>
      <c r="B12" s="36">
        <v>730000000</v>
      </c>
      <c r="C12" s="36">
        <v>712000000</v>
      </c>
      <c r="D12" s="36">
        <v>693904358.60000002</v>
      </c>
      <c r="E12" s="36">
        <v>250583333</v>
      </c>
      <c r="F12" s="36">
        <v>243983333</v>
      </c>
      <c r="G12" s="36">
        <v>6630135</v>
      </c>
      <c r="H12" s="36">
        <v>18095641.399999976</v>
      </c>
      <c r="I12" s="30">
        <v>0.99068801264044948</v>
      </c>
      <c r="J12" s="30">
        <v>0.9745847733146068</v>
      </c>
    </row>
    <row r="13" spans="1:10" ht="43.2" x14ac:dyDescent="0.3">
      <c r="A13" s="18" t="s">
        <v>1059</v>
      </c>
      <c r="B13" s="37">
        <v>460000000</v>
      </c>
      <c r="C13" s="37">
        <v>460000000</v>
      </c>
      <c r="D13" s="37">
        <v>450204681</v>
      </c>
      <c r="E13" s="37">
        <v>138300000</v>
      </c>
      <c r="F13" s="37">
        <v>131700000</v>
      </c>
      <c r="G13" s="37">
        <v>950135</v>
      </c>
      <c r="H13" s="37">
        <v>9795319</v>
      </c>
      <c r="I13" s="31">
        <v>0.99793448913043481</v>
      </c>
      <c r="J13" s="31">
        <v>0.9787058282608696</v>
      </c>
    </row>
    <row r="14" spans="1:10" ht="86.4" x14ac:dyDescent="0.3">
      <c r="A14" s="19" t="s">
        <v>1418</v>
      </c>
      <c r="B14" s="38">
        <v>460000000</v>
      </c>
      <c r="C14" s="38">
        <v>460000000</v>
      </c>
      <c r="D14" s="38">
        <v>450204681</v>
      </c>
      <c r="E14" s="38">
        <v>138300000</v>
      </c>
      <c r="F14" s="38">
        <v>131700000</v>
      </c>
      <c r="G14" s="38">
        <v>950135</v>
      </c>
      <c r="H14" s="38">
        <v>9795319</v>
      </c>
      <c r="I14" s="27">
        <v>0.99793448913043481</v>
      </c>
      <c r="J14" s="27">
        <v>0.9787058282608696</v>
      </c>
    </row>
    <row r="15" spans="1:10" ht="28.8" x14ac:dyDescent="0.3">
      <c r="A15" s="18" t="s">
        <v>1159</v>
      </c>
      <c r="B15" s="37">
        <v>95000000</v>
      </c>
      <c r="C15" s="37">
        <v>95000000</v>
      </c>
      <c r="D15" s="37">
        <v>87500000</v>
      </c>
      <c r="E15" s="37">
        <v>15000000</v>
      </c>
      <c r="F15" s="37">
        <v>15000000</v>
      </c>
      <c r="G15" s="37">
        <v>5000000</v>
      </c>
      <c r="H15" s="37">
        <v>7500000</v>
      </c>
      <c r="I15" s="31">
        <v>0.94736842105263153</v>
      </c>
      <c r="J15" s="31">
        <v>0.92105263157894735</v>
      </c>
    </row>
    <row r="16" spans="1:10" ht="43.2" x14ac:dyDescent="0.3">
      <c r="A16" s="19" t="s">
        <v>1419</v>
      </c>
      <c r="B16" s="38">
        <v>95000000</v>
      </c>
      <c r="C16" s="38">
        <v>95000000</v>
      </c>
      <c r="D16" s="38">
        <v>87500000</v>
      </c>
      <c r="E16" s="38">
        <v>15000000</v>
      </c>
      <c r="F16" s="38">
        <v>15000000</v>
      </c>
      <c r="G16" s="38">
        <v>5000000</v>
      </c>
      <c r="H16" s="38">
        <v>7500000</v>
      </c>
      <c r="I16" s="27">
        <v>0.94736842105263153</v>
      </c>
      <c r="J16" s="27">
        <v>0.92105263157894735</v>
      </c>
    </row>
    <row r="17" spans="1:10" ht="28.8" x14ac:dyDescent="0.3">
      <c r="A17" s="18" t="s">
        <v>1058</v>
      </c>
      <c r="B17" s="37">
        <v>95000000</v>
      </c>
      <c r="C17" s="37">
        <v>77000000</v>
      </c>
      <c r="D17" s="37">
        <v>76900000</v>
      </c>
      <c r="E17" s="37">
        <v>72883333</v>
      </c>
      <c r="F17" s="37">
        <v>72883333</v>
      </c>
      <c r="G17" s="37">
        <v>0</v>
      </c>
      <c r="H17" s="37">
        <v>100000</v>
      </c>
      <c r="I17" s="31">
        <v>1</v>
      </c>
      <c r="J17" s="31">
        <v>0.99870129870129876</v>
      </c>
    </row>
    <row r="18" spans="1:10" ht="28.8" x14ac:dyDescent="0.3">
      <c r="A18" s="19" t="s">
        <v>1420</v>
      </c>
      <c r="B18" s="38">
        <v>95000000</v>
      </c>
      <c r="C18" s="38">
        <v>77000000</v>
      </c>
      <c r="D18" s="38">
        <v>76900000</v>
      </c>
      <c r="E18" s="38">
        <v>72883333</v>
      </c>
      <c r="F18" s="38">
        <v>72883333</v>
      </c>
      <c r="G18" s="38">
        <v>0</v>
      </c>
      <c r="H18" s="38">
        <v>100000</v>
      </c>
      <c r="I18" s="27">
        <v>1</v>
      </c>
      <c r="J18" s="27">
        <v>0.99870129870129876</v>
      </c>
    </row>
    <row r="19" spans="1:10" ht="28.8" x14ac:dyDescent="0.3">
      <c r="A19" s="18" t="s">
        <v>1057</v>
      </c>
      <c r="B19" s="37">
        <v>80000000</v>
      </c>
      <c r="C19" s="37">
        <v>80000000</v>
      </c>
      <c r="D19" s="37">
        <v>79299677.599999994</v>
      </c>
      <c r="E19" s="37">
        <v>24400000</v>
      </c>
      <c r="F19" s="37">
        <v>24400000</v>
      </c>
      <c r="G19" s="37">
        <v>680000</v>
      </c>
      <c r="H19" s="37">
        <v>700322.40000000596</v>
      </c>
      <c r="I19" s="31">
        <v>0.99150000000000005</v>
      </c>
      <c r="J19" s="31">
        <v>0.99124596999999992</v>
      </c>
    </row>
    <row r="20" spans="1:10" ht="43.2" x14ac:dyDescent="0.3">
      <c r="A20" s="19" t="s">
        <v>1421</v>
      </c>
      <c r="B20" s="38">
        <v>80000000</v>
      </c>
      <c r="C20" s="38">
        <v>80000000</v>
      </c>
      <c r="D20" s="38">
        <v>79299677.599999994</v>
      </c>
      <c r="E20" s="38">
        <v>24400000</v>
      </c>
      <c r="F20" s="38">
        <v>24400000</v>
      </c>
      <c r="G20" s="38">
        <v>680000</v>
      </c>
      <c r="H20" s="38">
        <v>700322.40000000596</v>
      </c>
      <c r="I20" s="27">
        <v>0.99150000000000005</v>
      </c>
      <c r="J20" s="27">
        <v>0.99124596999999992</v>
      </c>
    </row>
    <row r="21" spans="1:10" ht="28.8" x14ac:dyDescent="0.3">
      <c r="A21" s="17" t="s">
        <v>1109</v>
      </c>
      <c r="B21" s="36">
        <v>247796854</v>
      </c>
      <c r="C21" s="36">
        <v>247796854</v>
      </c>
      <c r="D21" s="36">
        <v>204650875</v>
      </c>
      <c r="E21" s="36">
        <v>204650875</v>
      </c>
      <c r="F21" s="36">
        <v>204650875</v>
      </c>
      <c r="G21" s="36">
        <v>3962162</v>
      </c>
      <c r="H21" s="36">
        <v>43145979</v>
      </c>
      <c r="I21" s="30">
        <v>0.98401044268302129</v>
      </c>
      <c r="J21" s="30">
        <v>0.82588165142726144</v>
      </c>
    </row>
    <row r="22" spans="1:10" ht="57.6" x14ac:dyDescent="0.3">
      <c r="A22" s="18" t="s">
        <v>1157</v>
      </c>
      <c r="B22" s="37">
        <v>247796854</v>
      </c>
      <c r="C22" s="37">
        <v>247796854</v>
      </c>
      <c r="D22" s="37">
        <v>204650875</v>
      </c>
      <c r="E22" s="37">
        <v>204650875</v>
      </c>
      <c r="F22" s="37">
        <v>204650875</v>
      </c>
      <c r="G22" s="37">
        <v>3962162</v>
      </c>
      <c r="H22" s="37">
        <v>43145979</v>
      </c>
      <c r="I22" s="31">
        <v>0.98401044268302129</v>
      </c>
      <c r="J22" s="31">
        <v>0.82588165142726144</v>
      </c>
    </row>
    <row r="23" spans="1:10" ht="57.6" x14ac:dyDescent="0.3">
      <c r="A23" s="19" t="s">
        <v>1422</v>
      </c>
      <c r="B23" s="38">
        <v>247796854</v>
      </c>
      <c r="C23" s="38">
        <v>247796854</v>
      </c>
      <c r="D23" s="38">
        <v>204650875</v>
      </c>
      <c r="E23" s="38">
        <v>204650875</v>
      </c>
      <c r="F23" s="38">
        <v>204650875</v>
      </c>
      <c r="G23" s="38">
        <v>3962162</v>
      </c>
      <c r="H23" s="38">
        <v>43145979</v>
      </c>
      <c r="I23" s="27">
        <v>0.98401044268302129</v>
      </c>
      <c r="J23" s="27">
        <v>0.82588165142726144</v>
      </c>
    </row>
    <row r="24" spans="1:10" x14ac:dyDescent="0.3">
      <c r="A24" s="16" t="s">
        <v>1018</v>
      </c>
      <c r="B24" s="35">
        <v>500000000</v>
      </c>
      <c r="C24" s="35">
        <v>500000000</v>
      </c>
      <c r="D24" s="35">
        <v>477299886.23000002</v>
      </c>
      <c r="E24" s="35">
        <v>259900000</v>
      </c>
      <c r="F24" s="35">
        <v>218500000</v>
      </c>
      <c r="G24" s="35">
        <v>18295482</v>
      </c>
      <c r="H24" s="35">
        <v>22700113.769999981</v>
      </c>
      <c r="I24" s="29">
        <v>0.96340903600000005</v>
      </c>
      <c r="J24" s="29">
        <v>0.95459977246000005</v>
      </c>
    </row>
    <row r="25" spans="1:10" ht="28.8" x14ac:dyDescent="0.3">
      <c r="A25" s="17" t="s">
        <v>1019</v>
      </c>
      <c r="B25" s="36">
        <v>500000000</v>
      </c>
      <c r="C25" s="36">
        <v>500000000</v>
      </c>
      <c r="D25" s="36">
        <v>477299886.23000002</v>
      </c>
      <c r="E25" s="36">
        <v>259900000</v>
      </c>
      <c r="F25" s="36">
        <v>218500000</v>
      </c>
      <c r="G25" s="36">
        <v>18295482</v>
      </c>
      <c r="H25" s="36">
        <v>22700113.769999981</v>
      </c>
      <c r="I25" s="30">
        <v>0.96340903600000005</v>
      </c>
      <c r="J25" s="30">
        <v>0.95459977246000005</v>
      </c>
    </row>
    <row r="26" spans="1:10" ht="28.8" x14ac:dyDescent="0.3">
      <c r="A26" s="18" t="s">
        <v>1181</v>
      </c>
      <c r="B26" s="37">
        <v>500000000</v>
      </c>
      <c r="C26" s="37">
        <v>500000000</v>
      </c>
      <c r="D26" s="37">
        <v>477299886.23000002</v>
      </c>
      <c r="E26" s="37">
        <v>259900000</v>
      </c>
      <c r="F26" s="37">
        <v>218500000</v>
      </c>
      <c r="G26" s="37">
        <v>18295482</v>
      </c>
      <c r="H26" s="37">
        <v>22700113.769999981</v>
      </c>
      <c r="I26" s="31">
        <v>0.96340903600000005</v>
      </c>
      <c r="J26" s="31">
        <v>0.95459977246000005</v>
      </c>
    </row>
    <row r="27" spans="1:10" ht="57.6" x14ac:dyDescent="0.3">
      <c r="A27" s="19" t="s">
        <v>1423</v>
      </c>
      <c r="B27" s="38">
        <v>75000000</v>
      </c>
      <c r="C27" s="38">
        <v>75000000</v>
      </c>
      <c r="D27" s="38">
        <v>73845000</v>
      </c>
      <c r="E27" s="38">
        <v>0</v>
      </c>
      <c r="F27" s="38">
        <v>0</v>
      </c>
      <c r="G27" s="38">
        <v>1123334</v>
      </c>
      <c r="H27" s="38">
        <v>1155000</v>
      </c>
      <c r="I27" s="27">
        <v>0.98502221333333329</v>
      </c>
      <c r="J27" s="27">
        <v>0.98460000000000003</v>
      </c>
    </row>
    <row r="28" spans="1:10" ht="57.6" x14ac:dyDescent="0.3">
      <c r="A28" s="19" t="s">
        <v>1424</v>
      </c>
      <c r="B28" s="38">
        <v>100000000</v>
      </c>
      <c r="C28" s="38">
        <v>100000000</v>
      </c>
      <c r="D28" s="38">
        <v>97821853</v>
      </c>
      <c r="E28" s="38">
        <v>77300000</v>
      </c>
      <c r="F28" s="38">
        <v>63500000</v>
      </c>
      <c r="G28" s="38">
        <v>58813</v>
      </c>
      <c r="H28" s="38">
        <v>2178147</v>
      </c>
      <c r="I28" s="27">
        <v>0.99941186999999998</v>
      </c>
      <c r="J28" s="27">
        <v>0.97821853000000003</v>
      </c>
    </row>
    <row r="29" spans="1:10" ht="57.6" x14ac:dyDescent="0.3">
      <c r="A29" s="19" t="s">
        <v>1425</v>
      </c>
      <c r="B29" s="38">
        <v>325000000</v>
      </c>
      <c r="C29" s="38">
        <v>325000000</v>
      </c>
      <c r="D29" s="38">
        <v>305633033.23000002</v>
      </c>
      <c r="E29" s="38">
        <v>182600000</v>
      </c>
      <c r="F29" s="38">
        <v>155000000</v>
      </c>
      <c r="G29" s="38">
        <v>17113335</v>
      </c>
      <c r="H29" s="38">
        <v>19366966.769999981</v>
      </c>
      <c r="I29" s="27">
        <v>0.94734358461538459</v>
      </c>
      <c r="J29" s="27">
        <v>0.94040933301538465</v>
      </c>
    </row>
    <row r="30" spans="1:10" ht="43.2" x14ac:dyDescent="0.3">
      <c r="A30" s="16" t="s">
        <v>1060</v>
      </c>
      <c r="B30" s="35">
        <v>13820642427</v>
      </c>
      <c r="C30" s="35">
        <v>21862198321.900002</v>
      </c>
      <c r="D30" s="35">
        <v>15164313974.309999</v>
      </c>
      <c r="E30" s="35">
        <v>11790787157.279999</v>
      </c>
      <c r="F30" s="35">
        <v>9475467248.7799988</v>
      </c>
      <c r="G30" s="35">
        <v>2795083245.1499977</v>
      </c>
      <c r="H30" s="35">
        <v>6697884347.5899982</v>
      </c>
      <c r="I30" s="29">
        <v>0.87214994558209269</v>
      </c>
      <c r="J30" s="29">
        <v>0.69363170853314726</v>
      </c>
    </row>
    <row r="31" spans="1:10" ht="43.2" x14ac:dyDescent="0.3">
      <c r="A31" s="17" t="s">
        <v>1127</v>
      </c>
      <c r="B31" s="36">
        <v>144000000</v>
      </c>
      <c r="C31" s="36">
        <v>144000000</v>
      </c>
      <c r="D31" s="36">
        <v>144000000</v>
      </c>
      <c r="E31" s="36">
        <v>136350000</v>
      </c>
      <c r="F31" s="36">
        <v>136350000</v>
      </c>
      <c r="G31" s="36">
        <v>0</v>
      </c>
      <c r="H31" s="36">
        <v>0</v>
      </c>
      <c r="I31" s="30">
        <v>1</v>
      </c>
      <c r="J31" s="30">
        <v>1</v>
      </c>
    </row>
    <row r="32" spans="1:10" ht="43.2" x14ac:dyDescent="0.3">
      <c r="A32" s="18" t="s">
        <v>1192</v>
      </c>
      <c r="B32" s="37">
        <v>80000000</v>
      </c>
      <c r="C32" s="37">
        <v>80000000</v>
      </c>
      <c r="D32" s="37">
        <v>80000000</v>
      </c>
      <c r="E32" s="37">
        <v>72350000</v>
      </c>
      <c r="F32" s="37">
        <v>72350000</v>
      </c>
      <c r="G32" s="37">
        <v>0</v>
      </c>
      <c r="H32" s="37">
        <v>0</v>
      </c>
      <c r="I32" s="31">
        <v>1</v>
      </c>
      <c r="J32" s="31">
        <v>1</v>
      </c>
    </row>
    <row r="33" spans="1:10" ht="43.2" x14ac:dyDescent="0.3">
      <c r="A33" s="19" t="s">
        <v>1426</v>
      </c>
      <c r="B33" s="38">
        <v>80000000</v>
      </c>
      <c r="C33" s="38">
        <v>80000000</v>
      </c>
      <c r="D33" s="38">
        <v>80000000</v>
      </c>
      <c r="E33" s="38">
        <v>72350000</v>
      </c>
      <c r="F33" s="38">
        <v>72350000</v>
      </c>
      <c r="G33" s="38">
        <v>0</v>
      </c>
      <c r="H33" s="38">
        <v>0</v>
      </c>
      <c r="I33" s="27">
        <v>1</v>
      </c>
      <c r="J33" s="27">
        <v>1</v>
      </c>
    </row>
    <row r="34" spans="1:10" ht="57.6" x14ac:dyDescent="0.3">
      <c r="A34" s="18" t="s">
        <v>1160</v>
      </c>
      <c r="B34" s="37">
        <v>64000000</v>
      </c>
      <c r="C34" s="37">
        <v>64000000</v>
      </c>
      <c r="D34" s="37">
        <v>64000000</v>
      </c>
      <c r="E34" s="37">
        <v>64000000</v>
      </c>
      <c r="F34" s="37">
        <v>64000000</v>
      </c>
      <c r="G34" s="37">
        <v>0</v>
      </c>
      <c r="H34" s="37">
        <v>0</v>
      </c>
      <c r="I34" s="31">
        <v>1</v>
      </c>
      <c r="J34" s="31">
        <v>1</v>
      </c>
    </row>
    <row r="35" spans="1:10" ht="57.6" x14ac:dyDescent="0.3">
      <c r="A35" s="19" t="s">
        <v>1427</v>
      </c>
      <c r="B35" s="38">
        <v>64000000</v>
      </c>
      <c r="C35" s="38">
        <v>64000000</v>
      </c>
      <c r="D35" s="38">
        <v>64000000</v>
      </c>
      <c r="E35" s="38">
        <v>64000000</v>
      </c>
      <c r="F35" s="38">
        <v>64000000</v>
      </c>
      <c r="G35" s="38">
        <v>0</v>
      </c>
      <c r="H35" s="38">
        <v>0</v>
      </c>
      <c r="I35" s="27">
        <v>1</v>
      </c>
      <c r="J35" s="27">
        <v>1</v>
      </c>
    </row>
    <row r="36" spans="1:10" ht="28.8" x14ac:dyDescent="0.3">
      <c r="A36" s="17" t="s">
        <v>1178</v>
      </c>
      <c r="B36" s="36">
        <v>514000000</v>
      </c>
      <c r="C36" s="36">
        <v>532000000</v>
      </c>
      <c r="D36" s="36">
        <v>482214244</v>
      </c>
      <c r="E36" s="36">
        <v>288740000</v>
      </c>
      <c r="F36" s="36">
        <v>288740000</v>
      </c>
      <c r="G36" s="36">
        <v>718222</v>
      </c>
      <c r="H36" s="36">
        <v>49785756</v>
      </c>
      <c r="I36" s="30">
        <v>0.99864995864661654</v>
      </c>
      <c r="J36" s="30">
        <v>0.9064177518796992</v>
      </c>
    </row>
    <row r="37" spans="1:10" ht="28.8" x14ac:dyDescent="0.3">
      <c r="A37" s="18" t="s">
        <v>1179</v>
      </c>
      <c r="B37" s="37">
        <v>115000000</v>
      </c>
      <c r="C37" s="37">
        <v>79000000</v>
      </c>
      <c r="D37" s="37">
        <v>78995485</v>
      </c>
      <c r="E37" s="37">
        <v>70400000</v>
      </c>
      <c r="F37" s="37">
        <v>70400000</v>
      </c>
      <c r="G37" s="37">
        <v>3400</v>
      </c>
      <c r="H37" s="37">
        <v>4515</v>
      </c>
      <c r="I37" s="31">
        <v>0.99995696202531648</v>
      </c>
      <c r="J37" s="31">
        <v>0.99994284810126577</v>
      </c>
    </row>
    <row r="38" spans="1:10" ht="43.2" x14ac:dyDescent="0.3">
      <c r="A38" s="19" t="s">
        <v>1428</v>
      </c>
      <c r="B38" s="38">
        <v>65000000</v>
      </c>
      <c r="C38" s="38">
        <v>65000000</v>
      </c>
      <c r="D38" s="38">
        <v>64995485</v>
      </c>
      <c r="E38" s="38">
        <v>56400000</v>
      </c>
      <c r="F38" s="38">
        <v>56400000</v>
      </c>
      <c r="G38" s="38">
        <v>3400</v>
      </c>
      <c r="H38" s="38">
        <v>4515</v>
      </c>
      <c r="I38" s="27">
        <v>0.99994769230769232</v>
      </c>
      <c r="J38" s="27">
        <v>0.99993053846153845</v>
      </c>
    </row>
    <row r="39" spans="1:10" ht="43.2" x14ac:dyDescent="0.3">
      <c r="A39" s="19" t="s">
        <v>1429</v>
      </c>
      <c r="B39" s="38">
        <v>25000000</v>
      </c>
      <c r="C39" s="38">
        <v>0</v>
      </c>
      <c r="D39" s="38">
        <v>0</v>
      </c>
      <c r="E39" s="38">
        <v>0</v>
      </c>
      <c r="F39" s="38">
        <v>0</v>
      </c>
      <c r="G39" s="38">
        <v>0</v>
      </c>
      <c r="H39" s="38">
        <v>0</v>
      </c>
      <c r="I39" s="27" t="e">
        <v>#DIV/0!</v>
      </c>
      <c r="J39" s="27" t="e">
        <v>#DIV/0!</v>
      </c>
    </row>
    <row r="40" spans="1:10" ht="43.2" x14ac:dyDescent="0.3">
      <c r="A40" s="19" t="s">
        <v>1430</v>
      </c>
      <c r="B40" s="38">
        <v>25000000</v>
      </c>
      <c r="C40" s="38">
        <v>14000000</v>
      </c>
      <c r="D40" s="38">
        <v>14000000</v>
      </c>
      <c r="E40" s="38">
        <v>14000000</v>
      </c>
      <c r="F40" s="38">
        <v>14000000</v>
      </c>
      <c r="G40" s="38">
        <v>0</v>
      </c>
      <c r="H40" s="38">
        <v>0</v>
      </c>
      <c r="I40" s="27">
        <v>1</v>
      </c>
      <c r="J40" s="27">
        <v>1</v>
      </c>
    </row>
    <row r="41" spans="1:10" ht="28.8" x14ac:dyDescent="0.3">
      <c r="A41" s="18" t="s">
        <v>1184</v>
      </c>
      <c r="B41" s="37">
        <v>65000000</v>
      </c>
      <c r="C41" s="37">
        <v>65000000</v>
      </c>
      <c r="D41" s="37">
        <v>16500000</v>
      </c>
      <c r="E41" s="37">
        <v>16500000</v>
      </c>
      <c r="F41" s="37">
        <v>16500000</v>
      </c>
      <c r="G41" s="37">
        <v>2200</v>
      </c>
      <c r="H41" s="37">
        <v>48500000</v>
      </c>
      <c r="I41" s="31">
        <v>0.99996615384615384</v>
      </c>
      <c r="J41" s="31">
        <v>0.25384615384615383</v>
      </c>
    </row>
    <row r="42" spans="1:10" ht="28.8" x14ac:dyDescent="0.3">
      <c r="A42" s="19" t="s">
        <v>1431</v>
      </c>
      <c r="B42" s="38">
        <v>65000000</v>
      </c>
      <c r="C42" s="38">
        <v>65000000</v>
      </c>
      <c r="D42" s="38">
        <v>16500000</v>
      </c>
      <c r="E42" s="38">
        <v>16500000</v>
      </c>
      <c r="F42" s="38">
        <v>16500000</v>
      </c>
      <c r="G42" s="38">
        <v>2200</v>
      </c>
      <c r="H42" s="38">
        <v>48500000</v>
      </c>
      <c r="I42" s="27">
        <v>0.99996615384615384</v>
      </c>
      <c r="J42" s="27">
        <v>0.25384615384615383</v>
      </c>
    </row>
    <row r="43" spans="1:10" ht="28.8" x14ac:dyDescent="0.3">
      <c r="A43" s="18" t="s">
        <v>1185</v>
      </c>
      <c r="B43" s="37">
        <v>290000000</v>
      </c>
      <c r="C43" s="37">
        <v>344000000</v>
      </c>
      <c r="D43" s="37">
        <v>342718829</v>
      </c>
      <c r="E43" s="37">
        <v>166740000</v>
      </c>
      <c r="F43" s="37">
        <v>166740000</v>
      </c>
      <c r="G43" s="37">
        <v>712622</v>
      </c>
      <c r="H43" s="37">
        <v>1281171</v>
      </c>
      <c r="I43" s="31">
        <v>0.99792842441860463</v>
      </c>
      <c r="J43" s="31">
        <v>0.99627566569767445</v>
      </c>
    </row>
    <row r="44" spans="1:10" ht="43.2" x14ac:dyDescent="0.3">
      <c r="A44" s="19" t="s">
        <v>1432</v>
      </c>
      <c r="B44" s="38">
        <v>290000000</v>
      </c>
      <c r="C44" s="38">
        <v>344000000</v>
      </c>
      <c r="D44" s="38">
        <v>342718829</v>
      </c>
      <c r="E44" s="38">
        <v>166740000</v>
      </c>
      <c r="F44" s="38">
        <v>166740000</v>
      </c>
      <c r="G44" s="38">
        <v>712622</v>
      </c>
      <c r="H44" s="38">
        <v>1281171</v>
      </c>
      <c r="I44" s="27">
        <v>0.99792842441860463</v>
      </c>
      <c r="J44" s="27">
        <v>0.99627566569767445</v>
      </c>
    </row>
    <row r="45" spans="1:10" ht="28.8" x14ac:dyDescent="0.3">
      <c r="A45" s="18" t="s">
        <v>1182</v>
      </c>
      <c r="B45" s="37">
        <v>44000000</v>
      </c>
      <c r="C45" s="37">
        <v>44000000</v>
      </c>
      <c r="D45" s="37">
        <v>43999930</v>
      </c>
      <c r="E45" s="37">
        <v>35100000</v>
      </c>
      <c r="F45" s="37">
        <v>35100000</v>
      </c>
      <c r="G45" s="37">
        <v>0</v>
      </c>
      <c r="H45" s="37">
        <v>70</v>
      </c>
      <c r="I45" s="31">
        <v>1</v>
      </c>
      <c r="J45" s="31">
        <v>0.99999840909090909</v>
      </c>
    </row>
    <row r="46" spans="1:10" ht="43.2" x14ac:dyDescent="0.3">
      <c r="A46" s="19" t="s">
        <v>1433</v>
      </c>
      <c r="B46" s="38">
        <v>44000000</v>
      </c>
      <c r="C46" s="38">
        <v>44000000</v>
      </c>
      <c r="D46" s="38">
        <v>43999930</v>
      </c>
      <c r="E46" s="38">
        <v>35100000</v>
      </c>
      <c r="F46" s="38">
        <v>35100000</v>
      </c>
      <c r="G46" s="38">
        <v>0</v>
      </c>
      <c r="H46" s="38">
        <v>70</v>
      </c>
      <c r="I46" s="27">
        <v>1</v>
      </c>
      <c r="J46" s="27">
        <v>0.99999840909090909</v>
      </c>
    </row>
    <row r="47" spans="1:10" ht="43.2" x14ac:dyDescent="0.3">
      <c r="A47" s="17" t="s">
        <v>1061</v>
      </c>
      <c r="B47" s="36">
        <v>2005000001</v>
      </c>
      <c r="C47" s="36">
        <v>3020474615.96</v>
      </c>
      <c r="D47" s="36">
        <v>2126869500.24</v>
      </c>
      <c r="E47" s="36">
        <v>1472265620.1700001</v>
      </c>
      <c r="F47" s="36">
        <v>1086207243</v>
      </c>
      <c r="G47" s="36">
        <v>247819386.32999992</v>
      </c>
      <c r="H47" s="36">
        <v>893605115.72000003</v>
      </c>
      <c r="I47" s="30">
        <v>0.91795349478504551</v>
      </c>
      <c r="J47" s="30">
        <v>0.70415076127498433</v>
      </c>
    </row>
    <row r="48" spans="1:10" ht="28.8" x14ac:dyDescent="0.3">
      <c r="A48" s="18" t="s">
        <v>1064</v>
      </c>
      <c r="B48" s="37">
        <v>1335000001</v>
      </c>
      <c r="C48" s="37">
        <v>2230474615.96</v>
      </c>
      <c r="D48" s="37">
        <v>1436472463.4400001</v>
      </c>
      <c r="E48" s="37">
        <v>1115070864.1700001</v>
      </c>
      <c r="F48" s="37">
        <v>885137243</v>
      </c>
      <c r="G48" s="37">
        <v>239175939.13000011</v>
      </c>
      <c r="H48" s="37">
        <v>794002152.51999998</v>
      </c>
      <c r="I48" s="31">
        <v>0.89276903784575989</v>
      </c>
      <c r="J48" s="31">
        <v>0.64402098690629572</v>
      </c>
    </row>
    <row r="49" spans="1:10" ht="43.2" x14ac:dyDescent="0.3">
      <c r="A49" s="19" t="s">
        <v>1434</v>
      </c>
      <c r="B49" s="38">
        <v>1335000001</v>
      </c>
      <c r="C49" s="38">
        <v>1215000001</v>
      </c>
      <c r="D49" s="38">
        <v>1134308739.95</v>
      </c>
      <c r="E49" s="38">
        <v>966834479</v>
      </c>
      <c r="F49" s="38">
        <v>885137243</v>
      </c>
      <c r="G49" s="38">
        <v>118260</v>
      </c>
      <c r="H49" s="38">
        <v>80691261.049999952</v>
      </c>
      <c r="I49" s="27">
        <v>0.99990266666674676</v>
      </c>
      <c r="J49" s="27">
        <v>0.93358743951968115</v>
      </c>
    </row>
    <row r="50" spans="1:10" ht="43.2" x14ac:dyDescent="0.3">
      <c r="A50" s="19" t="s">
        <v>1435</v>
      </c>
      <c r="B50" s="38">
        <v>0</v>
      </c>
      <c r="C50" s="38">
        <v>1015474614.96</v>
      </c>
      <c r="D50" s="38">
        <v>302163723.49000001</v>
      </c>
      <c r="E50" s="38">
        <v>148236385.16999999</v>
      </c>
      <c r="F50" s="38">
        <v>0</v>
      </c>
      <c r="G50" s="38">
        <v>239057679.13000011</v>
      </c>
      <c r="H50" s="38">
        <v>713310891.47000003</v>
      </c>
      <c r="I50" s="27">
        <v>0.76458527312431468</v>
      </c>
      <c r="J50" s="27">
        <v>0.29755911082218667</v>
      </c>
    </row>
    <row r="51" spans="1:10" ht="43.2" x14ac:dyDescent="0.3">
      <c r="A51" s="18" t="s">
        <v>1063</v>
      </c>
      <c r="B51" s="37">
        <v>500000000</v>
      </c>
      <c r="C51" s="37">
        <v>500000000</v>
      </c>
      <c r="D51" s="37">
        <v>462311755.80000001</v>
      </c>
      <c r="E51" s="37">
        <v>256608159</v>
      </c>
      <c r="F51" s="37">
        <v>143370000</v>
      </c>
      <c r="G51" s="37">
        <v>3000.1999999880791</v>
      </c>
      <c r="H51" s="37">
        <v>37688244.199999988</v>
      </c>
      <c r="I51" s="31">
        <v>0.99999399960000002</v>
      </c>
      <c r="J51" s="31">
        <v>0.9246235116</v>
      </c>
    </row>
    <row r="52" spans="1:10" ht="57.6" x14ac:dyDescent="0.3">
      <c r="A52" s="19" t="s">
        <v>1436</v>
      </c>
      <c r="B52" s="38">
        <v>500000000</v>
      </c>
      <c r="C52" s="38">
        <v>500000000</v>
      </c>
      <c r="D52" s="38">
        <v>462311755.80000001</v>
      </c>
      <c r="E52" s="38">
        <v>256608159</v>
      </c>
      <c r="F52" s="38">
        <v>143370000</v>
      </c>
      <c r="G52" s="38">
        <v>3000.1999999880791</v>
      </c>
      <c r="H52" s="38">
        <v>37688244.199999988</v>
      </c>
      <c r="I52" s="27">
        <v>0.99999399960000002</v>
      </c>
      <c r="J52" s="27">
        <v>0.9246235116</v>
      </c>
    </row>
    <row r="53" spans="1:10" ht="43.2" x14ac:dyDescent="0.3">
      <c r="A53" s="18" t="s">
        <v>1065</v>
      </c>
      <c r="B53" s="37">
        <v>100000000</v>
      </c>
      <c r="C53" s="37">
        <v>220000000</v>
      </c>
      <c r="D53" s="37">
        <v>174375284</v>
      </c>
      <c r="E53" s="37">
        <v>54376600</v>
      </c>
      <c r="F53" s="37">
        <v>47700000</v>
      </c>
      <c r="G53" s="37">
        <v>444</v>
      </c>
      <c r="H53" s="37">
        <v>45624716</v>
      </c>
      <c r="I53" s="31">
        <v>0.99999798181818178</v>
      </c>
      <c r="J53" s="31">
        <v>0.79261492727272731</v>
      </c>
    </row>
    <row r="54" spans="1:10" ht="43.2" x14ac:dyDescent="0.3">
      <c r="A54" s="19" t="s">
        <v>1437</v>
      </c>
      <c r="B54" s="38">
        <v>100000000</v>
      </c>
      <c r="C54" s="38">
        <v>220000000</v>
      </c>
      <c r="D54" s="38">
        <v>174375284</v>
      </c>
      <c r="E54" s="38">
        <v>54376600</v>
      </c>
      <c r="F54" s="38">
        <v>47700000</v>
      </c>
      <c r="G54" s="38">
        <v>444</v>
      </c>
      <c r="H54" s="38">
        <v>45624716</v>
      </c>
      <c r="I54" s="27">
        <v>0.99999798181818178</v>
      </c>
      <c r="J54" s="27">
        <v>0.79261492727272731</v>
      </c>
    </row>
    <row r="55" spans="1:10" x14ac:dyDescent="0.3">
      <c r="A55" s="18" t="s">
        <v>1062</v>
      </c>
      <c r="B55" s="37">
        <v>70000000</v>
      </c>
      <c r="C55" s="37">
        <v>70000000</v>
      </c>
      <c r="D55" s="37">
        <v>53709997</v>
      </c>
      <c r="E55" s="37">
        <v>46209997</v>
      </c>
      <c r="F55" s="37">
        <v>10000000</v>
      </c>
      <c r="G55" s="37">
        <v>8640003</v>
      </c>
      <c r="H55" s="37">
        <v>16290003</v>
      </c>
      <c r="I55" s="31">
        <v>0.87657138571428572</v>
      </c>
      <c r="J55" s="31">
        <v>0.7672856714285714</v>
      </c>
    </row>
    <row r="56" spans="1:10" ht="28.8" x14ac:dyDescent="0.3">
      <c r="A56" s="19" t="s">
        <v>1438</v>
      </c>
      <c r="B56" s="38">
        <v>70000000</v>
      </c>
      <c r="C56" s="38">
        <v>70000000</v>
      </c>
      <c r="D56" s="38">
        <v>53709997</v>
      </c>
      <c r="E56" s="38">
        <v>46209997</v>
      </c>
      <c r="F56" s="38">
        <v>10000000</v>
      </c>
      <c r="G56" s="38">
        <v>8640003</v>
      </c>
      <c r="H56" s="38">
        <v>16290003</v>
      </c>
      <c r="I56" s="27">
        <v>0.87657138571428572</v>
      </c>
      <c r="J56" s="27">
        <v>0.7672856714285714</v>
      </c>
    </row>
    <row r="57" spans="1:10" ht="28.8" x14ac:dyDescent="0.3">
      <c r="A57" s="17" t="s">
        <v>1080</v>
      </c>
      <c r="B57" s="36">
        <v>270000000</v>
      </c>
      <c r="C57" s="36">
        <v>270000000</v>
      </c>
      <c r="D57" s="36">
        <v>240173628.66999999</v>
      </c>
      <c r="E57" s="36">
        <v>106510133.67</v>
      </c>
      <c r="F57" s="36">
        <v>73766666.670000002</v>
      </c>
      <c r="G57" s="36">
        <v>584268</v>
      </c>
      <c r="H57" s="36">
        <v>29826371.330000013</v>
      </c>
      <c r="I57" s="30">
        <v>0.9978360444444444</v>
      </c>
      <c r="J57" s="30">
        <v>0.889531958037037</v>
      </c>
    </row>
    <row r="58" spans="1:10" ht="28.8" x14ac:dyDescent="0.3">
      <c r="A58" s="18" t="s">
        <v>1082</v>
      </c>
      <c r="B58" s="37">
        <v>200000000</v>
      </c>
      <c r="C58" s="37">
        <v>200000000</v>
      </c>
      <c r="D58" s="37">
        <v>170174188.66999999</v>
      </c>
      <c r="E58" s="37">
        <v>106510133.67</v>
      </c>
      <c r="F58" s="37">
        <v>73766666.670000002</v>
      </c>
      <c r="G58" s="37">
        <v>583825</v>
      </c>
      <c r="H58" s="37">
        <v>29825811.330000013</v>
      </c>
      <c r="I58" s="31">
        <v>0.99708087499999998</v>
      </c>
      <c r="J58" s="31">
        <v>0.85087094334999991</v>
      </c>
    </row>
    <row r="59" spans="1:10" ht="43.2" x14ac:dyDescent="0.3">
      <c r="A59" s="19" t="s">
        <v>1439</v>
      </c>
      <c r="B59" s="38">
        <v>200000000</v>
      </c>
      <c r="C59" s="38">
        <v>200000000</v>
      </c>
      <c r="D59" s="38">
        <v>170174188.66999999</v>
      </c>
      <c r="E59" s="38">
        <v>106510133.67</v>
      </c>
      <c r="F59" s="38">
        <v>73766666.670000002</v>
      </c>
      <c r="G59" s="38">
        <v>583825</v>
      </c>
      <c r="H59" s="38">
        <v>29825811.330000013</v>
      </c>
      <c r="I59" s="27">
        <v>0.99708087499999998</v>
      </c>
      <c r="J59" s="27">
        <v>0.85087094334999991</v>
      </c>
    </row>
    <row r="60" spans="1:10" x14ac:dyDescent="0.3">
      <c r="A60" s="18" t="s">
        <v>1081</v>
      </c>
      <c r="B60" s="37">
        <v>70000000</v>
      </c>
      <c r="C60" s="37">
        <v>70000000</v>
      </c>
      <c r="D60" s="37">
        <v>69999440</v>
      </c>
      <c r="E60" s="37">
        <v>0</v>
      </c>
      <c r="F60" s="37">
        <v>0</v>
      </c>
      <c r="G60" s="37">
        <v>443</v>
      </c>
      <c r="H60" s="37">
        <v>560</v>
      </c>
      <c r="I60" s="31">
        <v>0.99999367142857143</v>
      </c>
      <c r="J60" s="31">
        <v>0.99999199999999999</v>
      </c>
    </row>
    <row r="61" spans="1:10" ht="43.2" x14ac:dyDescent="0.3">
      <c r="A61" s="19" t="s">
        <v>1440</v>
      </c>
      <c r="B61" s="38">
        <v>70000000</v>
      </c>
      <c r="C61" s="38">
        <v>70000000</v>
      </c>
      <c r="D61" s="38">
        <v>69999440</v>
      </c>
      <c r="E61" s="38">
        <v>0</v>
      </c>
      <c r="F61" s="38">
        <v>0</v>
      </c>
      <c r="G61" s="38">
        <v>443</v>
      </c>
      <c r="H61" s="38">
        <v>560</v>
      </c>
      <c r="I61" s="27">
        <v>0.99999367142857143</v>
      </c>
      <c r="J61" s="27">
        <v>0.99999199999999999</v>
      </c>
    </row>
    <row r="62" spans="1:10" ht="28.8" x14ac:dyDescent="0.3">
      <c r="A62" s="17" t="s">
        <v>1068</v>
      </c>
      <c r="B62" s="36">
        <v>9512642426</v>
      </c>
      <c r="C62" s="36">
        <v>16520723705.940001</v>
      </c>
      <c r="D62" s="36">
        <v>10938154694.99</v>
      </c>
      <c r="E62" s="36">
        <v>8914299936.0299988</v>
      </c>
      <c r="F62" s="36">
        <v>7167598071.6999998</v>
      </c>
      <c r="G62" s="36">
        <v>2480172514.8199997</v>
      </c>
      <c r="H62" s="36">
        <v>5582569010.9499989</v>
      </c>
      <c r="I62" s="30">
        <v>0.84987506849180838</v>
      </c>
      <c r="J62" s="30">
        <v>0.66208689701996559</v>
      </c>
    </row>
    <row r="63" spans="1:10" ht="28.8" x14ac:dyDescent="0.3">
      <c r="A63" s="18" t="s">
        <v>1069</v>
      </c>
      <c r="B63" s="37">
        <v>9512642426</v>
      </c>
      <c r="C63" s="37">
        <v>16520723705.940001</v>
      </c>
      <c r="D63" s="37">
        <v>10938154694.99</v>
      </c>
      <c r="E63" s="37">
        <v>8914299936.0299988</v>
      </c>
      <c r="F63" s="37">
        <v>7167598071.6999998</v>
      </c>
      <c r="G63" s="37">
        <v>2480172514.8199997</v>
      </c>
      <c r="H63" s="37">
        <v>5582569010.9499989</v>
      </c>
      <c r="I63" s="31">
        <v>0.84987506849180838</v>
      </c>
      <c r="J63" s="31">
        <v>0.66208689701996559</v>
      </c>
    </row>
    <row r="64" spans="1:10" ht="57.6" x14ac:dyDescent="0.3">
      <c r="A64" s="19" t="s">
        <v>1441</v>
      </c>
      <c r="B64" s="38">
        <v>7765042426</v>
      </c>
      <c r="C64" s="38">
        <v>7765042426</v>
      </c>
      <c r="D64" s="38">
        <v>6511595707.6599998</v>
      </c>
      <c r="E64" s="38">
        <v>6260162879.3299999</v>
      </c>
      <c r="F64" s="38">
        <v>4585633674</v>
      </c>
      <c r="G64" s="38">
        <v>409561865</v>
      </c>
      <c r="H64" s="38">
        <v>1253446718.3400002</v>
      </c>
      <c r="I64" s="27">
        <v>0.94725568225762069</v>
      </c>
      <c r="J64" s="27">
        <v>0.8385782524325901</v>
      </c>
    </row>
    <row r="65" spans="1:10" ht="57.6" x14ac:dyDescent="0.3">
      <c r="A65" s="19" t="s">
        <v>1442</v>
      </c>
      <c r="B65" s="38">
        <v>0</v>
      </c>
      <c r="C65" s="38">
        <v>7008081279.9400005</v>
      </c>
      <c r="D65" s="38">
        <v>2904519543.3299999</v>
      </c>
      <c r="E65" s="38">
        <v>1439071083.3299999</v>
      </c>
      <c r="F65" s="38">
        <v>1395149424.3299999</v>
      </c>
      <c r="G65" s="38">
        <v>2070374372.8200006</v>
      </c>
      <c r="H65" s="38">
        <v>4103561736.6100006</v>
      </c>
      <c r="I65" s="27">
        <v>0.70457329329979945</v>
      </c>
      <c r="J65" s="27">
        <v>0.41445289049998957</v>
      </c>
    </row>
    <row r="66" spans="1:10" ht="57.6" x14ac:dyDescent="0.3">
      <c r="A66" s="19" t="s">
        <v>1443</v>
      </c>
      <c r="B66" s="38">
        <v>1747600000</v>
      </c>
      <c r="C66" s="38">
        <v>1747600000</v>
      </c>
      <c r="D66" s="38">
        <v>1522039444</v>
      </c>
      <c r="E66" s="38">
        <v>1215065973.3699999</v>
      </c>
      <c r="F66" s="38">
        <v>1186814973.3699999</v>
      </c>
      <c r="G66" s="38">
        <v>236277</v>
      </c>
      <c r="H66" s="38">
        <v>225560556</v>
      </c>
      <c r="I66" s="27">
        <v>0.99986479915312432</v>
      </c>
      <c r="J66" s="27">
        <v>0.8709312451361868</v>
      </c>
    </row>
    <row r="67" spans="1:10" ht="57.6" x14ac:dyDescent="0.3">
      <c r="A67" s="17" t="s">
        <v>1173</v>
      </c>
      <c r="B67" s="36">
        <v>750000000</v>
      </c>
      <c r="C67" s="36">
        <v>750000000</v>
      </c>
      <c r="D67" s="36">
        <v>665083043.74000001</v>
      </c>
      <c r="E67" s="36">
        <v>387192600.74000001</v>
      </c>
      <c r="F67" s="36">
        <v>352560600.74000001</v>
      </c>
      <c r="G67" s="36">
        <v>50784814</v>
      </c>
      <c r="H67" s="36">
        <v>84916956.25999999</v>
      </c>
      <c r="I67" s="30">
        <v>0.93228691466666669</v>
      </c>
      <c r="J67" s="30">
        <v>0.88677739165333336</v>
      </c>
    </row>
    <row r="68" spans="1:10" ht="57.6" x14ac:dyDescent="0.3">
      <c r="A68" s="18" t="s">
        <v>1174</v>
      </c>
      <c r="B68" s="37">
        <v>300000000</v>
      </c>
      <c r="C68" s="37">
        <v>300000000</v>
      </c>
      <c r="D68" s="37">
        <v>254883100.74000001</v>
      </c>
      <c r="E68" s="37">
        <v>159492600.74000001</v>
      </c>
      <c r="F68" s="37">
        <v>124860600.73999999</v>
      </c>
      <c r="G68" s="37">
        <v>22984757</v>
      </c>
      <c r="H68" s="37">
        <v>45116899.25999999</v>
      </c>
      <c r="I68" s="31">
        <v>0.9233841433333333</v>
      </c>
      <c r="J68" s="31">
        <v>0.8496103358</v>
      </c>
    </row>
    <row r="69" spans="1:10" ht="57.6" x14ac:dyDescent="0.3">
      <c r="A69" s="19" t="s">
        <v>1444</v>
      </c>
      <c r="B69" s="38">
        <v>300000000</v>
      </c>
      <c r="C69" s="38">
        <v>300000000</v>
      </c>
      <c r="D69" s="38">
        <v>254883100.74000001</v>
      </c>
      <c r="E69" s="38">
        <v>159492600.74000001</v>
      </c>
      <c r="F69" s="38">
        <v>124860600.73999999</v>
      </c>
      <c r="G69" s="38">
        <v>22984757</v>
      </c>
      <c r="H69" s="38">
        <v>45116899.25999999</v>
      </c>
      <c r="I69" s="27">
        <v>0.9233841433333333</v>
      </c>
      <c r="J69" s="27">
        <v>0.8496103358</v>
      </c>
    </row>
    <row r="70" spans="1:10" ht="43.2" x14ac:dyDescent="0.3">
      <c r="A70" s="18" t="s">
        <v>1176</v>
      </c>
      <c r="B70" s="37">
        <v>300000000</v>
      </c>
      <c r="C70" s="37">
        <v>240600000</v>
      </c>
      <c r="D70" s="37">
        <v>212999943</v>
      </c>
      <c r="E70" s="37">
        <v>140000000</v>
      </c>
      <c r="F70" s="37">
        <v>140000000</v>
      </c>
      <c r="G70" s="37">
        <v>21500057</v>
      </c>
      <c r="H70" s="37">
        <v>27600057</v>
      </c>
      <c r="I70" s="31">
        <v>0.91063982959268497</v>
      </c>
      <c r="J70" s="31">
        <v>0.88528654613466329</v>
      </c>
    </row>
    <row r="71" spans="1:10" ht="57.6" x14ac:dyDescent="0.3">
      <c r="A71" s="19" t="s">
        <v>1445</v>
      </c>
      <c r="B71" s="38">
        <v>300000000</v>
      </c>
      <c r="C71" s="38">
        <v>240600000</v>
      </c>
      <c r="D71" s="38">
        <v>212999943</v>
      </c>
      <c r="E71" s="38">
        <v>140000000</v>
      </c>
      <c r="F71" s="38">
        <v>140000000</v>
      </c>
      <c r="G71" s="38">
        <v>21500057</v>
      </c>
      <c r="H71" s="38">
        <v>27600057</v>
      </c>
      <c r="I71" s="27">
        <v>0.91063982959268497</v>
      </c>
      <c r="J71" s="27">
        <v>0.88528654613466329</v>
      </c>
    </row>
    <row r="72" spans="1:10" ht="57.6" x14ac:dyDescent="0.3">
      <c r="A72" s="18" t="s">
        <v>1175</v>
      </c>
      <c r="B72" s="37">
        <v>150000000</v>
      </c>
      <c r="C72" s="37">
        <v>209400000</v>
      </c>
      <c r="D72" s="37">
        <v>197200000</v>
      </c>
      <c r="E72" s="37">
        <v>87700000</v>
      </c>
      <c r="F72" s="37">
        <v>87700000</v>
      </c>
      <c r="G72" s="37">
        <v>6300000</v>
      </c>
      <c r="H72" s="37">
        <v>12200000</v>
      </c>
      <c r="I72" s="31">
        <v>0.96991404011461313</v>
      </c>
      <c r="J72" s="31">
        <v>0.94173829990448898</v>
      </c>
    </row>
    <row r="73" spans="1:10" ht="57.6" x14ac:dyDescent="0.3">
      <c r="A73" s="19" t="s">
        <v>1446</v>
      </c>
      <c r="B73" s="38">
        <v>150000000</v>
      </c>
      <c r="C73" s="38">
        <v>209400000</v>
      </c>
      <c r="D73" s="38">
        <v>197200000</v>
      </c>
      <c r="E73" s="38">
        <v>87700000</v>
      </c>
      <c r="F73" s="38">
        <v>87700000</v>
      </c>
      <c r="G73" s="38">
        <v>6300000</v>
      </c>
      <c r="H73" s="38">
        <v>12200000</v>
      </c>
      <c r="I73" s="27">
        <v>0.96991404011461313</v>
      </c>
      <c r="J73" s="27">
        <v>0.94173829990448898</v>
      </c>
    </row>
    <row r="74" spans="1:10" ht="28.8" x14ac:dyDescent="0.3">
      <c r="A74" s="17" t="s">
        <v>1115</v>
      </c>
      <c r="B74" s="36">
        <v>550000000</v>
      </c>
      <c r="C74" s="36">
        <v>550000000</v>
      </c>
      <c r="D74" s="36">
        <v>493562196</v>
      </c>
      <c r="E74" s="36">
        <v>442512200</v>
      </c>
      <c r="F74" s="36">
        <v>327328000</v>
      </c>
      <c r="G74" s="36">
        <v>14844040</v>
      </c>
      <c r="H74" s="36">
        <v>56437804</v>
      </c>
      <c r="I74" s="30">
        <v>0.97301083636363639</v>
      </c>
      <c r="J74" s="30">
        <v>0.89738581090909086</v>
      </c>
    </row>
    <row r="75" spans="1:10" ht="28.8" x14ac:dyDescent="0.3">
      <c r="A75" s="18" t="s">
        <v>1161</v>
      </c>
      <c r="B75" s="37">
        <v>500000000</v>
      </c>
      <c r="C75" s="37">
        <v>500000000</v>
      </c>
      <c r="D75" s="37">
        <v>443562200</v>
      </c>
      <c r="E75" s="37">
        <v>442512200</v>
      </c>
      <c r="F75" s="37">
        <v>327328000</v>
      </c>
      <c r="G75" s="37">
        <v>14844036</v>
      </c>
      <c r="H75" s="37">
        <v>56437800</v>
      </c>
      <c r="I75" s="31">
        <v>0.97031192799999999</v>
      </c>
      <c r="J75" s="31">
        <v>0.88712440000000004</v>
      </c>
    </row>
    <row r="76" spans="1:10" ht="43.2" x14ac:dyDescent="0.3">
      <c r="A76" s="19" t="s">
        <v>1447</v>
      </c>
      <c r="B76" s="38">
        <v>500000000</v>
      </c>
      <c r="C76" s="38">
        <v>500000000</v>
      </c>
      <c r="D76" s="38">
        <v>443562200</v>
      </c>
      <c r="E76" s="38">
        <v>442512200</v>
      </c>
      <c r="F76" s="38">
        <v>327328000</v>
      </c>
      <c r="G76" s="38">
        <v>14844036</v>
      </c>
      <c r="H76" s="38">
        <v>56437800</v>
      </c>
      <c r="I76" s="27">
        <v>0.97031192799999999</v>
      </c>
      <c r="J76" s="27">
        <v>0.88712440000000004</v>
      </c>
    </row>
    <row r="77" spans="1:10" ht="43.2" x14ac:dyDescent="0.3">
      <c r="A77" s="18" t="s">
        <v>1116</v>
      </c>
      <c r="B77" s="37">
        <v>50000000</v>
      </c>
      <c r="C77" s="37">
        <v>50000000</v>
      </c>
      <c r="D77" s="37">
        <v>49999996</v>
      </c>
      <c r="E77" s="37">
        <v>0</v>
      </c>
      <c r="F77" s="37">
        <v>0</v>
      </c>
      <c r="G77" s="37">
        <v>4</v>
      </c>
      <c r="H77" s="37">
        <v>4</v>
      </c>
      <c r="I77" s="31">
        <v>0.99999992000000004</v>
      </c>
      <c r="J77" s="31">
        <v>0.99999992000000004</v>
      </c>
    </row>
    <row r="78" spans="1:10" ht="57.6" x14ac:dyDescent="0.3">
      <c r="A78" s="19" t="s">
        <v>1448</v>
      </c>
      <c r="B78" s="38">
        <v>50000000</v>
      </c>
      <c r="C78" s="38">
        <v>50000000</v>
      </c>
      <c r="D78" s="38">
        <v>49999996</v>
      </c>
      <c r="E78" s="38">
        <v>0</v>
      </c>
      <c r="F78" s="38">
        <v>0</v>
      </c>
      <c r="G78" s="38">
        <v>4</v>
      </c>
      <c r="H78" s="38">
        <v>4</v>
      </c>
      <c r="I78" s="27">
        <v>0.99999992000000004</v>
      </c>
      <c r="J78" s="27">
        <v>0.99999992000000004</v>
      </c>
    </row>
    <row r="79" spans="1:10" ht="28.8" x14ac:dyDescent="0.3">
      <c r="A79" s="17" t="s">
        <v>1190</v>
      </c>
      <c r="B79" s="36">
        <v>75000000</v>
      </c>
      <c r="C79" s="36">
        <v>75000000</v>
      </c>
      <c r="D79" s="36">
        <v>74256666.670000002</v>
      </c>
      <c r="E79" s="36">
        <v>42916666.670000002</v>
      </c>
      <c r="F79" s="36">
        <v>42916666.670000002</v>
      </c>
      <c r="G79" s="36">
        <v>160000</v>
      </c>
      <c r="H79" s="36">
        <v>743333.32999999821</v>
      </c>
      <c r="I79" s="30">
        <v>0.99786666666666668</v>
      </c>
      <c r="J79" s="30">
        <v>0.99008888893333336</v>
      </c>
    </row>
    <row r="80" spans="1:10" ht="28.8" x14ac:dyDescent="0.3">
      <c r="A80" s="18" t="s">
        <v>1191</v>
      </c>
      <c r="B80" s="37">
        <v>75000000</v>
      </c>
      <c r="C80" s="37">
        <v>75000000</v>
      </c>
      <c r="D80" s="37">
        <v>74256666.670000002</v>
      </c>
      <c r="E80" s="37">
        <v>42916666.670000002</v>
      </c>
      <c r="F80" s="37">
        <v>42916666.670000002</v>
      </c>
      <c r="G80" s="37">
        <v>160000</v>
      </c>
      <c r="H80" s="37">
        <v>743333.32999999821</v>
      </c>
      <c r="I80" s="31">
        <v>0.99786666666666668</v>
      </c>
      <c r="J80" s="31">
        <v>0.99008888893333336</v>
      </c>
    </row>
    <row r="81" spans="1:10" ht="28.8" x14ac:dyDescent="0.3">
      <c r="A81" s="19" t="s">
        <v>1449</v>
      </c>
      <c r="B81" s="38">
        <v>37500000</v>
      </c>
      <c r="C81" s="38">
        <v>37500000</v>
      </c>
      <c r="D81" s="38">
        <v>37460000</v>
      </c>
      <c r="E81" s="38">
        <v>12500000</v>
      </c>
      <c r="F81" s="38">
        <v>12500000</v>
      </c>
      <c r="G81" s="38">
        <v>40000</v>
      </c>
      <c r="H81" s="38">
        <v>40000</v>
      </c>
      <c r="I81" s="27">
        <v>0.99893333333333334</v>
      </c>
      <c r="J81" s="27">
        <v>0.99893333333333334</v>
      </c>
    </row>
    <row r="82" spans="1:10" ht="43.2" x14ac:dyDescent="0.3">
      <c r="A82" s="19" t="s">
        <v>1450</v>
      </c>
      <c r="B82" s="38">
        <v>37500000</v>
      </c>
      <c r="C82" s="38">
        <v>37500000</v>
      </c>
      <c r="D82" s="38">
        <v>36796666.670000002</v>
      </c>
      <c r="E82" s="38">
        <v>30416666.670000002</v>
      </c>
      <c r="F82" s="38">
        <v>30416666.670000002</v>
      </c>
      <c r="G82" s="38">
        <v>120000</v>
      </c>
      <c r="H82" s="38">
        <v>703333.32999999821</v>
      </c>
      <c r="I82" s="27">
        <v>0.99680000000000002</v>
      </c>
      <c r="J82" s="27">
        <v>0.98124444453333337</v>
      </c>
    </row>
    <row r="83" spans="1:10" x14ac:dyDescent="0.3">
      <c r="A83" s="19" t="s">
        <v>1673</v>
      </c>
      <c r="B83" s="38">
        <v>15768439281</v>
      </c>
      <c r="C83" s="38">
        <v>23791995175.900002</v>
      </c>
      <c r="D83" s="38">
        <v>17002159060.33</v>
      </c>
      <c r="E83" s="38">
        <v>12819461514.450001</v>
      </c>
      <c r="F83" s="38">
        <v>10414891605.950001</v>
      </c>
      <c r="G83" s="38">
        <v>2824580917.1499977</v>
      </c>
      <c r="H83" s="38">
        <v>6789836115.5699978</v>
      </c>
      <c r="I83" s="27">
        <v>0.88128019965256443</v>
      </c>
      <c r="J83" s="27">
        <v>0.71461678327643019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CA56-E95F-4C5B-B8CB-FD2702BEBE85}">
  <dimension ref="A1:J43"/>
  <sheetViews>
    <sheetView topLeftCell="A18" workbookViewId="0">
      <selection activeCell="B22" sqref="B22"/>
    </sheetView>
  </sheetViews>
  <sheetFormatPr baseColWidth="10" defaultRowHeight="14.4" x14ac:dyDescent="0.3"/>
  <cols>
    <col min="1" max="1" width="48.6640625" customWidth="1"/>
    <col min="2" max="6" width="18.6640625" style="5" bestFit="1" customWidth="1"/>
    <col min="7" max="7" width="23.6640625" style="5" bestFit="1" customWidth="1"/>
    <col min="8" max="8" width="22.109375" style="5" bestFit="1" customWidth="1"/>
    <col min="9" max="9" width="14.109375" style="8" bestFit="1" customWidth="1"/>
    <col min="10" max="10" width="12.88671875" style="8" bestFit="1" customWidth="1"/>
  </cols>
  <sheetData>
    <row r="1" spans="1:10" x14ac:dyDescent="0.3">
      <c r="A1" s="13" t="s">
        <v>2</v>
      </c>
      <c r="B1" s="33" t="s">
        <v>1657</v>
      </c>
      <c r="C1" s="33"/>
      <c r="D1" s="33"/>
      <c r="E1" s="33"/>
      <c r="F1" s="33"/>
      <c r="G1" s="33"/>
      <c r="H1" s="33"/>
      <c r="I1" s="27"/>
      <c r="J1" s="27"/>
    </row>
    <row r="3" spans="1:10" x14ac:dyDescent="0.3">
      <c r="A3" s="13" t="s">
        <v>1672</v>
      </c>
      <c r="B3" s="33" t="s">
        <v>1666</v>
      </c>
      <c r="C3" s="33" t="s">
        <v>1667</v>
      </c>
      <c r="D3" s="33" t="s">
        <v>1669</v>
      </c>
      <c r="E3" s="33" t="s">
        <v>1668</v>
      </c>
      <c r="F3" s="33" t="s">
        <v>1670</v>
      </c>
      <c r="G3" s="33" t="s">
        <v>1642</v>
      </c>
      <c r="H3" s="33" t="s">
        <v>1671</v>
      </c>
      <c r="I3" s="27" t="s">
        <v>1643</v>
      </c>
      <c r="J3" s="27" t="s">
        <v>1644</v>
      </c>
    </row>
    <row r="4" spans="1:10" x14ac:dyDescent="0.3">
      <c r="A4" s="20" t="s">
        <v>1227</v>
      </c>
      <c r="B4" s="39">
        <v>22048400642</v>
      </c>
      <c r="C4" s="39">
        <v>26015652959.140007</v>
      </c>
      <c r="D4" s="39">
        <v>20474388109.970001</v>
      </c>
      <c r="E4" s="39">
        <v>15290191063.620001</v>
      </c>
      <c r="F4" s="39">
        <v>14917774709.620001</v>
      </c>
      <c r="G4" s="39">
        <v>5203737721.6600037</v>
      </c>
      <c r="H4" s="39">
        <v>5541264849.170002</v>
      </c>
      <c r="I4" s="32">
        <v>0.79997666290240887</v>
      </c>
      <c r="J4" s="32">
        <v>0.78700266113354633</v>
      </c>
    </row>
    <row r="5" spans="1:10" x14ac:dyDescent="0.3">
      <c r="A5" s="16" t="s">
        <v>1026</v>
      </c>
      <c r="B5" s="35">
        <v>16202500641.93</v>
      </c>
      <c r="C5" s="35">
        <v>17995040619.100002</v>
      </c>
      <c r="D5" s="35">
        <v>14038567677.23</v>
      </c>
      <c r="E5" s="35">
        <v>10015469495.67</v>
      </c>
      <c r="F5" s="35">
        <v>9698222830.6700001</v>
      </c>
      <c r="G5" s="35">
        <v>3784111318.6699982</v>
      </c>
      <c r="H5" s="35">
        <v>3956472941.8699989</v>
      </c>
      <c r="I5" s="29">
        <v>0.78971365506930113</v>
      </c>
      <c r="J5" s="29">
        <v>0.78013537031583113</v>
      </c>
    </row>
    <row r="6" spans="1:10" x14ac:dyDescent="0.3">
      <c r="A6" s="17" t="s">
        <v>1098</v>
      </c>
      <c r="B6" s="36">
        <v>7455800000</v>
      </c>
      <c r="C6" s="36">
        <v>5535400001.4399996</v>
      </c>
      <c r="D6" s="36">
        <v>2194200000</v>
      </c>
      <c r="E6" s="36">
        <v>188400000</v>
      </c>
      <c r="F6" s="36">
        <v>176800000</v>
      </c>
      <c r="G6" s="36">
        <v>3341200001.4399996</v>
      </c>
      <c r="H6" s="36">
        <v>3341200001.4399996</v>
      </c>
      <c r="I6" s="30">
        <v>0.39639411775647515</v>
      </c>
      <c r="J6" s="30">
        <v>0.39639411775647515</v>
      </c>
    </row>
    <row r="7" spans="1:10" ht="28.8" x14ac:dyDescent="0.3">
      <c r="A7" s="18" t="s">
        <v>1158</v>
      </c>
      <c r="B7" s="37">
        <v>7455800000</v>
      </c>
      <c r="C7" s="37">
        <v>5535400001.4399996</v>
      </c>
      <c r="D7" s="37">
        <v>2194200000</v>
      </c>
      <c r="E7" s="37">
        <v>188400000</v>
      </c>
      <c r="F7" s="37">
        <v>176800000</v>
      </c>
      <c r="G7" s="37">
        <v>3341200001.4399996</v>
      </c>
      <c r="H7" s="37">
        <v>3341200001.4399996</v>
      </c>
      <c r="I7" s="31">
        <v>0.39639411775647515</v>
      </c>
      <c r="J7" s="31">
        <v>0.39639411775647515</v>
      </c>
    </row>
    <row r="8" spans="1:10" ht="43.2" x14ac:dyDescent="0.3">
      <c r="A8" s="19" t="s">
        <v>1451</v>
      </c>
      <c r="B8" s="38">
        <v>7455800000</v>
      </c>
      <c r="C8" s="38">
        <v>5535400001.4399996</v>
      </c>
      <c r="D8" s="38">
        <v>2194200000</v>
      </c>
      <c r="E8" s="38">
        <v>188400000</v>
      </c>
      <c r="F8" s="38">
        <v>176800000</v>
      </c>
      <c r="G8" s="38">
        <v>3341200001.4399996</v>
      </c>
      <c r="H8" s="38">
        <v>3341200001.4399996</v>
      </c>
      <c r="I8" s="27">
        <v>0.39639411775647515</v>
      </c>
      <c r="J8" s="27">
        <v>0.39639411775647515</v>
      </c>
    </row>
    <row r="9" spans="1:10" ht="28.8" x14ac:dyDescent="0.3">
      <c r="A9" s="17" t="s">
        <v>1091</v>
      </c>
      <c r="B9" s="36">
        <v>8746700641.9300003</v>
      </c>
      <c r="C9" s="36">
        <v>12459640617.66</v>
      </c>
      <c r="D9" s="36">
        <v>11844367677.23</v>
      </c>
      <c r="E9" s="36">
        <v>9827069495.6700001</v>
      </c>
      <c r="F9" s="36">
        <v>9521422830.6700001</v>
      </c>
      <c r="G9" s="36">
        <v>442911317.22999954</v>
      </c>
      <c r="H9" s="36">
        <v>615272940.43000031</v>
      </c>
      <c r="I9" s="30">
        <v>0.96445232002902015</v>
      </c>
      <c r="J9" s="30">
        <v>0.95061872494476873</v>
      </c>
    </row>
    <row r="10" spans="1:10" ht="28.8" x14ac:dyDescent="0.3">
      <c r="A10" s="18" t="s">
        <v>1111</v>
      </c>
      <c r="B10" s="37">
        <v>7106400000</v>
      </c>
      <c r="C10" s="37">
        <v>10650367868.18</v>
      </c>
      <c r="D10" s="37">
        <v>10240108078.23</v>
      </c>
      <c r="E10" s="37">
        <v>8281809896.6700001</v>
      </c>
      <c r="F10" s="37">
        <v>8087076564.6700001</v>
      </c>
      <c r="G10" s="37">
        <v>298059817.75</v>
      </c>
      <c r="H10" s="37">
        <v>410259789.95000076</v>
      </c>
      <c r="I10" s="31">
        <v>0.97201412932970044</v>
      </c>
      <c r="J10" s="31">
        <v>0.96147928456295584</v>
      </c>
    </row>
    <row r="11" spans="1:10" ht="43.2" x14ac:dyDescent="0.3">
      <c r="A11" s="19" t="s">
        <v>1452</v>
      </c>
      <c r="B11" s="38">
        <v>556000000</v>
      </c>
      <c r="C11" s="38">
        <v>308000000</v>
      </c>
      <c r="D11" s="38">
        <v>259600000</v>
      </c>
      <c r="E11" s="38">
        <v>253600000</v>
      </c>
      <c r="F11" s="38">
        <v>253600000</v>
      </c>
      <c r="G11" s="38">
        <v>48400000</v>
      </c>
      <c r="H11" s="38">
        <v>48400000</v>
      </c>
      <c r="I11" s="27">
        <v>0.84285714285714286</v>
      </c>
      <c r="J11" s="27">
        <v>0.84285714285714286</v>
      </c>
    </row>
    <row r="12" spans="1:10" ht="43.2" x14ac:dyDescent="0.3">
      <c r="A12" s="19" t="s">
        <v>1453</v>
      </c>
      <c r="B12" s="38">
        <v>4436200000</v>
      </c>
      <c r="C12" s="38">
        <v>6857369202.3299999</v>
      </c>
      <c r="D12" s="38">
        <v>6698373213.7299995</v>
      </c>
      <c r="E12" s="38">
        <v>5947743233.6700001</v>
      </c>
      <c r="F12" s="38">
        <v>5767669900.6700001</v>
      </c>
      <c r="G12" s="38">
        <v>55857349.729999542</v>
      </c>
      <c r="H12" s="38">
        <v>158995988.60000038</v>
      </c>
      <c r="I12" s="27">
        <v>0.99185440537297886</v>
      </c>
      <c r="J12" s="27">
        <v>0.97681385033986845</v>
      </c>
    </row>
    <row r="13" spans="1:10" ht="43.2" x14ac:dyDescent="0.3">
      <c r="A13" s="19" t="s">
        <v>1454</v>
      </c>
      <c r="B13" s="38">
        <v>0</v>
      </c>
      <c r="C13" s="38">
        <v>959798665</v>
      </c>
      <c r="D13" s="38">
        <v>918250948</v>
      </c>
      <c r="E13" s="38">
        <v>0</v>
      </c>
      <c r="F13" s="38">
        <v>0</v>
      </c>
      <c r="G13" s="38">
        <v>41547717</v>
      </c>
      <c r="H13" s="38">
        <v>41547717</v>
      </c>
      <c r="I13" s="27">
        <v>0.95671204960469491</v>
      </c>
      <c r="J13" s="27">
        <v>0.95671204960469491</v>
      </c>
    </row>
    <row r="14" spans="1:10" ht="72" x14ac:dyDescent="0.3">
      <c r="A14" s="19" t="s">
        <v>1455</v>
      </c>
      <c r="B14" s="38">
        <v>2114200000</v>
      </c>
      <c r="C14" s="38">
        <v>2525200000.8499999</v>
      </c>
      <c r="D14" s="38">
        <v>2363883916.5</v>
      </c>
      <c r="E14" s="38">
        <v>2080466663</v>
      </c>
      <c r="F14" s="38">
        <v>2065806664</v>
      </c>
      <c r="G14" s="38">
        <v>152254751.01999998</v>
      </c>
      <c r="H14" s="38">
        <v>161316084.3499999</v>
      </c>
      <c r="I14" s="27">
        <v>0.93970586449835658</v>
      </c>
      <c r="J14" s="27">
        <v>0.93611750186294163</v>
      </c>
    </row>
    <row r="15" spans="1:10" ht="28.8" x14ac:dyDescent="0.3">
      <c r="A15" s="18" t="s">
        <v>1204</v>
      </c>
      <c r="B15" s="37">
        <v>1320200641.9299998</v>
      </c>
      <c r="C15" s="37">
        <v>1489172749.48</v>
      </c>
      <c r="D15" s="37">
        <v>1284159599</v>
      </c>
      <c r="E15" s="37">
        <v>1229559599</v>
      </c>
      <c r="F15" s="37">
        <v>1126646266</v>
      </c>
      <c r="G15" s="37">
        <v>144851499.48000002</v>
      </c>
      <c r="H15" s="37">
        <v>205013150.48000002</v>
      </c>
      <c r="I15" s="31">
        <v>0.90273022419287463</v>
      </c>
      <c r="J15" s="31">
        <v>0.86233084741069299</v>
      </c>
    </row>
    <row r="16" spans="1:10" ht="28.8" x14ac:dyDescent="0.3">
      <c r="A16" s="19" t="s">
        <v>1456</v>
      </c>
      <c r="B16" s="38">
        <v>1320200641.9299998</v>
      </c>
      <c r="C16" s="38">
        <v>1489172749.48</v>
      </c>
      <c r="D16" s="38">
        <v>1284159599</v>
      </c>
      <c r="E16" s="38">
        <v>1229559599</v>
      </c>
      <c r="F16" s="38">
        <v>1126646266</v>
      </c>
      <c r="G16" s="38">
        <v>144851499.48000002</v>
      </c>
      <c r="H16" s="38">
        <v>205013150.48000002</v>
      </c>
      <c r="I16" s="27">
        <v>0.90273022419287463</v>
      </c>
      <c r="J16" s="27">
        <v>0.86233084741069299</v>
      </c>
    </row>
    <row r="17" spans="1:10" ht="43.2" x14ac:dyDescent="0.3">
      <c r="A17" s="18" t="s">
        <v>1092</v>
      </c>
      <c r="B17" s="37">
        <v>320100000</v>
      </c>
      <c r="C17" s="37">
        <v>320100000</v>
      </c>
      <c r="D17" s="37">
        <v>320100000</v>
      </c>
      <c r="E17" s="37">
        <v>315700000</v>
      </c>
      <c r="F17" s="37">
        <v>307700000</v>
      </c>
      <c r="G17" s="37">
        <v>0</v>
      </c>
      <c r="H17" s="37">
        <v>0</v>
      </c>
      <c r="I17" s="31">
        <v>1</v>
      </c>
      <c r="J17" s="31">
        <v>1</v>
      </c>
    </row>
    <row r="18" spans="1:10" ht="86.4" x14ac:dyDescent="0.3">
      <c r="A18" s="19" t="s">
        <v>1457</v>
      </c>
      <c r="B18" s="38">
        <v>320100000</v>
      </c>
      <c r="C18" s="38">
        <v>320100000</v>
      </c>
      <c r="D18" s="38">
        <v>320100000</v>
      </c>
      <c r="E18" s="38">
        <v>315700000</v>
      </c>
      <c r="F18" s="38">
        <v>307700000</v>
      </c>
      <c r="G18" s="38">
        <v>0</v>
      </c>
      <c r="H18" s="38">
        <v>0</v>
      </c>
      <c r="I18" s="27">
        <v>1</v>
      </c>
      <c r="J18" s="27">
        <v>1</v>
      </c>
    </row>
    <row r="19" spans="1:10" x14ac:dyDescent="0.3">
      <c r="A19" s="16" t="s">
        <v>1030</v>
      </c>
      <c r="B19" s="35">
        <v>2613040000</v>
      </c>
      <c r="C19" s="35">
        <v>3451456871.3099999</v>
      </c>
      <c r="D19" s="35">
        <v>2572018525.7399998</v>
      </c>
      <c r="E19" s="35">
        <v>2501547924.9499998</v>
      </c>
      <c r="F19" s="35">
        <v>2474671568.9499998</v>
      </c>
      <c r="G19" s="35">
        <v>793139198.26000023</v>
      </c>
      <c r="H19" s="35">
        <v>879438345.57000065</v>
      </c>
      <c r="I19" s="29">
        <v>0.77020161982816138</v>
      </c>
      <c r="J19" s="29">
        <v>0.74519793282649083</v>
      </c>
    </row>
    <row r="20" spans="1:10" ht="28.8" x14ac:dyDescent="0.3">
      <c r="A20" s="17" t="s">
        <v>1123</v>
      </c>
      <c r="B20" s="36">
        <v>2613040000</v>
      </c>
      <c r="C20" s="36">
        <v>3451456871.3099999</v>
      </c>
      <c r="D20" s="36">
        <v>2572018525.7399998</v>
      </c>
      <c r="E20" s="36">
        <v>2501547924.9499998</v>
      </c>
      <c r="F20" s="36">
        <v>2474671568.9499998</v>
      </c>
      <c r="G20" s="36">
        <v>793139198.26000023</v>
      </c>
      <c r="H20" s="36">
        <v>879438345.57000065</v>
      </c>
      <c r="I20" s="30">
        <v>0.77020161982816138</v>
      </c>
      <c r="J20" s="30">
        <v>0.74519793282649083</v>
      </c>
    </row>
    <row r="21" spans="1:10" ht="28.8" x14ac:dyDescent="0.3">
      <c r="A21" s="18" t="s">
        <v>1154</v>
      </c>
      <c r="B21" s="37">
        <v>2443640000</v>
      </c>
      <c r="C21" s="37">
        <v>3282056871.3099999</v>
      </c>
      <c r="D21" s="37">
        <v>2402618525.7399998</v>
      </c>
      <c r="E21" s="37">
        <v>2332147924.9499998</v>
      </c>
      <c r="F21" s="37">
        <v>2305271568.9499998</v>
      </c>
      <c r="G21" s="37">
        <v>793139198.26000023</v>
      </c>
      <c r="H21" s="37">
        <v>879438345.57000065</v>
      </c>
      <c r="I21" s="31">
        <v>0.75834081207025927</v>
      </c>
      <c r="J21" s="31">
        <v>0.73204658540271372</v>
      </c>
    </row>
    <row r="22" spans="1:10" ht="43.2" x14ac:dyDescent="0.3">
      <c r="A22" s="19" t="s">
        <v>1458</v>
      </c>
      <c r="B22" s="38">
        <v>452920000</v>
      </c>
      <c r="C22" s="38">
        <v>891585783.64999998</v>
      </c>
      <c r="D22" s="38">
        <v>369527852.77999997</v>
      </c>
      <c r="E22" s="38">
        <v>369464612.77999997</v>
      </c>
      <c r="F22" s="38">
        <v>362861589.77999997</v>
      </c>
      <c r="G22" s="38">
        <v>512666315.98999995</v>
      </c>
      <c r="H22" s="38">
        <v>522057930.87</v>
      </c>
      <c r="I22" s="27">
        <v>0.42499496359034394</v>
      </c>
      <c r="J22" s="27">
        <v>0.41446135588570743</v>
      </c>
    </row>
    <row r="23" spans="1:10" ht="57.6" x14ac:dyDescent="0.3">
      <c r="A23" s="19" t="s">
        <v>1459</v>
      </c>
      <c r="B23" s="38">
        <v>328600000</v>
      </c>
      <c r="C23" s="38">
        <v>545626666.65999997</v>
      </c>
      <c r="D23" s="38">
        <v>289638732</v>
      </c>
      <c r="E23" s="38">
        <v>257638732</v>
      </c>
      <c r="F23" s="38">
        <v>253538732</v>
      </c>
      <c r="G23" s="38">
        <v>186983926.32999998</v>
      </c>
      <c r="H23" s="38">
        <v>255987934.65999997</v>
      </c>
      <c r="I23" s="27">
        <v>0.65730427459749408</v>
      </c>
      <c r="J23" s="27">
        <v>0.53083683349458533</v>
      </c>
    </row>
    <row r="24" spans="1:10" ht="43.2" x14ac:dyDescent="0.3">
      <c r="A24" s="19" t="s">
        <v>1460</v>
      </c>
      <c r="B24" s="38">
        <v>1662120000</v>
      </c>
      <c r="C24" s="38">
        <v>1844844421</v>
      </c>
      <c r="D24" s="38">
        <v>1743451940.96</v>
      </c>
      <c r="E24" s="38">
        <v>1705044580.1700001</v>
      </c>
      <c r="F24" s="38">
        <v>1688871247.1700001</v>
      </c>
      <c r="G24" s="38">
        <v>93488955.940000057</v>
      </c>
      <c r="H24" s="38">
        <v>101392480.03999996</v>
      </c>
      <c r="I24" s="27">
        <v>0.94932420594614464</v>
      </c>
      <c r="J24" s="27">
        <v>0.94504009178994075</v>
      </c>
    </row>
    <row r="25" spans="1:10" x14ac:dyDescent="0.3">
      <c r="A25" s="18" t="s">
        <v>1124</v>
      </c>
      <c r="B25" s="37">
        <v>169400000</v>
      </c>
      <c r="C25" s="37">
        <v>169400000</v>
      </c>
      <c r="D25" s="37">
        <v>169400000</v>
      </c>
      <c r="E25" s="37">
        <v>169400000</v>
      </c>
      <c r="F25" s="37">
        <v>169400000</v>
      </c>
      <c r="G25" s="37">
        <v>0</v>
      </c>
      <c r="H25" s="37">
        <v>0</v>
      </c>
      <c r="I25" s="31">
        <v>1</v>
      </c>
      <c r="J25" s="31">
        <v>1</v>
      </c>
    </row>
    <row r="26" spans="1:10" ht="57.6" x14ac:dyDescent="0.3">
      <c r="A26" s="19" t="s">
        <v>1461</v>
      </c>
      <c r="B26" s="38">
        <v>169400000</v>
      </c>
      <c r="C26" s="38">
        <v>169400000</v>
      </c>
      <c r="D26" s="38">
        <v>169400000</v>
      </c>
      <c r="E26" s="38">
        <v>169400000</v>
      </c>
      <c r="F26" s="38">
        <v>169400000</v>
      </c>
      <c r="G26" s="38">
        <v>0</v>
      </c>
      <c r="H26" s="38">
        <v>0</v>
      </c>
      <c r="I26" s="27">
        <v>1</v>
      </c>
      <c r="J26" s="27">
        <v>1</v>
      </c>
    </row>
    <row r="27" spans="1:10" x14ac:dyDescent="0.3">
      <c r="A27" s="16" t="s">
        <v>1055</v>
      </c>
      <c r="B27" s="35">
        <v>517000000.06999999</v>
      </c>
      <c r="C27" s="35">
        <v>584500000.06999993</v>
      </c>
      <c r="D27" s="35">
        <v>481726665</v>
      </c>
      <c r="E27" s="35">
        <v>479193332</v>
      </c>
      <c r="F27" s="35">
        <v>468593332</v>
      </c>
      <c r="G27" s="35">
        <v>102773335.06999993</v>
      </c>
      <c r="H27" s="35">
        <v>102773335.06999993</v>
      </c>
      <c r="I27" s="29">
        <v>0.8241688022965068</v>
      </c>
      <c r="J27" s="29">
        <v>0.8241688022965068</v>
      </c>
    </row>
    <row r="28" spans="1:10" ht="28.8" x14ac:dyDescent="0.3">
      <c r="A28" s="17" t="s">
        <v>1113</v>
      </c>
      <c r="B28" s="36">
        <v>517000000.06999999</v>
      </c>
      <c r="C28" s="36">
        <v>584500000.06999993</v>
      </c>
      <c r="D28" s="36">
        <v>481726665</v>
      </c>
      <c r="E28" s="36">
        <v>479193332</v>
      </c>
      <c r="F28" s="36">
        <v>468593332</v>
      </c>
      <c r="G28" s="36">
        <v>102773335.06999993</v>
      </c>
      <c r="H28" s="36">
        <v>102773335.06999993</v>
      </c>
      <c r="I28" s="30">
        <v>0.8241688022965068</v>
      </c>
      <c r="J28" s="30">
        <v>0.8241688022965068</v>
      </c>
    </row>
    <row r="29" spans="1:10" x14ac:dyDescent="0.3">
      <c r="A29" s="18" t="s">
        <v>1198</v>
      </c>
      <c r="B29" s="37">
        <v>239800000</v>
      </c>
      <c r="C29" s="37">
        <v>239800000</v>
      </c>
      <c r="D29" s="37">
        <v>198586666</v>
      </c>
      <c r="E29" s="37">
        <v>198586666</v>
      </c>
      <c r="F29" s="37">
        <v>191586666</v>
      </c>
      <c r="G29" s="37">
        <v>41213334</v>
      </c>
      <c r="H29" s="37">
        <v>41213334</v>
      </c>
      <c r="I29" s="31">
        <v>0.82813455379482903</v>
      </c>
      <c r="J29" s="31">
        <v>0.82813455379482903</v>
      </c>
    </row>
    <row r="30" spans="1:10" ht="86.4" x14ac:dyDescent="0.3">
      <c r="A30" s="19" t="s">
        <v>1462</v>
      </c>
      <c r="B30" s="38">
        <v>239800000</v>
      </c>
      <c r="C30" s="38">
        <v>239800000</v>
      </c>
      <c r="D30" s="38">
        <v>198586666</v>
      </c>
      <c r="E30" s="38">
        <v>198586666</v>
      </c>
      <c r="F30" s="38">
        <v>191586666</v>
      </c>
      <c r="G30" s="38">
        <v>41213334</v>
      </c>
      <c r="H30" s="38">
        <v>41213334</v>
      </c>
      <c r="I30" s="27">
        <v>0.82813455379482903</v>
      </c>
      <c r="J30" s="27">
        <v>0.82813455379482903</v>
      </c>
    </row>
    <row r="31" spans="1:10" ht="28.8" x14ac:dyDescent="0.3">
      <c r="A31" s="18" t="s">
        <v>1114</v>
      </c>
      <c r="B31" s="37">
        <v>277200000.06999999</v>
      </c>
      <c r="C31" s="37">
        <v>344700000.06999999</v>
      </c>
      <c r="D31" s="37">
        <v>283139999</v>
      </c>
      <c r="E31" s="37">
        <v>280606666</v>
      </c>
      <c r="F31" s="37">
        <v>277006666</v>
      </c>
      <c r="G31" s="37">
        <v>61560001.069999993</v>
      </c>
      <c r="H31" s="37">
        <v>61560001.069999993</v>
      </c>
      <c r="I31" s="31">
        <v>0.82140991860313695</v>
      </c>
      <c r="J31" s="31">
        <v>0.82140991860313695</v>
      </c>
    </row>
    <row r="32" spans="1:10" ht="72" x14ac:dyDescent="0.3">
      <c r="A32" s="19" t="s">
        <v>1463</v>
      </c>
      <c r="B32" s="38">
        <v>277200000.06999999</v>
      </c>
      <c r="C32" s="38">
        <v>344700000.06999999</v>
      </c>
      <c r="D32" s="38">
        <v>283139999</v>
      </c>
      <c r="E32" s="38">
        <v>280606666</v>
      </c>
      <c r="F32" s="38">
        <v>277006666</v>
      </c>
      <c r="G32" s="38">
        <v>61560001.069999993</v>
      </c>
      <c r="H32" s="38">
        <v>61560001.069999993</v>
      </c>
      <c r="I32" s="27">
        <v>0.82140991860313695</v>
      </c>
      <c r="J32" s="27">
        <v>0.82140991860313695</v>
      </c>
    </row>
    <row r="33" spans="1:10" x14ac:dyDescent="0.3">
      <c r="A33" s="16" t="s">
        <v>1018</v>
      </c>
      <c r="B33" s="35">
        <v>2715860000</v>
      </c>
      <c r="C33" s="35">
        <v>3984655468.6599998</v>
      </c>
      <c r="D33" s="35">
        <v>3382075242</v>
      </c>
      <c r="E33" s="35">
        <v>2293980311</v>
      </c>
      <c r="F33" s="35">
        <v>2276286978</v>
      </c>
      <c r="G33" s="35">
        <v>523713869.65999985</v>
      </c>
      <c r="H33" s="35">
        <v>602580226.65999985</v>
      </c>
      <c r="I33" s="29">
        <v>0.86856733944023534</v>
      </c>
      <c r="J33" s="29">
        <v>0.84877482346983402</v>
      </c>
    </row>
    <row r="34" spans="1:10" ht="28.8" x14ac:dyDescent="0.3">
      <c r="A34" s="17" t="s">
        <v>1019</v>
      </c>
      <c r="B34" s="36">
        <v>2715860000</v>
      </c>
      <c r="C34" s="36">
        <v>3984655468.6599998</v>
      </c>
      <c r="D34" s="36">
        <v>3382075242</v>
      </c>
      <c r="E34" s="36">
        <v>2293980311</v>
      </c>
      <c r="F34" s="36">
        <v>2276286978</v>
      </c>
      <c r="G34" s="36">
        <v>523713869.65999985</v>
      </c>
      <c r="H34" s="36">
        <v>602580226.65999985</v>
      </c>
      <c r="I34" s="30">
        <v>0.86856733944023534</v>
      </c>
      <c r="J34" s="30">
        <v>0.84877482346983402</v>
      </c>
    </row>
    <row r="35" spans="1:10" ht="28.8" x14ac:dyDescent="0.3">
      <c r="A35" s="18" t="s">
        <v>1020</v>
      </c>
      <c r="B35" s="37">
        <v>2627860000</v>
      </c>
      <c r="C35" s="37">
        <v>2896655468.6599998</v>
      </c>
      <c r="D35" s="37">
        <v>2384875242</v>
      </c>
      <c r="E35" s="37">
        <v>2226780311</v>
      </c>
      <c r="F35" s="37">
        <v>2209086978</v>
      </c>
      <c r="G35" s="37">
        <v>450913869.65999985</v>
      </c>
      <c r="H35" s="37">
        <v>511780226.65999985</v>
      </c>
      <c r="I35" s="31">
        <v>0.84433292998128162</v>
      </c>
      <c r="J35" s="31">
        <v>0.82332029742675927</v>
      </c>
    </row>
    <row r="36" spans="1:10" ht="57.6" x14ac:dyDescent="0.3">
      <c r="A36" s="19" t="s">
        <v>1464</v>
      </c>
      <c r="B36" s="38">
        <v>104000000</v>
      </c>
      <c r="C36" s="38">
        <v>304000000</v>
      </c>
      <c r="D36" s="38">
        <v>103464000</v>
      </c>
      <c r="E36" s="38">
        <v>32000000</v>
      </c>
      <c r="F36" s="38">
        <v>32000000</v>
      </c>
      <c r="G36" s="38">
        <v>180220667</v>
      </c>
      <c r="H36" s="38">
        <v>200536000</v>
      </c>
      <c r="I36" s="27">
        <v>0.40716885855263157</v>
      </c>
      <c r="J36" s="27">
        <v>0.34034210526315789</v>
      </c>
    </row>
    <row r="37" spans="1:10" ht="72" x14ac:dyDescent="0.3">
      <c r="A37" s="19" t="s">
        <v>1465</v>
      </c>
      <c r="B37" s="38">
        <v>665300000</v>
      </c>
      <c r="C37" s="38">
        <v>664612835.33000004</v>
      </c>
      <c r="D37" s="38">
        <v>612404550</v>
      </c>
      <c r="E37" s="38">
        <v>559204550</v>
      </c>
      <c r="F37" s="38">
        <v>554804550</v>
      </c>
      <c r="G37" s="38">
        <v>52163333.330000043</v>
      </c>
      <c r="H37" s="38">
        <v>52208285.330000043</v>
      </c>
      <c r="I37" s="27">
        <v>0.92151320203724418</v>
      </c>
      <c r="J37" s="27">
        <v>0.92144556566669811</v>
      </c>
    </row>
    <row r="38" spans="1:10" ht="28.8" x14ac:dyDescent="0.3">
      <c r="A38" s="19" t="s">
        <v>1466</v>
      </c>
      <c r="B38" s="38">
        <v>1858560000</v>
      </c>
      <c r="C38" s="38">
        <v>1858560000</v>
      </c>
      <c r="D38" s="38">
        <v>1627056692</v>
      </c>
      <c r="E38" s="38">
        <v>1593625761</v>
      </c>
      <c r="F38" s="38">
        <v>1580332428</v>
      </c>
      <c r="G38" s="38">
        <v>218529869</v>
      </c>
      <c r="H38" s="38">
        <v>231503308</v>
      </c>
      <c r="I38" s="27">
        <v>0.88241979328081954</v>
      </c>
      <c r="J38" s="27">
        <v>0.87543942191804403</v>
      </c>
    </row>
    <row r="39" spans="1:10" ht="28.8" x14ac:dyDescent="0.3">
      <c r="A39" s="19" t="s">
        <v>1467</v>
      </c>
      <c r="B39" s="38">
        <v>0</v>
      </c>
      <c r="C39" s="38">
        <v>69482633.329999998</v>
      </c>
      <c r="D39" s="38">
        <v>41950000</v>
      </c>
      <c r="E39" s="38">
        <v>41950000</v>
      </c>
      <c r="F39" s="38">
        <v>41950000</v>
      </c>
      <c r="G39" s="38">
        <v>0.32999999821186066</v>
      </c>
      <c r="H39" s="38">
        <v>27532633.329999998</v>
      </c>
      <c r="I39" s="27">
        <v>0.99999999525061178</v>
      </c>
      <c r="J39" s="27">
        <v>0.60374798693600407</v>
      </c>
    </row>
    <row r="40" spans="1:10" ht="43.2" x14ac:dyDescent="0.3">
      <c r="A40" s="18" t="s">
        <v>1153</v>
      </c>
      <c r="B40" s="37">
        <v>88000000</v>
      </c>
      <c r="C40" s="37">
        <v>1088000000</v>
      </c>
      <c r="D40" s="37">
        <v>997200000</v>
      </c>
      <c r="E40" s="37">
        <v>67200000</v>
      </c>
      <c r="F40" s="37">
        <v>67200000</v>
      </c>
      <c r="G40" s="37">
        <v>72800000</v>
      </c>
      <c r="H40" s="37">
        <v>90800000</v>
      </c>
      <c r="I40" s="31">
        <v>0.93308823529411766</v>
      </c>
      <c r="J40" s="31">
        <v>0.91654411764705879</v>
      </c>
    </row>
    <row r="41" spans="1:10" ht="72" x14ac:dyDescent="0.3">
      <c r="A41" s="19" t="s">
        <v>1468</v>
      </c>
      <c r="B41" s="38">
        <v>88000000</v>
      </c>
      <c r="C41" s="38">
        <v>88000000</v>
      </c>
      <c r="D41" s="38">
        <v>67200000</v>
      </c>
      <c r="E41" s="38">
        <v>67200000</v>
      </c>
      <c r="F41" s="38">
        <v>67200000</v>
      </c>
      <c r="G41" s="38">
        <v>2800000</v>
      </c>
      <c r="H41" s="38">
        <v>20800000</v>
      </c>
      <c r="I41" s="27">
        <v>0.96818181818181814</v>
      </c>
      <c r="J41" s="27">
        <v>0.76363636363636367</v>
      </c>
    </row>
    <row r="42" spans="1:10" ht="72" x14ac:dyDescent="0.3">
      <c r="A42" s="19" t="s">
        <v>1469</v>
      </c>
      <c r="B42" s="38">
        <v>0</v>
      </c>
      <c r="C42" s="38">
        <v>1000000000</v>
      </c>
      <c r="D42" s="38">
        <v>930000000</v>
      </c>
      <c r="E42" s="38">
        <v>0</v>
      </c>
      <c r="F42" s="38">
        <v>0</v>
      </c>
      <c r="G42" s="38">
        <v>70000000</v>
      </c>
      <c r="H42" s="38">
        <v>70000000</v>
      </c>
      <c r="I42" s="27">
        <v>0.93</v>
      </c>
      <c r="J42" s="27">
        <v>0.93</v>
      </c>
    </row>
    <row r="43" spans="1:10" x14ac:dyDescent="0.3">
      <c r="A43" s="19" t="s">
        <v>1673</v>
      </c>
      <c r="B43" s="38">
        <v>22048400642</v>
      </c>
      <c r="C43" s="38">
        <v>26015652959.140007</v>
      </c>
      <c r="D43" s="38">
        <v>20474388109.970001</v>
      </c>
      <c r="E43" s="38">
        <v>15290191063.620001</v>
      </c>
      <c r="F43" s="38">
        <v>14917774709.620001</v>
      </c>
      <c r="G43" s="38">
        <v>5203737721.6600037</v>
      </c>
      <c r="H43" s="38">
        <v>5541264849.170002</v>
      </c>
      <c r="I43" s="27">
        <v>0.79997666290240887</v>
      </c>
      <c r="J43" s="27">
        <v>0.78700266113354633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13CFC-563A-4A8A-AD0A-7423D1160E24}">
  <dimension ref="A1:J53"/>
  <sheetViews>
    <sheetView workbookViewId="0">
      <selection activeCell="B8" sqref="B8"/>
    </sheetView>
  </sheetViews>
  <sheetFormatPr baseColWidth="10" defaultRowHeight="14.4" x14ac:dyDescent="0.3"/>
  <cols>
    <col min="1" max="1" width="67" style="14" customWidth="1"/>
    <col min="2" max="6" width="19.6640625" style="5" bestFit="1" customWidth="1"/>
    <col min="7" max="8" width="18.6640625" style="5" bestFit="1" customWidth="1"/>
    <col min="9" max="10" width="13" style="8" bestFit="1" customWidth="1"/>
  </cols>
  <sheetData>
    <row r="1" spans="1:10" x14ac:dyDescent="0.3">
      <c r="A1" s="13" t="s">
        <v>2</v>
      </c>
      <c r="B1" s="33" t="s">
        <v>1656</v>
      </c>
      <c r="C1" s="33"/>
      <c r="D1" s="33"/>
      <c r="E1" s="33"/>
      <c r="F1" s="33"/>
      <c r="G1" s="33"/>
      <c r="H1" s="33"/>
      <c r="I1" s="27"/>
      <c r="J1" s="27"/>
    </row>
    <row r="3" spans="1:10" ht="28.8" x14ac:dyDescent="0.3">
      <c r="A3" s="13" t="s">
        <v>1672</v>
      </c>
      <c r="B3" s="33" t="s">
        <v>1666</v>
      </c>
      <c r="C3" s="33" t="s">
        <v>1667</v>
      </c>
      <c r="D3" s="33" t="s">
        <v>1669</v>
      </c>
      <c r="E3" s="33" t="s">
        <v>1668</v>
      </c>
      <c r="F3" s="33" t="s">
        <v>1670</v>
      </c>
      <c r="G3" s="33" t="s">
        <v>1642</v>
      </c>
      <c r="H3" s="33" t="s">
        <v>1671</v>
      </c>
      <c r="I3" s="27" t="s">
        <v>1643</v>
      </c>
      <c r="J3" s="27" t="s">
        <v>1644</v>
      </c>
    </row>
    <row r="4" spans="1:10" x14ac:dyDescent="0.3">
      <c r="A4" s="20" t="s">
        <v>1228</v>
      </c>
      <c r="B4" s="39">
        <v>664287791064</v>
      </c>
      <c r="C4" s="39">
        <v>835637088271.69006</v>
      </c>
      <c r="D4" s="39">
        <v>820848366450.66003</v>
      </c>
      <c r="E4" s="39">
        <v>793600882343.73999</v>
      </c>
      <c r="F4" s="39">
        <v>790796150913.73999</v>
      </c>
      <c r="G4" s="39">
        <v>12540245953.950073</v>
      </c>
      <c r="H4" s="39">
        <v>14788721821.030029</v>
      </c>
      <c r="I4" s="32">
        <v>0.9849931912669333</v>
      </c>
      <c r="J4" s="32">
        <v>0.98230245877236388</v>
      </c>
    </row>
    <row r="5" spans="1:10" x14ac:dyDescent="0.3">
      <c r="A5" s="16" t="s">
        <v>1030</v>
      </c>
      <c r="B5" s="35">
        <v>664287791064</v>
      </c>
      <c r="C5" s="35">
        <v>835637088271.69006</v>
      </c>
      <c r="D5" s="35">
        <v>820848366450.66003</v>
      </c>
      <c r="E5" s="35">
        <v>793600882343.73999</v>
      </c>
      <c r="F5" s="35">
        <v>790796150913.73999</v>
      </c>
      <c r="G5" s="35">
        <v>12540245953.950073</v>
      </c>
      <c r="H5" s="35">
        <v>14788721821.030029</v>
      </c>
      <c r="I5" s="29">
        <v>0.9849931912669333</v>
      </c>
      <c r="J5" s="29">
        <v>0.98230245877236388</v>
      </c>
    </row>
    <row r="6" spans="1:10" x14ac:dyDescent="0.3">
      <c r="A6" s="17" t="s">
        <v>1042</v>
      </c>
      <c r="B6" s="36">
        <v>664287791064</v>
      </c>
      <c r="C6" s="36">
        <v>835637088271.69006</v>
      </c>
      <c r="D6" s="36">
        <v>820848366450.66003</v>
      </c>
      <c r="E6" s="36">
        <v>793600882343.73999</v>
      </c>
      <c r="F6" s="36">
        <v>790796150913.73999</v>
      </c>
      <c r="G6" s="36">
        <v>12540245953.950073</v>
      </c>
      <c r="H6" s="36">
        <v>14788721821.030029</v>
      </c>
      <c r="I6" s="30">
        <v>0.9849931912669333</v>
      </c>
      <c r="J6" s="30">
        <v>0.98230245877236388</v>
      </c>
    </row>
    <row r="7" spans="1:10" x14ac:dyDescent="0.3">
      <c r="A7" s="18" t="s">
        <v>1046</v>
      </c>
      <c r="B7" s="37">
        <v>655151110287</v>
      </c>
      <c r="C7" s="37">
        <v>822771043588.69006</v>
      </c>
      <c r="D7" s="37">
        <v>809498471785.66003</v>
      </c>
      <c r="E7" s="37">
        <v>786180126210.73999</v>
      </c>
      <c r="F7" s="37">
        <v>784413160136.73999</v>
      </c>
      <c r="G7" s="37">
        <v>11785446735.950073</v>
      </c>
      <c r="H7" s="37">
        <v>13272571803.030029</v>
      </c>
      <c r="I7" s="31">
        <v>0.98567590968619245</v>
      </c>
      <c r="J7" s="31">
        <v>0.98386845051675753</v>
      </c>
    </row>
    <row r="8" spans="1:10" ht="43.2" x14ac:dyDescent="0.3">
      <c r="A8" s="19" t="s">
        <v>1470</v>
      </c>
      <c r="B8" s="38">
        <v>520000000</v>
      </c>
      <c r="C8" s="38">
        <v>520000000</v>
      </c>
      <c r="D8" s="38">
        <v>512000000</v>
      </c>
      <c r="E8" s="38">
        <v>512000000</v>
      </c>
      <c r="F8" s="38">
        <v>509600000</v>
      </c>
      <c r="G8" s="38">
        <v>8000000</v>
      </c>
      <c r="H8" s="38">
        <v>8000000</v>
      </c>
      <c r="I8" s="27">
        <v>0.98461538461538467</v>
      </c>
      <c r="J8" s="27">
        <v>0.98461538461538467</v>
      </c>
    </row>
    <row r="9" spans="1:10" ht="43.2" x14ac:dyDescent="0.3">
      <c r="A9" s="19" t="s">
        <v>1471</v>
      </c>
      <c r="B9" s="38">
        <v>0</v>
      </c>
      <c r="C9" s="38">
        <v>663817531</v>
      </c>
      <c r="D9" s="38">
        <v>433546662</v>
      </c>
      <c r="E9" s="38">
        <v>433546662</v>
      </c>
      <c r="F9" s="38">
        <v>376500000</v>
      </c>
      <c r="G9" s="38">
        <v>136515904</v>
      </c>
      <c r="H9" s="38">
        <v>230270869</v>
      </c>
      <c r="I9" s="27">
        <v>0.79434724510160604</v>
      </c>
      <c r="J9" s="27">
        <v>0.65311119660682782</v>
      </c>
    </row>
    <row r="10" spans="1:10" ht="28.8" x14ac:dyDescent="0.3">
      <c r="A10" s="19" t="s">
        <v>1472</v>
      </c>
      <c r="B10" s="38">
        <v>2105000000</v>
      </c>
      <c r="C10" s="38">
        <v>3192058201</v>
      </c>
      <c r="D10" s="38">
        <v>2537510394</v>
      </c>
      <c r="E10" s="38">
        <v>2524843728</v>
      </c>
      <c r="F10" s="38">
        <v>2159900000</v>
      </c>
      <c r="G10" s="38">
        <v>625857804</v>
      </c>
      <c r="H10" s="38">
        <v>654547807</v>
      </c>
      <c r="I10" s="27">
        <v>0.80393283436876783</v>
      </c>
      <c r="J10" s="27">
        <v>0.79494490207135171</v>
      </c>
    </row>
    <row r="11" spans="1:10" ht="28.8" x14ac:dyDescent="0.3">
      <c r="A11" s="19" t="s">
        <v>1473</v>
      </c>
      <c r="B11" s="38">
        <v>1008800000</v>
      </c>
      <c r="C11" s="38">
        <v>1008800000</v>
      </c>
      <c r="D11" s="38">
        <v>987748360</v>
      </c>
      <c r="E11" s="38">
        <v>985748360</v>
      </c>
      <c r="F11" s="38">
        <v>963954740</v>
      </c>
      <c r="G11" s="38">
        <v>6380</v>
      </c>
      <c r="H11" s="38">
        <v>21051640</v>
      </c>
      <c r="I11" s="27">
        <v>0.99999367565424269</v>
      </c>
      <c r="J11" s="27">
        <v>0.97913199841395715</v>
      </c>
    </row>
    <row r="12" spans="1:10" ht="28.8" x14ac:dyDescent="0.3">
      <c r="A12" s="19" t="s">
        <v>1474</v>
      </c>
      <c r="B12" s="38">
        <v>215658186</v>
      </c>
      <c r="C12" s="38">
        <v>215975869</v>
      </c>
      <c r="D12" s="38">
        <v>215000185</v>
      </c>
      <c r="E12" s="38">
        <v>163941999</v>
      </c>
      <c r="F12" s="38">
        <v>158941999</v>
      </c>
      <c r="G12" s="38">
        <v>317683</v>
      </c>
      <c r="H12" s="38">
        <v>975684</v>
      </c>
      <c r="I12" s="27">
        <v>0.99852908104284555</v>
      </c>
      <c r="J12" s="27">
        <v>0.99548243975348927</v>
      </c>
    </row>
    <row r="13" spans="1:10" ht="43.2" x14ac:dyDescent="0.3">
      <c r="A13" s="19" t="s">
        <v>1475</v>
      </c>
      <c r="B13" s="38">
        <v>100000000</v>
      </c>
      <c r="C13" s="38">
        <v>100000000</v>
      </c>
      <c r="D13" s="38">
        <v>96500000</v>
      </c>
      <c r="E13" s="38">
        <v>96500000</v>
      </c>
      <c r="F13" s="38">
        <v>96500000</v>
      </c>
      <c r="G13" s="38">
        <v>3500000</v>
      </c>
      <c r="H13" s="38">
        <v>3500000</v>
      </c>
      <c r="I13" s="27">
        <v>0.96499999999999997</v>
      </c>
      <c r="J13" s="27">
        <v>0.96499999999999997</v>
      </c>
    </row>
    <row r="14" spans="1:10" ht="43.2" x14ac:dyDescent="0.3">
      <c r="A14" s="19" t="s">
        <v>1476</v>
      </c>
      <c r="B14" s="38">
        <v>4740881984</v>
      </c>
      <c r="C14" s="38">
        <v>9106764927</v>
      </c>
      <c r="D14" s="38">
        <v>6566267665</v>
      </c>
      <c r="E14" s="38">
        <v>4166267665</v>
      </c>
      <c r="F14" s="38">
        <v>3666267665</v>
      </c>
      <c r="G14" s="38">
        <v>2540497262</v>
      </c>
      <c r="H14" s="38">
        <v>2540497262</v>
      </c>
      <c r="I14" s="27">
        <v>0.72103186121914054</v>
      </c>
      <c r="J14" s="27">
        <v>0.72103186121914054</v>
      </c>
    </row>
    <row r="15" spans="1:10" ht="43.2" x14ac:dyDescent="0.3">
      <c r="A15" s="19" t="s">
        <v>1477</v>
      </c>
      <c r="B15" s="38">
        <v>0</v>
      </c>
      <c r="C15" s="38">
        <v>50567799490</v>
      </c>
      <c r="D15" s="38">
        <v>47409857625.919998</v>
      </c>
      <c r="E15" s="38">
        <v>26567799490</v>
      </c>
      <c r="F15" s="38">
        <v>26061524122</v>
      </c>
      <c r="G15" s="38">
        <v>3115046000</v>
      </c>
      <c r="H15" s="38">
        <v>3157941864.0800018</v>
      </c>
      <c r="I15" s="27">
        <v>0.93839862459081269</v>
      </c>
      <c r="J15" s="27">
        <v>0.93755034041565333</v>
      </c>
    </row>
    <row r="16" spans="1:10" ht="43.2" x14ac:dyDescent="0.3">
      <c r="A16" s="19" t="s">
        <v>1478</v>
      </c>
      <c r="B16" s="38">
        <v>0</v>
      </c>
      <c r="C16" s="38">
        <v>2463763324</v>
      </c>
      <c r="D16" s="38">
        <v>1121234435</v>
      </c>
      <c r="E16" s="38">
        <v>1121234435</v>
      </c>
      <c r="F16" s="38">
        <v>835527739</v>
      </c>
      <c r="G16" s="38">
        <v>68447915</v>
      </c>
      <c r="H16" s="38">
        <v>1342528889</v>
      </c>
      <c r="I16" s="27">
        <v>0.97221814517115523</v>
      </c>
      <c r="J16" s="27">
        <v>0.45509015581076162</v>
      </c>
    </row>
    <row r="17" spans="1:10" ht="43.2" x14ac:dyDescent="0.3">
      <c r="A17" s="19" t="s">
        <v>1479</v>
      </c>
      <c r="B17" s="38">
        <v>645678407535</v>
      </c>
      <c r="C17" s="38">
        <v>754197264081.38</v>
      </c>
      <c r="D17" s="38">
        <v>749023406293.42993</v>
      </c>
      <c r="E17" s="38">
        <v>749023406288.42993</v>
      </c>
      <c r="F17" s="38">
        <v>749023406288.42993</v>
      </c>
      <c r="G17" s="38">
        <v>5173857787.9500732</v>
      </c>
      <c r="H17" s="38">
        <v>5173857787.9500732</v>
      </c>
      <c r="I17" s="27">
        <v>0.99313991440389027</v>
      </c>
      <c r="J17" s="27">
        <v>0.99313991440389027</v>
      </c>
    </row>
    <row r="18" spans="1:10" ht="28.8" x14ac:dyDescent="0.3">
      <c r="A18" s="19" t="s">
        <v>1480</v>
      </c>
      <c r="B18" s="38">
        <v>0</v>
      </c>
      <c r="C18" s="38">
        <v>2437583.31</v>
      </c>
      <c r="D18" s="38">
        <v>2437583.31</v>
      </c>
      <c r="E18" s="38">
        <v>2437583.31</v>
      </c>
      <c r="F18" s="38">
        <v>2437583.31</v>
      </c>
      <c r="G18" s="38">
        <v>0</v>
      </c>
      <c r="H18" s="38">
        <v>0</v>
      </c>
      <c r="I18" s="27">
        <v>1</v>
      </c>
      <c r="J18" s="27">
        <v>1</v>
      </c>
    </row>
    <row r="19" spans="1:10" ht="28.8" x14ac:dyDescent="0.3">
      <c r="A19" s="19" t="s">
        <v>1481</v>
      </c>
      <c r="B19" s="38">
        <v>275000000</v>
      </c>
      <c r="C19" s="38">
        <v>275000000</v>
      </c>
      <c r="D19" s="38">
        <v>210000000</v>
      </c>
      <c r="E19" s="38">
        <v>210000000</v>
      </c>
      <c r="F19" s="38">
        <v>195000000</v>
      </c>
      <c r="G19" s="38">
        <v>65000000</v>
      </c>
      <c r="H19" s="38">
        <v>65000000</v>
      </c>
      <c r="I19" s="27">
        <v>0.76363636363636367</v>
      </c>
      <c r="J19" s="27">
        <v>0.76363636363636367</v>
      </c>
    </row>
    <row r="20" spans="1:10" ht="28.8" x14ac:dyDescent="0.3">
      <c r="A20" s="19" t="s">
        <v>1482</v>
      </c>
      <c r="B20" s="38">
        <v>507362582</v>
      </c>
      <c r="C20" s="38">
        <v>457362582</v>
      </c>
      <c r="D20" s="38">
        <v>382962582</v>
      </c>
      <c r="E20" s="38">
        <v>372400000</v>
      </c>
      <c r="F20" s="38">
        <v>363600000</v>
      </c>
      <c r="G20" s="38">
        <v>48400000</v>
      </c>
      <c r="H20" s="38">
        <v>74400000</v>
      </c>
      <c r="I20" s="27">
        <v>0.8941758641724652</v>
      </c>
      <c r="J20" s="27">
        <v>0.83732818790147556</v>
      </c>
    </row>
    <row r="21" spans="1:10" x14ac:dyDescent="0.3">
      <c r="A21" s="18" t="s">
        <v>1066</v>
      </c>
      <c r="B21" s="37">
        <v>382058179</v>
      </c>
      <c r="C21" s="37">
        <v>382058179</v>
      </c>
      <c r="D21" s="37">
        <v>382058179</v>
      </c>
      <c r="E21" s="37">
        <v>263400000</v>
      </c>
      <c r="F21" s="37">
        <v>263400000</v>
      </c>
      <c r="G21" s="37">
        <v>0</v>
      </c>
      <c r="H21" s="37">
        <v>0</v>
      </c>
      <c r="I21" s="31">
        <v>1</v>
      </c>
      <c r="J21" s="31">
        <v>1</v>
      </c>
    </row>
    <row r="22" spans="1:10" ht="43.2" x14ac:dyDescent="0.3">
      <c r="A22" s="19" t="s">
        <v>1483</v>
      </c>
      <c r="B22" s="38">
        <v>382058179</v>
      </c>
      <c r="C22" s="38">
        <v>382058179</v>
      </c>
      <c r="D22" s="38">
        <v>382058179</v>
      </c>
      <c r="E22" s="38">
        <v>263400000</v>
      </c>
      <c r="F22" s="38">
        <v>263400000</v>
      </c>
      <c r="G22" s="38">
        <v>0</v>
      </c>
      <c r="H22" s="38">
        <v>0</v>
      </c>
      <c r="I22" s="27">
        <v>1</v>
      </c>
      <c r="J22" s="27">
        <v>1</v>
      </c>
    </row>
    <row r="23" spans="1:10" ht="28.8" x14ac:dyDescent="0.3">
      <c r="A23" s="18" t="s">
        <v>1083</v>
      </c>
      <c r="B23" s="37">
        <v>701081233</v>
      </c>
      <c r="C23" s="37">
        <v>1006305624</v>
      </c>
      <c r="D23" s="37">
        <v>790424272</v>
      </c>
      <c r="E23" s="37">
        <v>595823188</v>
      </c>
      <c r="F23" s="37">
        <v>424200000</v>
      </c>
      <c r="G23" s="37">
        <v>215881352</v>
      </c>
      <c r="H23" s="37">
        <v>215881352</v>
      </c>
      <c r="I23" s="31">
        <v>0.78547138478478784</v>
      </c>
      <c r="J23" s="31">
        <v>0.78547138478478784</v>
      </c>
    </row>
    <row r="24" spans="1:10" ht="28.8" x14ac:dyDescent="0.3">
      <c r="A24" s="19" t="s">
        <v>1484</v>
      </c>
      <c r="B24" s="38">
        <v>315952000</v>
      </c>
      <c r="C24" s="38">
        <v>315952000</v>
      </c>
      <c r="D24" s="38">
        <v>315952000</v>
      </c>
      <c r="E24" s="38">
        <v>220800000</v>
      </c>
      <c r="F24" s="38">
        <v>218400000</v>
      </c>
      <c r="G24" s="38">
        <v>0</v>
      </c>
      <c r="H24" s="38">
        <v>0</v>
      </c>
      <c r="I24" s="27">
        <v>1</v>
      </c>
      <c r="J24" s="27">
        <v>1</v>
      </c>
    </row>
    <row r="25" spans="1:10" ht="43.2" x14ac:dyDescent="0.3">
      <c r="A25" s="19" t="s">
        <v>1485</v>
      </c>
      <c r="B25" s="38">
        <v>385129233</v>
      </c>
      <c r="C25" s="38">
        <v>690353624</v>
      </c>
      <c r="D25" s="38">
        <v>474472272</v>
      </c>
      <c r="E25" s="38">
        <v>375023188</v>
      </c>
      <c r="F25" s="38">
        <v>205800000</v>
      </c>
      <c r="G25" s="38">
        <v>215881352</v>
      </c>
      <c r="H25" s="38">
        <v>215881352</v>
      </c>
      <c r="I25" s="27">
        <v>0.68728873943015611</v>
      </c>
      <c r="J25" s="27">
        <v>0.68728873943015611</v>
      </c>
    </row>
    <row r="26" spans="1:10" x14ac:dyDescent="0.3">
      <c r="A26" s="18" t="s">
        <v>1071</v>
      </c>
      <c r="B26" s="37">
        <v>908550195</v>
      </c>
      <c r="C26" s="37">
        <v>1021685206</v>
      </c>
      <c r="D26" s="37">
        <v>918475998</v>
      </c>
      <c r="E26" s="37">
        <v>428820000</v>
      </c>
      <c r="F26" s="37">
        <v>412100000</v>
      </c>
      <c r="G26" s="37">
        <v>12483187</v>
      </c>
      <c r="H26" s="37">
        <v>103209208</v>
      </c>
      <c r="I26" s="31">
        <v>0.9877817678804679</v>
      </c>
      <c r="J26" s="31">
        <v>0.89898140112640523</v>
      </c>
    </row>
    <row r="27" spans="1:10" ht="28.8" x14ac:dyDescent="0.3">
      <c r="A27" s="19" t="s">
        <v>1486</v>
      </c>
      <c r="B27" s="38">
        <v>446402915</v>
      </c>
      <c r="C27" s="38">
        <v>559537926</v>
      </c>
      <c r="D27" s="38">
        <v>459666905</v>
      </c>
      <c r="E27" s="38">
        <v>103900000</v>
      </c>
      <c r="F27" s="38">
        <v>103900000</v>
      </c>
      <c r="G27" s="38">
        <v>11425000</v>
      </c>
      <c r="H27" s="38">
        <v>99871021</v>
      </c>
      <c r="I27" s="27">
        <v>0.97958136621466474</v>
      </c>
      <c r="J27" s="27">
        <v>0.82151161456748156</v>
      </c>
    </row>
    <row r="28" spans="1:10" ht="43.2" x14ac:dyDescent="0.3">
      <c r="A28" s="19" t="s">
        <v>1487</v>
      </c>
      <c r="B28" s="38">
        <v>225689093</v>
      </c>
      <c r="C28" s="38">
        <v>225689093</v>
      </c>
      <c r="D28" s="38">
        <v>225689093</v>
      </c>
      <c r="E28" s="38">
        <v>175400000</v>
      </c>
      <c r="F28" s="38">
        <v>171600000</v>
      </c>
      <c r="G28" s="38">
        <v>0</v>
      </c>
      <c r="H28" s="38">
        <v>0</v>
      </c>
      <c r="I28" s="27">
        <v>1</v>
      </c>
      <c r="J28" s="27">
        <v>1</v>
      </c>
    </row>
    <row r="29" spans="1:10" ht="28.8" x14ac:dyDescent="0.3">
      <c r="A29" s="19" t="s">
        <v>1488</v>
      </c>
      <c r="B29" s="38">
        <v>236458187</v>
      </c>
      <c r="C29" s="38">
        <v>236458187</v>
      </c>
      <c r="D29" s="38">
        <v>233120000</v>
      </c>
      <c r="E29" s="38">
        <v>149520000</v>
      </c>
      <c r="F29" s="38">
        <v>136600000</v>
      </c>
      <c r="G29" s="38">
        <v>1058187</v>
      </c>
      <c r="H29" s="38">
        <v>3338187</v>
      </c>
      <c r="I29" s="27">
        <v>0.99552484516004514</v>
      </c>
      <c r="J29" s="27">
        <v>0.9858825484439665</v>
      </c>
    </row>
    <row r="30" spans="1:10" x14ac:dyDescent="0.3">
      <c r="A30" s="18" t="s">
        <v>1067</v>
      </c>
      <c r="B30" s="37">
        <v>1082531175</v>
      </c>
      <c r="C30" s="37">
        <v>1082531175</v>
      </c>
      <c r="D30" s="37">
        <v>1068731175</v>
      </c>
      <c r="E30" s="37">
        <v>719000000</v>
      </c>
      <c r="F30" s="37">
        <v>715200000</v>
      </c>
      <c r="G30" s="37">
        <v>1800000</v>
      </c>
      <c r="H30" s="37">
        <v>13800000</v>
      </c>
      <c r="I30" s="31">
        <v>0.99833723033426724</v>
      </c>
      <c r="J30" s="31">
        <v>0.98725209922938251</v>
      </c>
    </row>
    <row r="31" spans="1:10" ht="43.2" x14ac:dyDescent="0.3">
      <c r="A31" s="19" t="s">
        <v>1489</v>
      </c>
      <c r="B31" s="38">
        <v>418157605</v>
      </c>
      <c r="C31" s="38">
        <v>418157605</v>
      </c>
      <c r="D31" s="38">
        <v>418157605</v>
      </c>
      <c r="E31" s="38">
        <v>280800000</v>
      </c>
      <c r="F31" s="38">
        <v>277000000</v>
      </c>
      <c r="G31" s="38">
        <v>0</v>
      </c>
      <c r="H31" s="38">
        <v>0</v>
      </c>
      <c r="I31" s="27">
        <v>1</v>
      </c>
      <c r="J31" s="27">
        <v>1</v>
      </c>
    </row>
    <row r="32" spans="1:10" ht="28.8" x14ac:dyDescent="0.3">
      <c r="A32" s="19" t="s">
        <v>1490</v>
      </c>
      <c r="B32" s="38">
        <v>304407584</v>
      </c>
      <c r="C32" s="38">
        <v>304407584</v>
      </c>
      <c r="D32" s="38">
        <v>302607584</v>
      </c>
      <c r="E32" s="38">
        <v>203600000</v>
      </c>
      <c r="F32" s="38">
        <v>203600000</v>
      </c>
      <c r="G32" s="38">
        <v>1800000</v>
      </c>
      <c r="H32" s="38">
        <v>1800000</v>
      </c>
      <c r="I32" s="27">
        <v>0.99408687531254147</v>
      </c>
      <c r="J32" s="27">
        <v>0.99408687531254147</v>
      </c>
    </row>
    <row r="33" spans="1:10" ht="28.8" x14ac:dyDescent="0.3">
      <c r="A33" s="19" t="s">
        <v>1491</v>
      </c>
      <c r="B33" s="38">
        <v>200464375</v>
      </c>
      <c r="C33" s="38">
        <v>200464375</v>
      </c>
      <c r="D33" s="38">
        <v>188464375</v>
      </c>
      <c r="E33" s="38">
        <v>121200000</v>
      </c>
      <c r="F33" s="38">
        <v>121200000</v>
      </c>
      <c r="G33" s="38">
        <v>0</v>
      </c>
      <c r="H33" s="38">
        <v>12000000</v>
      </c>
      <c r="I33" s="27">
        <v>1</v>
      </c>
      <c r="J33" s="27">
        <v>0.9401389897830974</v>
      </c>
    </row>
    <row r="34" spans="1:10" ht="28.8" x14ac:dyDescent="0.3">
      <c r="A34" s="19" t="s">
        <v>1492</v>
      </c>
      <c r="B34" s="38">
        <v>159501611</v>
      </c>
      <c r="C34" s="38">
        <v>159501611</v>
      </c>
      <c r="D34" s="38">
        <v>159501611</v>
      </c>
      <c r="E34" s="38">
        <v>113400000</v>
      </c>
      <c r="F34" s="38">
        <v>113400000</v>
      </c>
      <c r="G34" s="38">
        <v>0</v>
      </c>
      <c r="H34" s="38">
        <v>0</v>
      </c>
      <c r="I34" s="27">
        <v>1</v>
      </c>
      <c r="J34" s="27">
        <v>1</v>
      </c>
    </row>
    <row r="35" spans="1:10" x14ac:dyDescent="0.3">
      <c r="A35" s="18" t="s">
        <v>1079</v>
      </c>
      <c r="B35" s="37">
        <v>624000000</v>
      </c>
      <c r="C35" s="37">
        <v>639020000</v>
      </c>
      <c r="D35" s="37">
        <v>616300000</v>
      </c>
      <c r="E35" s="37">
        <v>261800000</v>
      </c>
      <c r="F35" s="37">
        <v>261800000</v>
      </c>
      <c r="G35" s="37">
        <v>22720000</v>
      </c>
      <c r="H35" s="37">
        <v>22720000</v>
      </c>
      <c r="I35" s="31">
        <v>0.96444555725955372</v>
      </c>
      <c r="J35" s="31">
        <v>0.96444555725955372</v>
      </c>
    </row>
    <row r="36" spans="1:10" ht="28.8" x14ac:dyDescent="0.3">
      <c r="A36" s="19" t="s">
        <v>1493</v>
      </c>
      <c r="B36" s="38">
        <v>624000000</v>
      </c>
      <c r="C36" s="38">
        <v>639020000</v>
      </c>
      <c r="D36" s="38">
        <v>616300000</v>
      </c>
      <c r="E36" s="38">
        <v>261800000</v>
      </c>
      <c r="F36" s="38">
        <v>261800000</v>
      </c>
      <c r="G36" s="38">
        <v>22720000</v>
      </c>
      <c r="H36" s="38">
        <v>22720000</v>
      </c>
      <c r="I36" s="27">
        <v>0.96444555725955372</v>
      </c>
      <c r="J36" s="27">
        <v>0.96444555725955372</v>
      </c>
    </row>
    <row r="37" spans="1:10" x14ac:dyDescent="0.3">
      <c r="A37" s="18" t="s">
        <v>1050</v>
      </c>
      <c r="B37" s="37">
        <v>659680000</v>
      </c>
      <c r="C37" s="37">
        <v>659680000</v>
      </c>
      <c r="D37" s="37">
        <v>654900520</v>
      </c>
      <c r="E37" s="37">
        <v>529020520</v>
      </c>
      <c r="F37" s="37">
        <v>529020520</v>
      </c>
      <c r="G37" s="37">
        <v>4779480</v>
      </c>
      <c r="H37" s="37">
        <v>4779480</v>
      </c>
      <c r="I37" s="31">
        <v>0.9927548508367694</v>
      </c>
      <c r="J37" s="31">
        <v>0.9927548508367694</v>
      </c>
    </row>
    <row r="38" spans="1:10" ht="43.2" x14ac:dyDescent="0.3">
      <c r="A38" s="19" t="s">
        <v>1494</v>
      </c>
      <c r="B38" s="38">
        <v>304000000</v>
      </c>
      <c r="C38" s="38">
        <v>304000000</v>
      </c>
      <c r="D38" s="38">
        <v>304000000</v>
      </c>
      <c r="E38" s="38">
        <v>220000000</v>
      </c>
      <c r="F38" s="38">
        <v>220000000</v>
      </c>
      <c r="G38" s="38">
        <v>0</v>
      </c>
      <c r="H38" s="38">
        <v>0</v>
      </c>
      <c r="I38" s="27">
        <v>1</v>
      </c>
      <c r="J38" s="27">
        <v>1</v>
      </c>
    </row>
    <row r="39" spans="1:10" ht="28.8" x14ac:dyDescent="0.3">
      <c r="A39" s="19" t="s">
        <v>1495</v>
      </c>
      <c r="B39" s="38">
        <v>355680000</v>
      </c>
      <c r="C39" s="38">
        <v>355680000</v>
      </c>
      <c r="D39" s="38">
        <v>350900520</v>
      </c>
      <c r="E39" s="38">
        <v>309020520</v>
      </c>
      <c r="F39" s="38">
        <v>309020520</v>
      </c>
      <c r="G39" s="38">
        <v>4779480</v>
      </c>
      <c r="H39" s="38">
        <v>4779480</v>
      </c>
      <c r="I39" s="27">
        <v>0.98656241565452096</v>
      </c>
      <c r="J39" s="27">
        <v>0.98656241565452096</v>
      </c>
    </row>
    <row r="40" spans="1:10" x14ac:dyDescent="0.3">
      <c r="A40" s="18" t="s">
        <v>1047</v>
      </c>
      <c r="B40" s="37">
        <v>907258187</v>
      </c>
      <c r="C40" s="37">
        <v>907258187</v>
      </c>
      <c r="D40" s="37">
        <v>879504853</v>
      </c>
      <c r="E40" s="37">
        <v>436446666</v>
      </c>
      <c r="F40" s="37">
        <v>343000000</v>
      </c>
      <c r="G40" s="37">
        <v>9600000</v>
      </c>
      <c r="H40" s="37">
        <v>27753334</v>
      </c>
      <c r="I40" s="31">
        <v>0.98941866809519352</v>
      </c>
      <c r="J40" s="31">
        <v>0.96940966265427597</v>
      </c>
    </row>
    <row r="41" spans="1:10" ht="28.8" x14ac:dyDescent="0.3">
      <c r="A41" s="19" t="s">
        <v>1496</v>
      </c>
      <c r="B41" s="38">
        <v>647258187</v>
      </c>
      <c r="C41" s="38">
        <v>647258187</v>
      </c>
      <c r="D41" s="38">
        <v>633904853</v>
      </c>
      <c r="E41" s="38">
        <v>348446666</v>
      </c>
      <c r="F41" s="38">
        <v>285000000</v>
      </c>
      <c r="G41" s="38">
        <v>2400000</v>
      </c>
      <c r="H41" s="38">
        <v>13353334</v>
      </c>
      <c r="I41" s="27">
        <v>0.9962920515364605</v>
      </c>
      <c r="J41" s="27">
        <v>0.97936938571315435</v>
      </c>
    </row>
    <row r="42" spans="1:10" ht="28.8" x14ac:dyDescent="0.3">
      <c r="A42" s="19" t="s">
        <v>1497</v>
      </c>
      <c r="B42" s="38">
        <v>260000000</v>
      </c>
      <c r="C42" s="38">
        <v>260000000</v>
      </c>
      <c r="D42" s="38">
        <v>245600000</v>
      </c>
      <c r="E42" s="38">
        <v>88000000</v>
      </c>
      <c r="F42" s="38">
        <v>58000000</v>
      </c>
      <c r="G42" s="38">
        <v>7200000</v>
      </c>
      <c r="H42" s="38">
        <v>14400000</v>
      </c>
      <c r="I42" s="27">
        <v>0.97230769230769232</v>
      </c>
      <c r="J42" s="27">
        <v>0.94461538461538463</v>
      </c>
    </row>
    <row r="43" spans="1:10" x14ac:dyDescent="0.3">
      <c r="A43" s="18" t="s">
        <v>1043</v>
      </c>
      <c r="B43" s="37">
        <v>2971521808</v>
      </c>
      <c r="C43" s="37">
        <v>6059419435</v>
      </c>
      <c r="D43" s="37">
        <v>5095749668</v>
      </c>
      <c r="E43" s="37">
        <v>3246545759</v>
      </c>
      <c r="F43" s="37">
        <v>2545620257</v>
      </c>
      <c r="G43" s="37">
        <v>378348322</v>
      </c>
      <c r="H43" s="37">
        <v>963669767</v>
      </c>
      <c r="I43" s="31">
        <v>0.9375603016000823</v>
      </c>
      <c r="J43" s="31">
        <v>0.84096335014643198</v>
      </c>
    </row>
    <row r="44" spans="1:10" ht="28.8" x14ac:dyDescent="0.3">
      <c r="A44" s="19" t="s">
        <v>1498</v>
      </c>
      <c r="B44" s="38">
        <v>301547391</v>
      </c>
      <c r="C44" s="38">
        <v>758564581</v>
      </c>
      <c r="D44" s="38">
        <v>718579952</v>
      </c>
      <c r="E44" s="38">
        <v>208232561</v>
      </c>
      <c r="F44" s="38">
        <v>171400000</v>
      </c>
      <c r="G44" s="38">
        <v>6184629</v>
      </c>
      <c r="H44" s="38">
        <v>39984629</v>
      </c>
      <c r="I44" s="27">
        <v>0.99184693148756442</v>
      </c>
      <c r="J44" s="27">
        <v>0.94728909047231147</v>
      </c>
    </row>
    <row r="45" spans="1:10" ht="28.8" x14ac:dyDescent="0.3">
      <c r="A45" s="19" t="s">
        <v>1499</v>
      </c>
      <c r="B45" s="38">
        <v>399224164</v>
      </c>
      <c r="C45" s="38">
        <v>788680789</v>
      </c>
      <c r="D45" s="38">
        <v>644658727</v>
      </c>
      <c r="E45" s="38">
        <v>253858727</v>
      </c>
      <c r="F45" s="38">
        <v>210838728</v>
      </c>
      <c r="G45" s="38">
        <v>81842061</v>
      </c>
      <c r="H45" s="38">
        <v>144022062</v>
      </c>
      <c r="I45" s="27">
        <v>0.89622916883296877</v>
      </c>
      <c r="J45" s="27">
        <v>0.81738865202661859</v>
      </c>
    </row>
    <row r="46" spans="1:10" ht="28.8" x14ac:dyDescent="0.3">
      <c r="A46" s="19" t="s">
        <v>1500</v>
      </c>
      <c r="B46" s="38">
        <v>540800000</v>
      </c>
      <c r="C46" s="38">
        <v>1605900000</v>
      </c>
      <c r="D46" s="38">
        <v>1390899995</v>
      </c>
      <c r="E46" s="38">
        <v>1140899995</v>
      </c>
      <c r="F46" s="38">
        <v>860473333</v>
      </c>
      <c r="G46" s="38">
        <v>87606668</v>
      </c>
      <c r="H46" s="38">
        <v>215000005</v>
      </c>
      <c r="I46" s="27">
        <v>0.94544699669966992</v>
      </c>
      <c r="J46" s="27">
        <v>0.86611868422691329</v>
      </c>
    </row>
    <row r="47" spans="1:10" ht="43.2" x14ac:dyDescent="0.3">
      <c r="A47" s="19" t="s">
        <v>1501</v>
      </c>
      <c r="B47" s="38">
        <v>1437710253</v>
      </c>
      <c r="C47" s="38">
        <v>1422485444</v>
      </c>
      <c r="D47" s="38">
        <v>1143649339</v>
      </c>
      <c r="E47" s="38">
        <v>969649339</v>
      </c>
      <c r="F47" s="38">
        <v>852067897</v>
      </c>
      <c r="G47" s="38">
        <v>4600000</v>
      </c>
      <c r="H47" s="38">
        <v>278836105</v>
      </c>
      <c r="I47" s="27">
        <v>0.99676622350028066</v>
      </c>
      <c r="J47" s="27">
        <v>0.80397964269081124</v>
      </c>
    </row>
    <row r="48" spans="1:10" ht="43.2" x14ac:dyDescent="0.3">
      <c r="A48" s="19" t="s">
        <v>1502</v>
      </c>
      <c r="B48" s="38">
        <v>0</v>
      </c>
      <c r="C48" s="38">
        <v>1006113515</v>
      </c>
      <c r="D48" s="38">
        <v>721679883</v>
      </c>
      <c r="E48" s="38">
        <v>429298471</v>
      </c>
      <c r="F48" s="38">
        <v>223840299</v>
      </c>
      <c r="G48" s="38">
        <v>198114964</v>
      </c>
      <c r="H48" s="38">
        <v>284433632</v>
      </c>
      <c r="I48" s="27">
        <v>0.80308885523717466</v>
      </c>
      <c r="J48" s="27">
        <v>0.71729469114625699</v>
      </c>
    </row>
    <row r="49" spans="1:10" ht="43.2" x14ac:dyDescent="0.3">
      <c r="A49" s="19" t="s">
        <v>1503</v>
      </c>
      <c r="B49" s="38">
        <v>292240000</v>
      </c>
      <c r="C49" s="38">
        <v>292240000</v>
      </c>
      <c r="D49" s="38">
        <v>292240000</v>
      </c>
      <c r="E49" s="38">
        <v>185200000</v>
      </c>
      <c r="F49" s="38">
        <v>185200000</v>
      </c>
      <c r="G49" s="38">
        <v>0</v>
      </c>
      <c r="H49" s="38">
        <v>0</v>
      </c>
      <c r="I49" s="27">
        <v>1</v>
      </c>
      <c r="J49" s="27">
        <v>1</v>
      </c>
    </row>
    <row r="50" spans="1:10" ht="43.2" x14ac:dyDescent="0.3">
      <c r="A50" s="19" t="s">
        <v>1504</v>
      </c>
      <c r="B50" s="38">
        <v>0</v>
      </c>
      <c r="C50" s="38">
        <v>185435106</v>
      </c>
      <c r="D50" s="38">
        <v>184041772</v>
      </c>
      <c r="E50" s="38">
        <v>59406666</v>
      </c>
      <c r="F50" s="38">
        <v>41800000</v>
      </c>
      <c r="G50" s="38">
        <v>0</v>
      </c>
      <c r="H50" s="38">
        <v>1393334</v>
      </c>
      <c r="I50" s="27">
        <v>1</v>
      </c>
      <c r="J50" s="27">
        <v>0.99248613690225407</v>
      </c>
    </row>
    <row r="51" spans="1:10" x14ac:dyDescent="0.3">
      <c r="A51" s="18" t="s">
        <v>1149</v>
      </c>
      <c r="B51" s="37">
        <v>900000000</v>
      </c>
      <c r="C51" s="37">
        <v>1108086877</v>
      </c>
      <c r="D51" s="37">
        <v>943750000</v>
      </c>
      <c r="E51" s="37">
        <v>939900000</v>
      </c>
      <c r="F51" s="37">
        <v>888650000</v>
      </c>
      <c r="G51" s="37">
        <v>109186877</v>
      </c>
      <c r="H51" s="37">
        <v>164336877</v>
      </c>
      <c r="I51" s="31">
        <v>0.90146361330836333</v>
      </c>
      <c r="J51" s="31">
        <v>0.85169314752204217</v>
      </c>
    </row>
    <row r="52" spans="1:10" ht="43.2" x14ac:dyDescent="0.3">
      <c r="A52" s="19" t="s">
        <v>1505</v>
      </c>
      <c r="B52" s="38">
        <v>900000000</v>
      </c>
      <c r="C52" s="38">
        <v>1108086877</v>
      </c>
      <c r="D52" s="38">
        <v>943750000</v>
      </c>
      <c r="E52" s="38">
        <v>939900000</v>
      </c>
      <c r="F52" s="38">
        <v>888650000</v>
      </c>
      <c r="G52" s="38">
        <v>109186877</v>
      </c>
      <c r="H52" s="38">
        <v>164336877</v>
      </c>
      <c r="I52" s="27">
        <v>0.90146361330836333</v>
      </c>
      <c r="J52" s="27">
        <v>0.85169314752204217</v>
      </c>
    </row>
    <row r="53" spans="1:10" x14ac:dyDescent="0.3">
      <c r="A53" s="19" t="s">
        <v>1673</v>
      </c>
      <c r="B53" s="38">
        <v>664287791064</v>
      </c>
      <c r="C53" s="38">
        <v>835637088271.69006</v>
      </c>
      <c r="D53" s="38">
        <v>820848366450.66003</v>
      </c>
      <c r="E53" s="38">
        <v>793600882343.73999</v>
      </c>
      <c r="F53" s="38">
        <v>790796150913.73999</v>
      </c>
      <c r="G53" s="38">
        <v>12540245953.950073</v>
      </c>
      <c r="H53" s="38">
        <v>14788721821.030029</v>
      </c>
      <c r="I53" s="27">
        <v>0.9849931912669333</v>
      </c>
      <c r="J53" s="27">
        <v>0.98230245877236388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7F07E-5E34-43C0-BF97-F9A11729DA45}">
  <dimension ref="A1:J29"/>
  <sheetViews>
    <sheetView workbookViewId="0">
      <selection activeCell="C9" sqref="C9"/>
    </sheetView>
  </sheetViews>
  <sheetFormatPr baseColWidth="10" defaultRowHeight="14.4" x14ac:dyDescent="0.3"/>
  <cols>
    <col min="1" max="1" width="43.33203125" style="14" customWidth="1"/>
    <col min="2" max="6" width="18.6640625" style="5" bestFit="1" customWidth="1"/>
    <col min="7" max="8" width="16.109375" style="5" bestFit="1" customWidth="1"/>
    <col min="9" max="10" width="14.88671875" style="8" bestFit="1" customWidth="1"/>
  </cols>
  <sheetData>
    <row r="1" spans="1:10" x14ac:dyDescent="0.3">
      <c r="A1" s="13" t="s">
        <v>2</v>
      </c>
      <c r="B1" s="33" t="s">
        <v>1655</v>
      </c>
      <c r="C1" s="33"/>
      <c r="D1" s="33"/>
      <c r="E1" s="33"/>
      <c r="F1" s="33"/>
      <c r="G1" s="33"/>
      <c r="H1" s="33"/>
      <c r="I1" s="27"/>
      <c r="J1" s="27"/>
    </row>
    <row r="3" spans="1:10" ht="43.2" x14ac:dyDescent="0.3">
      <c r="A3" s="13" t="s">
        <v>1672</v>
      </c>
      <c r="B3" s="33" t="s">
        <v>1666</v>
      </c>
      <c r="C3" s="33" t="s">
        <v>1667</v>
      </c>
      <c r="D3" s="33" t="s">
        <v>1669</v>
      </c>
      <c r="E3" s="33" t="s">
        <v>1668</v>
      </c>
      <c r="F3" s="33" t="s">
        <v>1670</v>
      </c>
      <c r="G3" s="33" t="s">
        <v>1642</v>
      </c>
      <c r="H3" s="33" t="s">
        <v>1671</v>
      </c>
      <c r="I3" s="27" t="s">
        <v>1643</v>
      </c>
      <c r="J3" s="27" t="s">
        <v>1644</v>
      </c>
    </row>
    <row r="4" spans="1:10" x14ac:dyDescent="0.3">
      <c r="A4" s="20" t="s">
        <v>1229</v>
      </c>
      <c r="B4" s="39">
        <v>11299914451.57</v>
      </c>
      <c r="C4" s="39">
        <v>14245975291.68</v>
      </c>
      <c r="D4" s="39">
        <v>13747126560</v>
      </c>
      <c r="E4" s="39">
        <v>12384791628.030001</v>
      </c>
      <c r="F4" s="39">
        <v>12384791628.030001</v>
      </c>
      <c r="G4" s="39">
        <v>435763005.1799984</v>
      </c>
      <c r="H4" s="39">
        <v>498848731.68000031</v>
      </c>
      <c r="I4" s="32">
        <v>0.96941150070402726</v>
      </c>
      <c r="J4" s="32">
        <v>0.96498318146239237</v>
      </c>
    </row>
    <row r="5" spans="1:10" x14ac:dyDescent="0.3">
      <c r="A5" s="16" t="s">
        <v>1018</v>
      </c>
      <c r="B5" s="35">
        <v>11299914451.57</v>
      </c>
      <c r="C5" s="35">
        <v>14245975291.68</v>
      </c>
      <c r="D5" s="35">
        <v>13747126560</v>
      </c>
      <c r="E5" s="35">
        <v>12384791628.030001</v>
      </c>
      <c r="F5" s="35">
        <v>12384791628.030001</v>
      </c>
      <c r="G5" s="35">
        <v>435763005.1799984</v>
      </c>
      <c r="H5" s="35">
        <v>498848731.68000031</v>
      </c>
      <c r="I5" s="29">
        <v>0.96941150070402726</v>
      </c>
      <c r="J5" s="29">
        <v>0.96498318146239237</v>
      </c>
    </row>
    <row r="6" spans="1:10" ht="28.8" x14ac:dyDescent="0.3">
      <c r="A6" s="17" t="s">
        <v>1019</v>
      </c>
      <c r="B6" s="36">
        <v>11299914451.57</v>
      </c>
      <c r="C6" s="36">
        <v>14245975291.68</v>
      </c>
      <c r="D6" s="36">
        <v>13747126560</v>
      </c>
      <c r="E6" s="36">
        <v>12384791628.030001</v>
      </c>
      <c r="F6" s="36">
        <v>12384791628.030001</v>
      </c>
      <c r="G6" s="36">
        <v>435763005.1799984</v>
      </c>
      <c r="H6" s="36">
        <v>498848731.68000031</v>
      </c>
      <c r="I6" s="30">
        <v>0.96941150070402726</v>
      </c>
      <c r="J6" s="30">
        <v>0.96498318146239237</v>
      </c>
    </row>
    <row r="7" spans="1:10" ht="43.2" x14ac:dyDescent="0.3">
      <c r="A7" s="18" t="s">
        <v>1020</v>
      </c>
      <c r="B7" s="37">
        <v>11299914451.57</v>
      </c>
      <c r="C7" s="37">
        <v>14245975291.68</v>
      </c>
      <c r="D7" s="37">
        <v>13747126560</v>
      </c>
      <c r="E7" s="37">
        <v>12384791628.030001</v>
      </c>
      <c r="F7" s="37">
        <v>12384791628.030001</v>
      </c>
      <c r="G7" s="37">
        <v>435763005.1799984</v>
      </c>
      <c r="H7" s="37">
        <v>498848731.68000031</v>
      </c>
      <c r="I7" s="31">
        <v>0.96941150070402726</v>
      </c>
      <c r="J7" s="31">
        <v>0.96498318146239237</v>
      </c>
    </row>
    <row r="8" spans="1:10" ht="28.8" x14ac:dyDescent="0.3">
      <c r="A8" s="19" t="s">
        <v>1506</v>
      </c>
      <c r="B8" s="38">
        <v>11299914451.57</v>
      </c>
      <c r="C8" s="38">
        <v>1530000000</v>
      </c>
      <c r="D8" s="38">
        <v>1041518610</v>
      </c>
      <c r="E8" s="38">
        <v>1041518610</v>
      </c>
      <c r="F8" s="38">
        <v>1041518610</v>
      </c>
      <c r="G8" s="38">
        <v>430000000</v>
      </c>
      <c r="H8" s="38">
        <v>488481390</v>
      </c>
      <c r="I8" s="27">
        <v>0.71895424836601307</v>
      </c>
      <c r="J8" s="27">
        <v>0.68073111764705885</v>
      </c>
    </row>
    <row r="9" spans="1:10" ht="28.8" x14ac:dyDescent="0.3">
      <c r="A9" s="19" t="s">
        <v>1507</v>
      </c>
      <c r="B9" s="38">
        <v>0</v>
      </c>
      <c r="C9" s="38">
        <v>5763005.0799999991</v>
      </c>
      <c r="D9" s="38">
        <v>0</v>
      </c>
      <c r="E9" s="38">
        <v>0</v>
      </c>
      <c r="F9" s="38">
        <v>0</v>
      </c>
      <c r="G9" s="38">
        <v>5763005.0799999991</v>
      </c>
      <c r="H9" s="38">
        <v>5763005.0799999991</v>
      </c>
      <c r="I9" s="27">
        <v>0</v>
      </c>
      <c r="J9" s="27">
        <v>0</v>
      </c>
    </row>
    <row r="10" spans="1:10" ht="57.6" x14ac:dyDescent="0.3">
      <c r="A10" s="19" t="s">
        <v>1508</v>
      </c>
      <c r="B10" s="38">
        <v>0</v>
      </c>
      <c r="C10" s="38">
        <v>700000000</v>
      </c>
      <c r="D10" s="38">
        <v>700000000</v>
      </c>
      <c r="E10" s="38">
        <v>350000000</v>
      </c>
      <c r="F10" s="38">
        <v>350000000</v>
      </c>
      <c r="G10" s="38">
        <v>0</v>
      </c>
      <c r="H10" s="38">
        <v>0</v>
      </c>
      <c r="I10" s="27">
        <v>1</v>
      </c>
      <c r="J10" s="27">
        <v>1</v>
      </c>
    </row>
    <row r="11" spans="1:10" ht="86.4" x14ac:dyDescent="0.3">
      <c r="A11" s="19" t="s">
        <v>1509</v>
      </c>
      <c r="B11" s="38">
        <v>0</v>
      </c>
      <c r="C11" s="38">
        <v>400000000</v>
      </c>
      <c r="D11" s="38">
        <v>400000000</v>
      </c>
      <c r="E11" s="38">
        <v>400000000</v>
      </c>
      <c r="F11" s="38">
        <v>400000000</v>
      </c>
      <c r="G11" s="38">
        <v>0</v>
      </c>
      <c r="H11" s="38">
        <v>0</v>
      </c>
      <c r="I11" s="27">
        <v>1</v>
      </c>
      <c r="J11" s="27">
        <v>1</v>
      </c>
    </row>
    <row r="12" spans="1:10" ht="57.6" x14ac:dyDescent="0.3">
      <c r="A12" s="19" t="s">
        <v>1510</v>
      </c>
      <c r="B12" s="38">
        <v>0</v>
      </c>
      <c r="C12" s="38">
        <v>430974335.47000003</v>
      </c>
      <c r="D12" s="38">
        <v>429740000</v>
      </c>
      <c r="E12" s="38">
        <v>429740000</v>
      </c>
      <c r="F12" s="38">
        <v>429740000</v>
      </c>
      <c r="G12" s="38">
        <v>0</v>
      </c>
      <c r="H12" s="38">
        <v>1234335.4700000286</v>
      </c>
      <c r="I12" s="27">
        <v>1</v>
      </c>
      <c r="J12" s="27">
        <v>0.99713594205405776</v>
      </c>
    </row>
    <row r="13" spans="1:10" ht="100.8" x14ac:dyDescent="0.3">
      <c r="A13" s="19" t="s">
        <v>1511</v>
      </c>
      <c r="B13" s="38">
        <v>0</v>
      </c>
      <c r="C13" s="38">
        <v>500000000</v>
      </c>
      <c r="D13" s="38">
        <v>500000000</v>
      </c>
      <c r="E13" s="38">
        <v>500000000</v>
      </c>
      <c r="F13" s="38">
        <v>500000000</v>
      </c>
      <c r="G13" s="38">
        <v>0</v>
      </c>
      <c r="H13" s="38">
        <v>0</v>
      </c>
      <c r="I13" s="27">
        <v>1</v>
      </c>
      <c r="J13" s="27">
        <v>1</v>
      </c>
    </row>
    <row r="14" spans="1:10" ht="115.2" x14ac:dyDescent="0.3">
      <c r="A14" s="19" t="s">
        <v>1512</v>
      </c>
      <c r="B14" s="38">
        <v>0</v>
      </c>
      <c r="C14" s="38">
        <v>500000000</v>
      </c>
      <c r="D14" s="38">
        <v>496990000</v>
      </c>
      <c r="E14" s="38">
        <v>496990000</v>
      </c>
      <c r="F14" s="38">
        <v>496990000</v>
      </c>
      <c r="G14" s="38">
        <v>0</v>
      </c>
      <c r="H14" s="38">
        <v>3010000</v>
      </c>
      <c r="I14" s="27">
        <v>1</v>
      </c>
      <c r="J14" s="27">
        <v>0.99397999999999997</v>
      </c>
    </row>
    <row r="15" spans="1:10" ht="72" x14ac:dyDescent="0.3">
      <c r="A15" s="19" t="s">
        <v>1513</v>
      </c>
      <c r="B15" s="38">
        <v>0</v>
      </c>
      <c r="C15" s="38">
        <v>1300000000</v>
      </c>
      <c r="D15" s="38">
        <v>1300000000</v>
      </c>
      <c r="E15" s="38">
        <v>1300000000</v>
      </c>
      <c r="F15" s="38">
        <v>1300000000</v>
      </c>
      <c r="G15" s="38">
        <v>0</v>
      </c>
      <c r="H15" s="38">
        <v>0</v>
      </c>
      <c r="I15" s="27">
        <v>1</v>
      </c>
      <c r="J15" s="27">
        <v>1</v>
      </c>
    </row>
    <row r="16" spans="1:10" ht="86.4" x14ac:dyDescent="0.3">
      <c r="A16" s="19" t="s">
        <v>1514</v>
      </c>
      <c r="B16" s="38">
        <v>0</v>
      </c>
      <c r="C16" s="38">
        <v>700000000</v>
      </c>
      <c r="D16" s="38">
        <v>700000000</v>
      </c>
      <c r="E16" s="38">
        <v>700000000</v>
      </c>
      <c r="F16" s="38">
        <v>700000000</v>
      </c>
      <c r="G16" s="38">
        <v>0</v>
      </c>
      <c r="H16" s="38">
        <v>0</v>
      </c>
      <c r="I16" s="27">
        <v>1</v>
      </c>
      <c r="J16" s="27">
        <v>1</v>
      </c>
    </row>
    <row r="17" spans="1:10" ht="57.6" x14ac:dyDescent="0.3">
      <c r="A17" s="19" t="s">
        <v>1515</v>
      </c>
      <c r="B17" s="38">
        <v>0</v>
      </c>
      <c r="C17" s="38">
        <v>500000000</v>
      </c>
      <c r="D17" s="38">
        <v>500000000</v>
      </c>
      <c r="E17" s="38">
        <v>500000000</v>
      </c>
      <c r="F17" s="38">
        <v>500000000</v>
      </c>
      <c r="G17" s="38">
        <v>0</v>
      </c>
      <c r="H17" s="38">
        <v>0</v>
      </c>
      <c r="I17" s="27">
        <v>1</v>
      </c>
      <c r="J17" s="27">
        <v>1</v>
      </c>
    </row>
    <row r="18" spans="1:10" ht="57.6" x14ac:dyDescent="0.3">
      <c r="A18" s="19" t="s">
        <v>1516</v>
      </c>
      <c r="B18" s="38">
        <v>0</v>
      </c>
      <c r="C18" s="38">
        <v>300000000</v>
      </c>
      <c r="D18" s="38">
        <v>300000000</v>
      </c>
      <c r="E18" s="38">
        <v>300000000</v>
      </c>
      <c r="F18" s="38">
        <v>300000000</v>
      </c>
      <c r="G18" s="38">
        <v>0</v>
      </c>
      <c r="H18" s="38">
        <v>0</v>
      </c>
      <c r="I18" s="27">
        <v>1</v>
      </c>
      <c r="J18" s="27">
        <v>1</v>
      </c>
    </row>
    <row r="19" spans="1:10" ht="57.6" x14ac:dyDescent="0.3">
      <c r="A19" s="19" t="s">
        <v>1517</v>
      </c>
      <c r="B19" s="38">
        <v>0</v>
      </c>
      <c r="C19" s="38">
        <v>1200000000</v>
      </c>
      <c r="D19" s="38">
        <v>1200000000</v>
      </c>
      <c r="E19" s="38">
        <v>600000000</v>
      </c>
      <c r="F19" s="38">
        <v>600000000</v>
      </c>
      <c r="G19" s="38">
        <v>0</v>
      </c>
      <c r="H19" s="38">
        <v>0</v>
      </c>
      <c r="I19" s="27">
        <v>1</v>
      </c>
      <c r="J19" s="27">
        <v>1</v>
      </c>
    </row>
    <row r="20" spans="1:10" ht="57.6" x14ac:dyDescent="0.3">
      <c r="A20" s="19" t="s">
        <v>1518</v>
      </c>
      <c r="B20" s="38">
        <v>0</v>
      </c>
      <c r="C20" s="38">
        <v>400000000</v>
      </c>
      <c r="D20" s="38">
        <v>400000000</v>
      </c>
      <c r="E20" s="38">
        <v>400000000</v>
      </c>
      <c r="F20" s="38">
        <v>400000000</v>
      </c>
      <c r="G20" s="38">
        <v>0</v>
      </c>
      <c r="H20" s="38">
        <v>0</v>
      </c>
      <c r="I20" s="27">
        <v>1</v>
      </c>
      <c r="J20" s="27">
        <v>1</v>
      </c>
    </row>
    <row r="21" spans="1:10" ht="100.8" x14ac:dyDescent="0.3">
      <c r="A21" s="19" t="s">
        <v>1519</v>
      </c>
      <c r="B21" s="38">
        <v>0</v>
      </c>
      <c r="C21" s="38">
        <v>400000000.10000002</v>
      </c>
      <c r="D21" s="38">
        <v>400000000</v>
      </c>
      <c r="E21" s="38">
        <v>400000000</v>
      </c>
      <c r="F21" s="38">
        <v>400000000</v>
      </c>
      <c r="G21" s="38">
        <v>0.10000002384185791</v>
      </c>
      <c r="H21" s="38">
        <v>0.10000002384185791</v>
      </c>
      <c r="I21" s="27">
        <v>0.99999999974999998</v>
      </c>
      <c r="J21" s="27">
        <v>0.99999999974999998</v>
      </c>
    </row>
    <row r="22" spans="1:10" ht="57.6" x14ac:dyDescent="0.3">
      <c r="A22" s="19" t="s">
        <v>1520</v>
      </c>
      <c r="B22" s="38">
        <v>0</v>
      </c>
      <c r="C22" s="38">
        <v>900000000</v>
      </c>
      <c r="D22" s="38">
        <v>899640000</v>
      </c>
      <c r="E22" s="38">
        <v>899640000</v>
      </c>
      <c r="F22" s="38">
        <v>899640000</v>
      </c>
      <c r="G22" s="38">
        <v>0</v>
      </c>
      <c r="H22" s="38">
        <v>360000</v>
      </c>
      <c r="I22" s="27">
        <v>1</v>
      </c>
      <c r="J22" s="27">
        <v>0.99960000000000004</v>
      </c>
    </row>
    <row r="23" spans="1:10" ht="86.4" x14ac:dyDescent="0.3">
      <c r="A23" s="19" t="s">
        <v>1521</v>
      </c>
      <c r="B23" s="38">
        <v>0</v>
      </c>
      <c r="C23" s="38">
        <v>650000000</v>
      </c>
      <c r="D23" s="38">
        <v>650000000</v>
      </c>
      <c r="E23" s="38">
        <v>325000000</v>
      </c>
      <c r="F23" s="38">
        <v>325000000</v>
      </c>
      <c r="G23" s="38">
        <v>0</v>
      </c>
      <c r="H23" s="38">
        <v>0</v>
      </c>
      <c r="I23" s="27">
        <v>1</v>
      </c>
      <c r="J23" s="27">
        <v>1</v>
      </c>
    </row>
    <row r="24" spans="1:10" ht="72" x14ac:dyDescent="0.3">
      <c r="A24" s="19" t="s">
        <v>1522</v>
      </c>
      <c r="B24" s="38">
        <v>0</v>
      </c>
      <c r="C24" s="38">
        <v>630000000</v>
      </c>
      <c r="D24" s="38">
        <v>630000000</v>
      </c>
      <c r="E24" s="38">
        <v>630000000</v>
      </c>
      <c r="F24" s="38">
        <v>630000000</v>
      </c>
      <c r="G24" s="38">
        <v>0</v>
      </c>
      <c r="H24" s="38">
        <v>0</v>
      </c>
      <c r="I24" s="27">
        <v>1</v>
      </c>
      <c r="J24" s="27">
        <v>1</v>
      </c>
    </row>
    <row r="25" spans="1:10" ht="72" x14ac:dyDescent="0.3">
      <c r="A25" s="19" t="s">
        <v>1523</v>
      </c>
      <c r="B25" s="38">
        <v>0</v>
      </c>
      <c r="C25" s="38">
        <v>70000000</v>
      </c>
      <c r="D25" s="38">
        <v>70000000</v>
      </c>
      <c r="E25" s="38">
        <v>39955167.530000001</v>
      </c>
      <c r="F25" s="38">
        <v>39955167.530000001</v>
      </c>
      <c r="G25" s="38">
        <v>0</v>
      </c>
      <c r="H25" s="38">
        <v>0</v>
      </c>
      <c r="I25" s="27">
        <v>1</v>
      </c>
      <c r="J25" s="27">
        <v>1</v>
      </c>
    </row>
    <row r="26" spans="1:10" ht="86.4" x14ac:dyDescent="0.3">
      <c r="A26" s="19" t="s">
        <v>1524</v>
      </c>
      <c r="B26" s="38">
        <v>0</v>
      </c>
      <c r="C26" s="38">
        <v>2040297835.03</v>
      </c>
      <c r="D26" s="38">
        <v>2040297834</v>
      </c>
      <c r="E26" s="38">
        <v>1983007734.5</v>
      </c>
      <c r="F26" s="38">
        <v>1983007734.5</v>
      </c>
      <c r="G26" s="38">
        <v>0</v>
      </c>
      <c r="H26" s="38">
        <v>1.0299999713897705</v>
      </c>
      <c r="I26" s="27">
        <v>1</v>
      </c>
      <c r="J26" s="27">
        <v>0.99999999949517171</v>
      </c>
    </row>
    <row r="27" spans="1:10" ht="86.4" x14ac:dyDescent="0.3">
      <c r="A27" s="19" t="s">
        <v>1525</v>
      </c>
      <c r="B27" s="38">
        <v>0</v>
      </c>
      <c r="C27" s="38">
        <v>1000000000</v>
      </c>
      <c r="D27" s="38">
        <v>1000000000</v>
      </c>
      <c r="E27" s="38">
        <v>1000000000</v>
      </c>
      <c r="F27" s="38">
        <v>1000000000</v>
      </c>
      <c r="G27" s="38">
        <v>0</v>
      </c>
      <c r="H27" s="38">
        <v>0</v>
      </c>
      <c r="I27" s="27">
        <v>1</v>
      </c>
      <c r="J27" s="27">
        <v>1</v>
      </c>
    </row>
    <row r="28" spans="1:10" ht="57.6" x14ac:dyDescent="0.3">
      <c r="A28" s="19" t="s">
        <v>1526</v>
      </c>
      <c r="B28" s="38">
        <v>0</v>
      </c>
      <c r="C28" s="38">
        <v>88940116</v>
      </c>
      <c r="D28" s="38">
        <v>88940116</v>
      </c>
      <c r="E28" s="38">
        <v>88940116</v>
      </c>
      <c r="F28" s="38">
        <v>88940116</v>
      </c>
      <c r="G28" s="38">
        <v>0</v>
      </c>
      <c r="H28" s="38">
        <v>0</v>
      </c>
      <c r="I28" s="27">
        <v>1</v>
      </c>
      <c r="J28" s="27">
        <v>1</v>
      </c>
    </row>
    <row r="29" spans="1:10" x14ac:dyDescent="0.3">
      <c r="A29" s="19" t="s">
        <v>1673</v>
      </c>
      <c r="B29" s="38">
        <v>11299914451.57</v>
      </c>
      <c r="C29" s="38">
        <v>14245975291.68</v>
      </c>
      <c r="D29" s="38">
        <v>13747126560</v>
      </c>
      <c r="E29" s="38">
        <v>12384791628.030001</v>
      </c>
      <c r="F29" s="38">
        <v>12384791628.030001</v>
      </c>
      <c r="G29" s="38">
        <v>435763005.1799984</v>
      </c>
      <c r="H29" s="38">
        <v>498848731.68000031</v>
      </c>
      <c r="I29" s="27">
        <v>0.96941150070402726</v>
      </c>
      <c r="J29" s="27">
        <v>0.96498318146239237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01A9C-90B5-4A9F-814B-5D507C09FC12}">
  <dimension ref="A1:J20"/>
  <sheetViews>
    <sheetView topLeftCell="A14" workbookViewId="0">
      <selection activeCell="F17" sqref="F17"/>
    </sheetView>
  </sheetViews>
  <sheetFormatPr baseColWidth="10" defaultRowHeight="14.4" x14ac:dyDescent="0.3"/>
  <cols>
    <col min="1" max="1" width="38.33203125" customWidth="1"/>
    <col min="2" max="4" width="18.6640625" style="5" bestFit="1" customWidth="1"/>
    <col min="5" max="6" width="17.6640625" style="5" bestFit="1" customWidth="1"/>
    <col min="7" max="7" width="20.109375" style="5" bestFit="1" customWidth="1"/>
    <col min="8" max="8" width="19.6640625" style="5" bestFit="1" customWidth="1"/>
    <col min="9" max="9" width="14.5546875" style="8" bestFit="1" customWidth="1"/>
    <col min="10" max="10" width="13.33203125" style="8" bestFit="1" customWidth="1"/>
  </cols>
  <sheetData>
    <row r="1" spans="1:10" x14ac:dyDescent="0.3">
      <c r="A1" s="13" t="s">
        <v>2</v>
      </c>
      <c r="B1" s="33" t="s">
        <v>1654</v>
      </c>
      <c r="C1" s="33"/>
      <c r="D1" s="33"/>
      <c r="E1" s="33"/>
      <c r="F1" s="33"/>
      <c r="G1" s="33"/>
      <c r="H1" s="33"/>
      <c r="I1" s="27"/>
      <c r="J1" s="27"/>
    </row>
    <row r="3" spans="1:10" s="64" customFormat="1" ht="28.8" x14ac:dyDescent="0.3">
      <c r="A3" s="62" t="s">
        <v>1672</v>
      </c>
      <c r="B3" s="63" t="s">
        <v>1666</v>
      </c>
      <c r="C3" s="63" t="s">
        <v>1667</v>
      </c>
      <c r="D3" s="63" t="s">
        <v>1669</v>
      </c>
      <c r="E3" s="63" t="s">
        <v>1668</v>
      </c>
      <c r="F3" s="63" t="s">
        <v>1670</v>
      </c>
      <c r="G3" s="63" t="s">
        <v>1642</v>
      </c>
      <c r="H3" s="63" t="s">
        <v>1671</v>
      </c>
      <c r="I3" s="61" t="s">
        <v>1643</v>
      </c>
      <c r="J3" s="61" t="s">
        <v>1644</v>
      </c>
    </row>
    <row r="4" spans="1:10" ht="28.8" x14ac:dyDescent="0.3">
      <c r="A4" s="47" t="s">
        <v>1230</v>
      </c>
      <c r="B4" s="48">
        <v>10573839143</v>
      </c>
      <c r="C4" s="48">
        <v>20483455105.310001</v>
      </c>
      <c r="D4" s="48">
        <v>17116931583.529999</v>
      </c>
      <c r="E4" s="48">
        <v>5542411551.46</v>
      </c>
      <c r="F4" s="48">
        <v>4915607911.1099997</v>
      </c>
      <c r="G4" s="48">
        <v>1173049638.5500031</v>
      </c>
      <c r="H4" s="48">
        <v>3366523521.7800064</v>
      </c>
      <c r="I4" s="49">
        <v>0.94273184711665614</v>
      </c>
      <c r="J4" s="49">
        <v>0.83564669610317399</v>
      </c>
    </row>
    <row r="5" spans="1:10" x14ac:dyDescent="0.3">
      <c r="A5" s="50" t="s">
        <v>1026</v>
      </c>
      <c r="B5" s="51">
        <v>10573839143</v>
      </c>
      <c r="C5" s="51">
        <v>20483455105.310001</v>
      </c>
      <c r="D5" s="51">
        <v>17116931583.529999</v>
      </c>
      <c r="E5" s="51">
        <v>5542411551.46</v>
      </c>
      <c r="F5" s="51">
        <v>4915607911.1099997</v>
      </c>
      <c r="G5" s="51">
        <v>1173049638.5500031</v>
      </c>
      <c r="H5" s="51">
        <v>3366523521.7800064</v>
      </c>
      <c r="I5" s="52">
        <v>0.94273184711665614</v>
      </c>
      <c r="J5" s="52">
        <v>0.83564669610317399</v>
      </c>
    </row>
    <row r="6" spans="1:10" ht="43.2" x14ac:dyDescent="0.3">
      <c r="A6" s="53" t="s">
        <v>1051</v>
      </c>
      <c r="B6" s="54">
        <v>10573839143</v>
      </c>
      <c r="C6" s="54">
        <v>20483455105.310001</v>
      </c>
      <c r="D6" s="54">
        <v>17116931583.529999</v>
      </c>
      <c r="E6" s="54">
        <v>5542411551.46</v>
      </c>
      <c r="F6" s="54">
        <v>4915607911.1099997</v>
      </c>
      <c r="G6" s="54">
        <v>1173049638.5500031</v>
      </c>
      <c r="H6" s="54">
        <v>3366523521.7800064</v>
      </c>
      <c r="I6" s="55">
        <v>0.94273184711665614</v>
      </c>
      <c r="J6" s="55">
        <v>0.83564669610317399</v>
      </c>
    </row>
    <row r="7" spans="1:10" ht="28.8" x14ac:dyDescent="0.3">
      <c r="A7" s="56" t="s">
        <v>1199</v>
      </c>
      <c r="B7" s="57">
        <v>4774961007.5599995</v>
      </c>
      <c r="C7" s="57">
        <v>7198342983.4200001</v>
      </c>
      <c r="D7" s="57">
        <v>5702875825.5299997</v>
      </c>
      <c r="E7" s="57">
        <v>2322104394.3499999</v>
      </c>
      <c r="F7" s="57">
        <v>2158030137</v>
      </c>
      <c r="G7" s="57">
        <v>543530813.34000111</v>
      </c>
      <c r="H7" s="57">
        <v>1495467157.8900013</v>
      </c>
      <c r="I7" s="58">
        <v>0.92449223181058193</v>
      </c>
      <c r="J7" s="58">
        <v>0.79224841587369177</v>
      </c>
    </row>
    <row r="8" spans="1:10" ht="43.2" x14ac:dyDescent="0.3">
      <c r="A8" s="59" t="s">
        <v>1527</v>
      </c>
      <c r="B8" s="60">
        <v>1673285892</v>
      </c>
      <c r="C8" s="60">
        <v>2347074035.1700001</v>
      </c>
      <c r="D8" s="60">
        <v>2147266167.0199997</v>
      </c>
      <c r="E8" s="60">
        <v>1993736094.3499999</v>
      </c>
      <c r="F8" s="60">
        <v>1863643337</v>
      </c>
      <c r="G8" s="60">
        <v>70332244.660000324</v>
      </c>
      <c r="H8" s="60">
        <v>199807868.15000033</v>
      </c>
      <c r="I8" s="46">
        <v>0.97003407493496208</v>
      </c>
      <c r="J8" s="46">
        <v>0.9148693798508456</v>
      </c>
    </row>
    <row r="9" spans="1:10" ht="43.2" x14ac:dyDescent="0.3">
      <c r="A9" s="59" t="s">
        <v>1528</v>
      </c>
      <c r="B9" s="60">
        <v>3006675115.5599999</v>
      </c>
      <c r="C9" s="60">
        <v>4290270770.25</v>
      </c>
      <c r="D9" s="60">
        <v>3092443321.5100002</v>
      </c>
      <c r="E9" s="60">
        <v>237533100</v>
      </c>
      <c r="F9" s="60">
        <v>205551600</v>
      </c>
      <c r="G9" s="60">
        <v>473198567.67999983</v>
      </c>
      <c r="H9" s="60">
        <v>1197827448.7399998</v>
      </c>
      <c r="I9" s="46">
        <v>0.88970426506380484</v>
      </c>
      <c r="J9" s="46">
        <v>0.72080376440431504</v>
      </c>
    </row>
    <row r="10" spans="1:10" ht="43.2" x14ac:dyDescent="0.3">
      <c r="A10" s="59" t="s">
        <v>1529</v>
      </c>
      <c r="B10" s="60">
        <v>0</v>
      </c>
      <c r="C10" s="60">
        <v>407989845</v>
      </c>
      <c r="D10" s="60">
        <v>372331137</v>
      </c>
      <c r="E10" s="60">
        <v>0</v>
      </c>
      <c r="F10" s="60">
        <v>0</v>
      </c>
      <c r="G10" s="60">
        <v>1</v>
      </c>
      <c r="H10" s="60">
        <v>35658708</v>
      </c>
      <c r="I10" s="46">
        <v>0.99999999754895863</v>
      </c>
      <c r="J10" s="46">
        <v>0.91259903049792823</v>
      </c>
    </row>
    <row r="11" spans="1:10" ht="57.6" x14ac:dyDescent="0.3">
      <c r="A11" s="59" t="s">
        <v>1530</v>
      </c>
      <c r="B11" s="60">
        <v>95000000</v>
      </c>
      <c r="C11" s="60">
        <v>153008333</v>
      </c>
      <c r="D11" s="60">
        <v>90835200</v>
      </c>
      <c r="E11" s="60">
        <v>90835200</v>
      </c>
      <c r="F11" s="60">
        <v>88835200</v>
      </c>
      <c r="G11" s="60">
        <v>0</v>
      </c>
      <c r="H11" s="60">
        <v>62173133</v>
      </c>
      <c r="I11" s="46">
        <v>1</v>
      </c>
      <c r="J11" s="46">
        <v>0.59366178442059103</v>
      </c>
    </row>
    <row r="12" spans="1:10" ht="57.6" x14ac:dyDescent="0.3">
      <c r="A12" s="56" t="s">
        <v>1200</v>
      </c>
      <c r="B12" s="57">
        <v>3058600000</v>
      </c>
      <c r="C12" s="57">
        <v>5265196000.6800003</v>
      </c>
      <c r="D12" s="57">
        <v>4111112401</v>
      </c>
      <c r="E12" s="57">
        <v>1590081921</v>
      </c>
      <c r="F12" s="57">
        <v>1264398339</v>
      </c>
      <c r="G12" s="57">
        <v>124209475</v>
      </c>
      <c r="H12" s="57">
        <v>1154083599.6800003</v>
      </c>
      <c r="I12" s="58">
        <v>0.97640933500216165</v>
      </c>
      <c r="J12" s="58">
        <v>0.78080899561365802</v>
      </c>
    </row>
    <row r="13" spans="1:10" ht="86.4" x14ac:dyDescent="0.3">
      <c r="A13" s="59" t="s">
        <v>1531</v>
      </c>
      <c r="B13" s="60">
        <v>2890600000</v>
      </c>
      <c r="C13" s="60">
        <v>5089195406.6800003</v>
      </c>
      <c r="D13" s="60">
        <v>4111112401</v>
      </c>
      <c r="E13" s="60">
        <v>1590081921</v>
      </c>
      <c r="F13" s="60">
        <v>1264398339</v>
      </c>
      <c r="G13" s="60">
        <v>124209475</v>
      </c>
      <c r="H13" s="60">
        <v>978083005.68000031</v>
      </c>
      <c r="I13" s="46">
        <v>0.97559349463434542</v>
      </c>
      <c r="J13" s="46">
        <v>0.80781185874761585</v>
      </c>
    </row>
    <row r="14" spans="1:10" ht="100.8" x14ac:dyDescent="0.3">
      <c r="A14" s="59" t="s">
        <v>1532</v>
      </c>
      <c r="B14" s="60">
        <v>84000000</v>
      </c>
      <c r="C14" s="60">
        <v>88000297</v>
      </c>
      <c r="D14" s="60">
        <v>0</v>
      </c>
      <c r="E14" s="60">
        <v>0</v>
      </c>
      <c r="F14" s="60">
        <v>0</v>
      </c>
      <c r="G14" s="60">
        <v>0</v>
      </c>
      <c r="H14" s="60">
        <v>88000297</v>
      </c>
      <c r="I14" s="46">
        <v>1</v>
      </c>
      <c r="J14" s="46">
        <v>0</v>
      </c>
    </row>
    <row r="15" spans="1:10" ht="72" x14ac:dyDescent="0.3">
      <c r="A15" s="59" t="s">
        <v>1533</v>
      </c>
      <c r="B15" s="60">
        <v>84000000</v>
      </c>
      <c r="C15" s="60">
        <v>88000297</v>
      </c>
      <c r="D15" s="60">
        <v>0</v>
      </c>
      <c r="E15" s="60">
        <v>0</v>
      </c>
      <c r="F15" s="60">
        <v>0</v>
      </c>
      <c r="G15" s="60">
        <v>0</v>
      </c>
      <c r="H15" s="60">
        <v>88000297</v>
      </c>
      <c r="I15" s="46">
        <v>1</v>
      </c>
      <c r="J15" s="46">
        <v>0</v>
      </c>
    </row>
    <row r="16" spans="1:10" ht="28.8" x14ac:dyDescent="0.3">
      <c r="A16" s="56" t="s">
        <v>1121</v>
      </c>
      <c r="B16" s="57">
        <v>2740278135.4400001</v>
      </c>
      <c r="C16" s="57">
        <v>8019916121.21</v>
      </c>
      <c r="D16" s="57">
        <v>7302943357</v>
      </c>
      <c r="E16" s="57">
        <v>1630225236.1099999</v>
      </c>
      <c r="F16" s="57">
        <v>1493179435.1099999</v>
      </c>
      <c r="G16" s="57">
        <v>505309350.21000004</v>
      </c>
      <c r="H16" s="57">
        <v>716972764.21000004</v>
      </c>
      <c r="I16" s="58">
        <v>0.93699318763775774</v>
      </c>
      <c r="J16" s="58">
        <v>0.91060096472657037</v>
      </c>
    </row>
    <row r="17" spans="1:10" ht="72" x14ac:dyDescent="0.3">
      <c r="A17" s="59" t="s">
        <v>1534</v>
      </c>
      <c r="B17" s="60">
        <v>577290058.50999999</v>
      </c>
      <c r="C17" s="60">
        <v>4672855114.21</v>
      </c>
      <c r="D17" s="60">
        <v>4672000000</v>
      </c>
      <c r="E17" s="60">
        <v>0</v>
      </c>
      <c r="F17" s="60">
        <v>0</v>
      </c>
      <c r="G17" s="60">
        <v>855114.21000003815</v>
      </c>
      <c r="H17" s="60">
        <v>855114.21000003815</v>
      </c>
      <c r="I17" s="46">
        <v>0.99981700391107786</v>
      </c>
      <c r="J17" s="46">
        <v>0.99981700391107786</v>
      </c>
    </row>
    <row r="18" spans="1:10" ht="43.2" x14ac:dyDescent="0.3">
      <c r="A18" s="59" t="s">
        <v>1535</v>
      </c>
      <c r="B18" s="60">
        <v>380477076.93000001</v>
      </c>
      <c r="C18" s="60">
        <v>1348690007</v>
      </c>
      <c r="D18" s="60">
        <v>1124619227</v>
      </c>
      <c r="E18" s="60">
        <v>373855168</v>
      </c>
      <c r="F18" s="60">
        <v>238828367</v>
      </c>
      <c r="G18" s="60">
        <v>32083633</v>
      </c>
      <c r="H18" s="60">
        <v>224070780</v>
      </c>
      <c r="I18" s="46">
        <v>0.97621126216292931</v>
      </c>
      <c r="J18" s="46">
        <v>0.83386042838827079</v>
      </c>
    </row>
    <row r="19" spans="1:10" ht="57.6" x14ac:dyDescent="0.3">
      <c r="A19" s="59" t="s">
        <v>1536</v>
      </c>
      <c r="B19" s="60">
        <v>1782511000</v>
      </c>
      <c r="C19" s="60">
        <v>1998371000</v>
      </c>
      <c r="D19" s="60">
        <v>1506324130</v>
      </c>
      <c r="E19" s="60">
        <v>1256370068.1099999</v>
      </c>
      <c r="F19" s="60">
        <v>1254351068.1099999</v>
      </c>
      <c r="G19" s="60">
        <v>472370603</v>
      </c>
      <c r="H19" s="60">
        <v>492046870</v>
      </c>
      <c r="I19" s="46">
        <v>0.76362216875645217</v>
      </c>
      <c r="J19" s="46">
        <v>0.75377601556467744</v>
      </c>
    </row>
    <row r="20" spans="1:10" x14ac:dyDescent="0.3">
      <c r="A20" s="59" t="s">
        <v>1673</v>
      </c>
      <c r="B20" s="60">
        <v>10573839143</v>
      </c>
      <c r="C20" s="60">
        <v>20483455105.310001</v>
      </c>
      <c r="D20" s="60">
        <v>17116931583.529999</v>
      </c>
      <c r="E20" s="60">
        <v>5542411551.46</v>
      </c>
      <c r="F20" s="60">
        <v>4915607911.1099997</v>
      </c>
      <c r="G20" s="60">
        <v>1173049638.5500031</v>
      </c>
      <c r="H20" s="60">
        <v>3366523521.7800064</v>
      </c>
      <c r="I20" s="46">
        <v>0.94273184711665614</v>
      </c>
      <c r="J20" s="46">
        <v>0.83564669610317399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86B45-0B44-4530-A33E-386F5BD004C2}">
  <dimension ref="A1:J14"/>
  <sheetViews>
    <sheetView workbookViewId="0">
      <selection activeCell="C8" sqref="C8"/>
    </sheetView>
  </sheetViews>
  <sheetFormatPr baseColWidth="10" defaultRowHeight="14.4" x14ac:dyDescent="0.3"/>
  <cols>
    <col min="1" max="1" width="58.33203125" style="14" customWidth="1"/>
    <col min="2" max="4" width="17.6640625" style="5" bestFit="1" customWidth="1"/>
    <col min="5" max="7" width="16.109375" style="5" bestFit="1" customWidth="1"/>
    <col min="8" max="8" width="17.6640625" style="5" bestFit="1" customWidth="1"/>
    <col min="9" max="10" width="13" style="8" bestFit="1" customWidth="1"/>
  </cols>
  <sheetData>
    <row r="1" spans="1:10" x14ac:dyDescent="0.3">
      <c r="A1" s="13" t="s">
        <v>2</v>
      </c>
      <c r="B1" s="33" t="s">
        <v>1653</v>
      </c>
      <c r="C1" s="33"/>
      <c r="D1" s="33"/>
      <c r="E1" s="33"/>
      <c r="F1" s="33"/>
      <c r="G1" s="33"/>
      <c r="H1" s="33"/>
      <c r="I1" s="27"/>
      <c r="J1" s="27"/>
    </row>
    <row r="3" spans="1:10" ht="43.2" x14ac:dyDescent="0.3">
      <c r="A3" s="13" t="s">
        <v>1672</v>
      </c>
      <c r="B3" s="33" t="s">
        <v>1666</v>
      </c>
      <c r="C3" s="33" t="s">
        <v>1667</v>
      </c>
      <c r="D3" s="33" t="s">
        <v>1669</v>
      </c>
      <c r="E3" s="33" t="s">
        <v>1668</v>
      </c>
      <c r="F3" s="33" t="s">
        <v>1670</v>
      </c>
      <c r="G3" s="33" t="s">
        <v>1642</v>
      </c>
      <c r="H3" s="33" t="s">
        <v>1671</v>
      </c>
      <c r="I3" s="27" t="s">
        <v>1643</v>
      </c>
      <c r="J3" s="27" t="s">
        <v>1644</v>
      </c>
    </row>
    <row r="4" spans="1:10" x14ac:dyDescent="0.3">
      <c r="A4" s="20" t="s">
        <v>1231</v>
      </c>
      <c r="B4" s="39">
        <v>2200653519</v>
      </c>
      <c r="C4" s="39">
        <v>3692763675.5900002</v>
      </c>
      <c r="D4" s="39">
        <v>1229316405</v>
      </c>
      <c r="E4" s="39">
        <v>586150335</v>
      </c>
      <c r="F4" s="39">
        <v>570277000</v>
      </c>
      <c r="G4" s="39">
        <v>152909871.59000015</v>
      </c>
      <c r="H4" s="39">
        <v>2463447270.5900002</v>
      </c>
      <c r="I4" s="32">
        <v>0.95859202347532591</v>
      </c>
      <c r="J4" s="32">
        <v>0.33289874819936582</v>
      </c>
    </row>
    <row r="5" spans="1:10" x14ac:dyDescent="0.3">
      <c r="A5" s="16" t="s">
        <v>1026</v>
      </c>
      <c r="B5" s="35">
        <v>2200653519</v>
      </c>
      <c r="C5" s="35">
        <v>3692763675.5900002</v>
      </c>
      <c r="D5" s="35">
        <v>1229316405</v>
      </c>
      <c r="E5" s="35">
        <v>586150335</v>
      </c>
      <c r="F5" s="35">
        <v>570277000</v>
      </c>
      <c r="G5" s="35">
        <v>152909871.59000015</v>
      </c>
      <c r="H5" s="35">
        <v>2463447270.5900002</v>
      </c>
      <c r="I5" s="29">
        <v>0.95859202347532591</v>
      </c>
      <c r="J5" s="29">
        <v>0.33289874819936582</v>
      </c>
    </row>
    <row r="6" spans="1:10" x14ac:dyDescent="0.3">
      <c r="A6" s="17" t="s">
        <v>1098</v>
      </c>
      <c r="B6" s="36">
        <v>2200653519</v>
      </c>
      <c r="C6" s="36">
        <v>3692763675.5900002</v>
      </c>
      <c r="D6" s="36">
        <v>1229316405</v>
      </c>
      <c r="E6" s="36">
        <v>586150335</v>
      </c>
      <c r="F6" s="36">
        <v>570277000</v>
      </c>
      <c r="G6" s="36">
        <v>152909871.59000015</v>
      </c>
      <c r="H6" s="36">
        <v>2463447270.5900002</v>
      </c>
      <c r="I6" s="30">
        <v>0.95859202347532591</v>
      </c>
      <c r="J6" s="30">
        <v>0.33289874819936582</v>
      </c>
    </row>
    <row r="7" spans="1:10" ht="28.8" x14ac:dyDescent="0.3">
      <c r="A7" s="18" t="s">
        <v>1099</v>
      </c>
      <c r="B7" s="37">
        <v>2157341924</v>
      </c>
      <c r="C7" s="37">
        <v>2003129039.5899999</v>
      </c>
      <c r="D7" s="37">
        <v>691043335</v>
      </c>
      <c r="E7" s="37">
        <v>548043335</v>
      </c>
      <c r="F7" s="37">
        <v>532170000</v>
      </c>
      <c r="G7" s="37">
        <v>152909868.58999991</v>
      </c>
      <c r="H7" s="37">
        <v>1312085704.5899999</v>
      </c>
      <c r="I7" s="31">
        <v>0.92366449411501839</v>
      </c>
      <c r="J7" s="31">
        <v>0.34498193643153546</v>
      </c>
    </row>
    <row r="8" spans="1:10" ht="43.2" x14ac:dyDescent="0.3">
      <c r="A8" s="19" t="s">
        <v>1537</v>
      </c>
      <c r="B8" s="38">
        <v>2157341924</v>
      </c>
      <c r="C8" s="38">
        <v>2003129039</v>
      </c>
      <c r="D8" s="38">
        <v>691043335</v>
      </c>
      <c r="E8" s="38">
        <v>548043335</v>
      </c>
      <c r="F8" s="38">
        <v>532170000</v>
      </c>
      <c r="G8" s="38">
        <v>152909868</v>
      </c>
      <c r="H8" s="38">
        <v>1312085704</v>
      </c>
      <c r="I8" s="27">
        <v>0.92366449438707376</v>
      </c>
      <c r="J8" s="27">
        <v>0.34498193653314613</v>
      </c>
    </row>
    <row r="9" spans="1:10" ht="43.2" x14ac:dyDescent="0.3">
      <c r="A9" s="19" t="s">
        <v>1538</v>
      </c>
      <c r="B9" s="38">
        <v>0</v>
      </c>
      <c r="C9" s="38">
        <v>0.59</v>
      </c>
      <c r="D9" s="38">
        <v>0</v>
      </c>
      <c r="E9" s="38">
        <v>0</v>
      </c>
      <c r="F9" s="38">
        <v>0</v>
      </c>
      <c r="G9" s="38">
        <v>0.59</v>
      </c>
      <c r="H9" s="38">
        <v>0.59</v>
      </c>
      <c r="I9" s="27">
        <v>0</v>
      </c>
      <c r="J9" s="27">
        <v>0</v>
      </c>
    </row>
    <row r="10" spans="1:10" x14ac:dyDescent="0.3">
      <c r="A10" s="18" t="s">
        <v>1101</v>
      </c>
      <c r="B10" s="37">
        <v>43311592</v>
      </c>
      <c r="C10" s="37">
        <v>1689634633</v>
      </c>
      <c r="D10" s="37">
        <v>538273070</v>
      </c>
      <c r="E10" s="37">
        <v>38107000</v>
      </c>
      <c r="F10" s="37">
        <v>38107000</v>
      </c>
      <c r="G10" s="37">
        <v>0</v>
      </c>
      <c r="H10" s="37">
        <v>1151361563</v>
      </c>
      <c r="I10" s="31">
        <v>1</v>
      </c>
      <c r="J10" s="31">
        <v>0.31857364869722105</v>
      </c>
    </row>
    <row r="11" spans="1:10" ht="43.2" x14ac:dyDescent="0.3">
      <c r="A11" s="19" t="s">
        <v>1539</v>
      </c>
      <c r="B11" s="38">
        <v>43311592</v>
      </c>
      <c r="C11" s="38">
        <v>1689634633</v>
      </c>
      <c r="D11" s="38">
        <v>538273070</v>
      </c>
      <c r="E11" s="38">
        <v>38107000</v>
      </c>
      <c r="F11" s="38">
        <v>38107000</v>
      </c>
      <c r="G11" s="38">
        <v>0</v>
      </c>
      <c r="H11" s="38">
        <v>1151361563</v>
      </c>
      <c r="I11" s="27">
        <v>1</v>
      </c>
      <c r="J11" s="27">
        <v>0.31857364869722105</v>
      </c>
    </row>
    <row r="12" spans="1:10" x14ac:dyDescent="0.3">
      <c r="A12" s="18" t="s">
        <v>1138</v>
      </c>
      <c r="B12" s="37">
        <v>3</v>
      </c>
      <c r="C12" s="37">
        <v>3</v>
      </c>
      <c r="D12" s="37">
        <v>0</v>
      </c>
      <c r="E12" s="37">
        <v>0</v>
      </c>
      <c r="F12" s="37">
        <v>0</v>
      </c>
      <c r="G12" s="37">
        <v>3</v>
      </c>
      <c r="H12" s="37">
        <v>3</v>
      </c>
      <c r="I12" s="31">
        <v>0</v>
      </c>
      <c r="J12" s="31">
        <v>0</v>
      </c>
    </row>
    <row r="13" spans="1:10" ht="43.2" x14ac:dyDescent="0.3">
      <c r="A13" s="19" t="s">
        <v>1540</v>
      </c>
      <c r="B13" s="38">
        <v>3</v>
      </c>
      <c r="C13" s="38">
        <v>3</v>
      </c>
      <c r="D13" s="38">
        <v>0</v>
      </c>
      <c r="E13" s="38">
        <v>0</v>
      </c>
      <c r="F13" s="38">
        <v>0</v>
      </c>
      <c r="G13" s="38">
        <v>3</v>
      </c>
      <c r="H13" s="38">
        <v>3</v>
      </c>
      <c r="I13" s="27">
        <v>0</v>
      </c>
      <c r="J13" s="27">
        <v>0</v>
      </c>
    </row>
    <row r="14" spans="1:10" x14ac:dyDescent="0.3">
      <c r="A14" s="19" t="s">
        <v>1673</v>
      </c>
      <c r="B14" s="38">
        <v>2200653519</v>
      </c>
      <c r="C14" s="38">
        <v>3692763675.5900002</v>
      </c>
      <c r="D14" s="38">
        <v>1229316405</v>
      </c>
      <c r="E14" s="38">
        <v>586150335</v>
      </c>
      <c r="F14" s="38">
        <v>570277000</v>
      </c>
      <c r="G14" s="38">
        <v>152909871.59000015</v>
      </c>
      <c r="H14" s="38">
        <v>2463447270.5900002</v>
      </c>
      <c r="I14" s="27">
        <v>0.95859202347532591</v>
      </c>
      <c r="J14" s="27">
        <v>0.33289874819936582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44671-FE2F-4DC6-9627-98F5CF036F27}">
  <dimension ref="A1:J22"/>
  <sheetViews>
    <sheetView workbookViewId="0">
      <selection activeCell="A9" sqref="A9"/>
    </sheetView>
  </sheetViews>
  <sheetFormatPr baseColWidth="10" defaultRowHeight="14.4" x14ac:dyDescent="0.3"/>
  <cols>
    <col min="1" max="1" width="66.6640625" style="14" customWidth="1"/>
    <col min="2" max="6" width="17.6640625" style="5" bestFit="1" customWidth="1"/>
    <col min="7" max="7" width="14" style="5" bestFit="1" customWidth="1"/>
    <col min="8" max="8" width="15" style="5" bestFit="1" customWidth="1"/>
    <col min="9" max="10" width="13.109375" style="4" bestFit="1" customWidth="1"/>
  </cols>
  <sheetData>
    <row r="1" spans="1:10" x14ac:dyDescent="0.3">
      <c r="A1" s="13" t="s">
        <v>2</v>
      </c>
      <c r="B1" s="33" t="s">
        <v>1652</v>
      </c>
      <c r="C1" s="33"/>
      <c r="D1" s="33"/>
      <c r="E1" s="33"/>
      <c r="F1" s="33"/>
      <c r="G1" s="33"/>
      <c r="H1" s="33"/>
      <c r="I1" s="21"/>
      <c r="J1" s="21"/>
    </row>
    <row r="3" spans="1:10" ht="43.2" x14ac:dyDescent="0.3">
      <c r="A3" s="13" t="s">
        <v>1672</v>
      </c>
      <c r="B3" s="33" t="s">
        <v>1666</v>
      </c>
      <c r="C3" s="33" t="s">
        <v>1667</v>
      </c>
      <c r="D3" s="33" t="s">
        <v>1669</v>
      </c>
      <c r="E3" s="33" t="s">
        <v>1668</v>
      </c>
      <c r="F3" s="33" t="s">
        <v>1670</v>
      </c>
      <c r="G3" s="33" t="s">
        <v>1642</v>
      </c>
      <c r="H3" s="33" t="s">
        <v>1671</v>
      </c>
      <c r="I3" s="21" t="s">
        <v>1643</v>
      </c>
      <c r="J3" s="21" t="s">
        <v>1644</v>
      </c>
    </row>
    <row r="4" spans="1:10" x14ac:dyDescent="0.3">
      <c r="A4" s="20" t="s">
        <v>1232</v>
      </c>
      <c r="B4" s="39">
        <v>2000000000</v>
      </c>
      <c r="C4" s="39">
        <v>2000000000</v>
      </c>
      <c r="D4" s="39">
        <v>1951449055.6400001</v>
      </c>
      <c r="E4" s="39">
        <v>1382540076.1400001</v>
      </c>
      <c r="F4" s="39">
        <v>1302292151.3399999</v>
      </c>
      <c r="G4" s="39">
        <v>3519939</v>
      </c>
      <c r="H4" s="39">
        <v>48550944.359999895</v>
      </c>
      <c r="I4" s="26">
        <v>0.99824003049999999</v>
      </c>
      <c r="J4" s="26">
        <v>0.97572452782000008</v>
      </c>
    </row>
    <row r="5" spans="1:10" x14ac:dyDescent="0.3">
      <c r="A5" s="16" t="s">
        <v>1018</v>
      </c>
      <c r="B5" s="35">
        <v>2000000000</v>
      </c>
      <c r="C5" s="35">
        <v>2000000000</v>
      </c>
      <c r="D5" s="35">
        <v>1951449055.6400001</v>
      </c>
      <c r="E5" s="35">
        <v>1382540076.1400001</v>
      </c>
      <c r="F5" s="35">
        <v>1302292151.3399999</v>
      </c>
      <c r="G5" s="35">
        <v>3519939</v>
      </c>
      <c r="H5" s="35">
        <v>48550944.359999895</v>
      </c>
      <c r="I5" s="22">
        <v>0.99824003049999999</v>
      </c>
      <c r="J5" s="22">
        <v>0.97572452782000008</v>
      </c>
    </row>
    <row r="6" spans="1:10" ht="28.8" x14ac:dyDescent="0.3">
      <c r="A6" s="17" t="s">
        <v>1162</v>
      </c>
      <c r="B6" s="36">
        <v>184955732</v>
      </c>
      <c r="C6" s="36">
        <v>184955732</v>
      </c>
      <c r="D6" s="36">
        <v>181669072.66</v>
      </c>
      <c r="E6" s="36">
        <v>162954591.46000001</v>
      </c>
      <c r="F6" s="36">
        <v>88096666.659999996</v>
      </c>
      <c r="G6" s="36">
        <v>139993</v>
      </c>
      <c r="H6" s="36">
        <v>3286659.3400000036</v>
      </c>
      <c r="I6" s="23">
        <v>0.99924309996513117</v>
      </c>
      <c r="J6" s="23">
        <v>0.98223002172217078</v>
      </c>
    </row>
    <row r="7" spans="1:10" x14ac:dyDescent="0.3">
      <c r="A7" s="18" t="s">
        <v>1195</v>
      </c>
      <c r="B7" s="37">
        <v>184955732</v>
      </c>
      <c r="C7" s="37">
        <v>184955732</v>
      </c>
      <c r="D7" s="37">
        <v>181669072.66</v>
      </c>
      <c r="E7" s="37">
        <v>162954591.46000001</v>
      </c>
      <c r="F7" s="37">
        <v>88096666.659999996</v>
      </c>
      <c r="G7" s="37">
        <v>139993</v>
      </c>
      <c r="H7" s="37">
        <v>3286659.3400000036</v>
      </c>
      <c r="I7" s="24">
        <v>0.99924309996513117</v>
      </c>
      <c r="J7" s="24">
        <v>0.98223002172217078</v>
      </c>
    </row>
    <row r="8" spans="1:10" ht="28.8" x14ac:dyDescent="0.3">
      <c r="A8" s="19" t="s">
        <v>1541</v>
      </c>
      <c r="B8" s="38">
        <v>184955732</v>
      </c>
      <c r="C8" s="38">
        <v>184955732</v>
      </c>
      <c r="D8" s="38">
        <v>181669072.66</v>
      </c>
      <c r="E8" s="38">
        <v>162954591.46000001</v>
      </c>
      <c r="F8" s="38">
        <v>88096666.659999996</v>
      </c>
      <c r="G8" s="38">
        <v>139993</v>
      </c>
      <c r="H8" s="38">
        <v>3286659.3400000036</v>
      </c>
      <c r="I8" s="25">
        <v>0.99924309996513117</v>
      </c>
      <c r="J8" s="25">
        <v>0.98223002172217078</v>
      </c>
    </row>
    <row r="9" spans="1:10" ht="28.8" x14ac:dyDescent="0.3">
      <c r="A9" s="17" t="s">
        <v>1187</v>
      </c>
      <c r="B9" s="36">
        <v>1815044268</v>
      </c>
      <c r="C9" s="36">
        <v>1815044268</v>
      </c>
      <c r="D9" s="36">
        <v>1769779982.9800003</v>
      </c>
      <c r="E9" s="36">
        <v>1219585484.6800001</v>
      </c>
      <c r="F9" s="36">
        <v>1214195484.6800001</v>
      </c>
      <c r="G9" s="36">
        <v>3379946</v>
      </c>
      <c r="H9" s="36">
        <v>45264285.019999743</v>
      </c>
      <c r="I9" s="23">
        <v>0.99813781621771447</v>
      </c>
      <c r="J9" s="23">
        <v>0.97506160823841692</v>
      </c>
    </row>
    <row r="10" spans="1:10" ht="28.8" x14ac:dyDescent="0.3">
      <c r="A10" s="18" t="s">
        <v>1189</v>
      </c>
      <c r="B10" s="37">
        <v>150695542</v>
      </c>
      <c r="C10" s="37">
        <v>150695542</v>
      </c>
      <c r="D10" s="37">
        <v>125000000</v>
      </c>
      <c r="E10" s="37">
        <v>125000000</v>
      </c>
      <c r="F10" s="37">
        <v>125000000</v>
      </c>
      <c r="G10" s="37">
        <v>0</v>
      </c>
      <c r="H10" s="37">
        <v>25695542</v>
      </c>
      <c r="I10" s="24">
        <v>1</v>
      </c>
      <c r="J10" s="24">
        <v>0.82948704613969271</v>
      </c>
    </row>
    <row r="11" spans="1:10" ht="28.8" x14ac:dyDescent="0.3">
      <c r="A11" s="19" t="s">
        <v>1542</v>
      </c>
      <c r="B11" s="38">
        <v>150695542</v>
      </c>
      <c r="C11" s="38">
        <v>150695542</v>
      </c>
      <c r="D11" s="38">
        <v>125000000</v>
      </c>
      <c r="E11" s="38">
        <v>125000000</v>
      </c>
      <c r="F11" s="38">
        <v>125000000</v>
      </c>
      <c r="G11" s="38">
        <v>0</v>
      </c>
      <c r="H11" s="38">
        <v>25695542</v>
      </c>
      <c r="I11" s="25">
        <v>1</v>
      </c>
      <c r="J11" s="25">
        <v>0.82948704613969271</v>
      </c>
    </row>
    <row r="12" spans="1:10" x14ac:dyDescent="0.3">
      <c r="A12" s="18" t="s">
        <v>1188</v>
      </c>
      <c r="B12" s="37">
        <v>148128322</v>
      </c>
      <c r="C12" s="37">
        <v>148128322</v>
      </c>
      <c r="D12" s="37">
        <v>147128322</v>
      </c>
      <c r="E12" s="37">
        <v>147128322</v>
      </c>
      <c r="F12" s="37">
        <v>147128322</v>
      </c>
      <c r="G12" s="37">
        <v>0</v>
      </c>
      <c r="H12" s="37">
        <v>1000000</v>
      </c>
      <c r="I12" s="24">
        <v>1</v>
      </c>
      <c r="J12" s="24">
        <v>0.99324909655021942</v>
      </c>
    </row>
    <row r="13" spans="1:10" ht="28.8" x14ac:dyDescent="0.3">
      <c r="A13" s="19" t="s">
        <v>1543</v>
      </c>
      <c r="B13" s="38">
        <v>148128322</v>
      </c>
      <c r="C13" s="38">
        <v>148128322</v>
      </c>
      <c r="D13" s="38">
        <v>147128322</v>
      </c>
      <c r="E13" s="38">
        <v>147128322</v>
      </c>
      <c r="F13" s="38">
        <v>147128322</v>
      </c>
      <c r="G13" s="38">
        <v>0</v>
      </c>
      <c r="H13" s="38">
        <v>1000000</v>
      </c>
      <c r="I13" s="25">
        <v>1</v>
      </c>
      <c r="J13" s="25">
        <v>0.99324909655021942</v>
      </c>
    </row>
    <row r="14" spans="1:10" ht="28.8" x14ac:dyDescent="0.3">
      <c r="A14" s="18" t="s">
        <v>1194</v>
      </c>
      <c r="B14" s="37">
        <v>923703820</v>
      </c>
      <c r="C14" s="37">
        <v>923703820</v>
      </c>
      <c r="D14" s="37">
        <v>919207147.32000005</v>
      </c>
      <c r="E14" s="37">
        <v>782720496.01999998</v>
      </c>
      <c r="F14" s="37">
        <v>782720496.01999998</v>
      </c>
      <c r="G14" s="37">
        <v>3379944</v>
      </c>
      <c r="H14" s="37">
        <v>4496672.6799999475</v>
      </c>
      <c r="I14" s="24">
        <v>0.99634087904930391</v>
      </c>
      <c r="J14" s="24">
        <v>0.99513191070271856</v>
      </c>
    </row>
    <row r="15" spans="1:10" ht="28.8" x14ac:dyDescent="0.3">
      <c r="A15" s="19" t="s">
        <v>1295</v>
      </c>
      <c r="B15" s="38">
        <v>923703820</v>
      </c>
      <c r="C15" s="38">
        <v>923703820</v>
      </c>
      <c r="D15" s="38">
        <v>919207147.32000005</v>
      </c>
      <c r="E15" s="38">
        <v>782720496.01999998</v>
      </c>
      <c r="F15" s="38">
        <v>782720496.01999998</v>
      </c>
      <c r="G15" s="38">
        <v>3379944</v>
      </c>
      <c r="H15" s="38">
        <v>4496672.6799999475</v>
      </c>
      <c r="I15" s="25">
        <v>0.99634087904930391</v>
      </c>
      <c r="J15" s="25">
        <v>0.99513191070271856</v>
      </c>
    </row>
    <row r="16" spans="1:10" x14ac:dyDescent="0.3">
      <c r="A16" s="18" t="s">
        <v>1197</v>
      </c>
      <c r="B16" s="37">
        <v>107707847</v>
      </c>
      <c r="C16" s="37">
        <v>107707847</v>
      </c>
      <c r="D16" s="37">
        <v>107307847</v>
      </c>
      <c r="E16" s="37">
        <v>43600000</v>
      </c>
      <c r="F16" s="37">
        <v>43600000</v>
      </c>
      <c r="G16" s="37">
        <v>0</v>
      </c>
      <c r="H16" s="37">
        <v>400000</v>
      </c>
      <c r="I16" s="24">
        <v>1</v>
      </c>
      <c r="J16" s="24">
        <v>0.99628625015594263</v>
      </c>
    </row>
    <row r="17" spans="1:10" x14ac:dyDescent="0.3">
      <c r="A17" s="19" t="s">
        <v>1544</v>
      </c>
      <c r="B17" s="38">
        <v>107707847</v>
      </c>
      <c r="C17" s="38">
        <v>107707847</v>
      </c>
      <c r="D17" s="38">
        <v>107307847</v>
      </c>
      <c r="E17" s="38">
        <v>43600000</v>
      </c>
      <c r="F17" s="38">
        <v>43600000</v>
      </c>
      <c r="G17" s="38">
        <v>0</v>
      </c>
      <c r="H17" s="38">
        <v>400000</v>
      </c>
      <c r="I17" s="25">
        <v>1</v>
      </c>
      <c r="J17" s="25">
        <v>0.99628625015594263</v>
      </c>
    </row>
    <row r="18" spans="1:10" x14ac:dyDescent="0.3">
      <c r="A18" s="18" t="s">
        <v>1193</v>
      </c>
      <c r="B18" s="37">
        <v>414374881</v>
      </c>
      <c r="C18" s="37">
        <v>414374881</v>
      </c>
      <c r="D18" s="37">
        <v>405256666.66000003</v>
      </c>
      <c r="E18" s="37">
        <v>55256666.659999996</v>
      </c>
      <c r="F18" s="37">
        <v>49866666.659999996</v>
      </c>
      <c r="G18" s="37">
        <v>1</v>
      </c>
      <c r="H18" s="37">
        <v>9118214.3399999738</v>
      </c>
      <c r="I18" s="24">
        <v>0.99999999758672631</v>
      </c>
      <c r="J18" s="24">
        <v>0.97799525319200042</v>
      </c>
    </row>
    <row r="19" spans="1:10" ht="28.8" x14ac:dyDescent="0.3">
      <c r="A19" s="19" t="s">
        <v>1545</v>
      </c>
      <c r="B19" s="38">
        <v>414374881</v>
      </c>
      <c r="C19" s="38">
        <v>414374881</v>
      </c>
      <c r="D19" s="38">
        <v>405256666.66000003</v>
      </c>
      <c r="E19" s="38">
        <v>55256666.659999996</v>
      </c>
      <c r="F19" s="38">
        <v>49866666.659999996</v>
      </c>
      <c r="G19" s="38">
        <v>1</v>
      </c>
      <c r="H19" s="38">
        <v>9118214.3399999738</v>
      </c>
      <c r="I19" s="25">
        <v>0.99999999758672631</v>
      </c>
      <c r="J19" s="25">
        <v>0.97799525319200042</v>
      </c>
    </row>
    <row r="20" spans="1:10" x14ac:dyDescent="0.3">
      <c r="A20" s="18" t="s">
        <v>1196</v>
      </c>
      <c r="B20" s="37">
        <v>70433856</v>
      </c>
      <c r="C20" s="37">
        <v>70433856</v>
      </c>
      <c r="D20" s="37">
        <v>65880000</v>
      </c>
      <c r="E20" s="37">
        <v>65880000</v>
      </c>
      <c r="F20" s="37">
        <v>65880000</v>
      </c>
      <c r="G20" s="37">
        <v>1</v>
      </c>
      <c r="H20" s="37">
        <v>4553856</v>
      </c>
      <c r="I20" s="24">
        <v>0.99999998580228233</v>
      </c>
      <c r="J20" s="24">
        <v>0.93534563832484197</v>
      </c>
    </row>
    <row r="21" spans="1:10" ht="43.2" x14ac:dyDescent="0.3">
      <c r="A21" s="19" t="s">
        <v>1546</v>
      </c>
      <c r="B21" s="38">
        <v>70433856</v>
      </c>
      <c r="C21" s="38">
        <v>70433856</v>
      </c>
      <c r="D21" s="38">
        <v>65880000</v>
      </c>
      <c r="E21" s="38">
        <v>65880000</v>
      </c>
      <c r="F21" s="38">
        <v>65880000</v>
      </c>
      <c r="G21" s="38">
        <v>1</v>
      </c>
      <c r="H21" s="38">
        <v>4553856</v>
      </c>
      <c r="I21" s="25">
        <v>0.99999998580228233</v>
      </c>
      <c r="J21" s="25">
        <v>0.93534563832484197</v>
      </c>
    </row>
    <row r="22" spans="1:10" x14ac:dyDescent="0.3">
      <c r="A22" s="19" t="s">
        <v>1673</v>
      </c>
      <c r="B22" s="38">
        <v>2000000000</v>
      </c>
      <c r="C22" s="38">
        <v>2000000000</v>
      </c>
      <c r="D22" s="38">
        <v>1951449055.6400001</v>
      </c>
      <c r="E22" s="38">
        <v>1382540076.1400001</v>
      </c>
      <c r="F22" s="38">
        <v>1302292151.3399999</v>
      </c>
      <c r="G22" s="38">
        <v>3519939</v>
      </c>
      <c r="H22" s="38">
        <v>48550944.359999895</v>
      </c>
      <c r="I22" s="25">
        <v>0.99824003049999999</v>
      </c>
      <c r="J22" s="25">
        <v>0.97572452782000008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538F1-7B65-4F53-91C1-300D5A2B0913}">
  <dimension ref="A1:J30"/>
  <sheetViews>
    <sheetView workbookViewId="0">
      <selection sqref="A1:A1048576"/>
    </sheetView>
  </sheetViews>
  <sheetFormatPr baseColWidth="10" defaultRowHeight="14.4" x14ac:dyDescent="0.3"/>
  <cols>
    <col min="1" max="1" width="49.33203125" style="14" customWidth="1"/>
    <col min="2" max="6" width="18.6640625" style="5" bestFit="1" customWidth="1"/>
    <col min="7" max="8" width="17.6640625" style="5" bestFit="1" customWidth="1"/>
    <col min="9" max="10" width="13" style="8" bestFit="1" customWidth="1"/>
  </cols>
  <sheetData>
    <row r="1" spans="1:10" x14ac:dyDescent="0.3">
      <c r="A1" s="13" t="s">
        <v>2</v>
      </c>
      <c r="B1" s="33" t="s">
        <v>1651</v>
      </c>
      <c r="C1" s="33"/>
      <c r="D1" s="33"/>
      <c r="E1" s="33"/>
      <c r="F1" s="33"/>
      <c r="G1" s="33"/>
      <c r="H1" s="33"/>
      <c r="I1" s="27"/>
      <c r="J1" s="27"/>
    </row>
    <row r="3" spans="1:10" ht="28.8" x14ac:dyDescent="0.3">
      <c r="A3" s="13" t="s">
        <v>1672</v>
      </c>
      <c r="B3" s="33" t="s">
        <v>1666</v>
      </c>
      <c r="C3" s="33" t="s">
        <v>1667</v>
      </c>
      <c r="D3" s="33" t="s">
        <v>1669</v>
      </c>
      <c r="E3" s="33" t="s">
        <v>1668</v>
      </c>
      <c r="F3" s="33" t="s">
        <v>1670</v>
      </c>
      <c r="G3" s="33" t="s">
        <v>1642</v>
      </c>
      <c r="H3" s="33" t="s">
        <v>1671</v>
      </c>
      <c r="I3" s="27" t="s">
        <v>1643</v>
      </c>
      <c r="J3" s="27" t="s">
        <v>1644</v>
      </c>
    </row>
    <row r="4" spans="1:10" x14ac:dyDescent="0.3">
      <c r="A4" s="20" t="s">
        <v>1233</v>
      </c>
      <c r="B4" s="39">
        <v>18911698415</v>
      </c>
      <c r="C4" s="39">
        <v>26803259858.030003</v>
      </c>
      <c r="D4" s="39">
        <v>23633181179.619999</v>
      </c>
      <c r="E4" s="39">
        <v>23497408635.619999</v>
      </c>
      <c r="F4" s="39">
        <v>20346811042.049999</v>
      </c>
      <c r="G4" s="39">
        <v>3170078578.4099998</v>
      </c>
      <c r="H4" s="39">
        <v>3170078678.4099998</v>
      </c>
      <c r="I4" s="32">
        <v>0.88172787208716052</v>
      </c>
      <c r="J4" s="32">
        <v>0.88172786835627104</v>
      </c>
    </row>
    <row r="5" spans="1:10" x14ac:dyDescent="0.3">
      <c r="A5" s="16" t="s">
        <v>1030</v>
      </c>
      <c r="B5" s="35">
        <v>18911698415</v>
      </c>
      <c r="C5" s="35">
        <v>26803259858.030003</v>
      </c>
      <c r="D5" s="35">
        <v>23633181179.619999</v>
      </c>
      <c r="E5" s="35">
        <v>23497408635.619999</v>
      </c>
      <c r="F5" s="35">
        <v>20346811042.049999</v>
      </c>
      <c r="G5" s="35">
        <v>3170078578.4099998</v>
      </c>
      <c r="H5" s="35">
        <v>3170078678.4099998</v>
      </c>
      <c r="I5" s="29">
        <v>0.88172787208716052</v>
      </c>
      <c r="J5" s="29">
        <v>0.88172786835627104</v>
      </c>
    </row>
    <row r="6" spans="1:10" ht="28.8" x14ac:dyDescent="0.3">
      <c r="A6" s="17" t="s">
        <v>1031</v>
      </c>
      <c r="B6" s="36">
        <v>18911698415</v>
      </c>
      <c r="C6" s="36">
        <v>26803259858.030003</v>
      </c>
      <c r="D6" s="36">
        <v>23633181179.619999</v>
      </c>
      <c r="E6" s="36">
        <v>23497408635.619999</v>
      </c>
      <c r="F6" s="36">
        <v>20346811042.049999</v>
      </c>
      <c r="G6" s="36">
        <v>3170078578.4099998</v>
      </c>
      <c r="H6" s="36">
        <v>3170078678.4099998</v>
      </c>
      <c r="I6" s="30">
        <v>0.88172787208716052</v>
      </c>
      <c r="J6" s="30">
        <v>0.88172786835627104</v>
      </c>
    </row>
    <row r="7" spans="1:10" x14ac:dyDescent="0.3">
      <c r="A7" s="18" t="s">
        <v>1040</v>
      </c>
      <c r="B7" s="37">
        <v>2564260684</v>
      </c>
      <c r="C7" s="37">
        <v>3141151319.1500006</v>
      </c>
      <c r="D7" s="37">
        <v>2873764114.4099998</v>
      </c>
      <c r="E7" s="37">
        <v>2780991508.4099998</v>
      </c>
      <c r="F7" s="37">
        <v>2212059329.4099998</v>
      </c>
      <c r="G7" s="37">
        <v>267387204.74000025</v>
      </c>
      <c r="H7" s="37">
        <v>267387204.74000025</v>
      </c>
      <c r="I7" s="31">
        <v>0.9148760509849122</v>
      </c>
      <c r="J7" s="31">
        <v>0.9148760509849122</v>
      </c>
    </row>
    <row r="8" spans="1:10" ht="43.2" x14ac:dyDescent="0.3">
      <c r="A8" s="19" t="s">
        <v>1547</v>
      </c>
      <c r="B8" s="38">
        <v>2202943908</v>
      </c>
      <c r="C8" s="38">
        <v>2205249673.9000001</v>
      </c>
      <c r="D8" s="38">
        <v>2187214833</v>
      </c>
      <c r="E8" s="38">
        <v>2187214833</v>
      </c>
      <c r="F8" s="38">
        <v>1911167718</v>
      </c>
      <c r="G8" s="38">
        <v>18034840.900000095</v>
      </c>
      <c r="H8" s="38">
        <v>18034840.900000095</v>
      </c>
      <c r="I8" s="27">
        <v>0.99182185984949933</v>
      </c>
      <c r="J8" s="27">
        <v>0.99182185984949933</v>
      </c>
    </row>
    <row r="9" spans="1:10" ht="43.2" x14ac:dyDescent="0.3">
      <c r="A9" s="19" t="s">
        <v>1548</v>
      </c>
      <c r="B9" s="38">
        <v>0</v>
      </c>
      <c r="C9" s="38">
        <v>5084182.32</v>
      </c>
      <c r="D9" s="38">
        <v>0</v>
      </c>
      <c r="E9" s="38">
        <v>0</v>
      </c>
      <c r="F9" s="38">
        <v>0</v>
      </c>
      <c r="G9" s="38">
        <v>5084182.32</v>
      </c>
      <c r="H9" s="38">
        <v>5084182.32</v>
      </c>
      <c r="I9" s="27">
        <v>0</v>
      </c>
      <c r="J9" s="27">
        <v>0</v>
      </c>
    </row>
    <row r="10" spans="1:10" ht="43.2" x14ac:dyDescent="0.3">
      <c r="A10" s="19" t="s">
        <v>1549</v>
      </c>
      <c r="B10" s="38">
        <v>0</v>
      </c>
      <c r="C10" s="38">
        <v>199826079.22999999</v>
      </c>
      <c r="D10" s="38">
        <v>92772606</v>
      </c>
      <c r="E10" s="38">
        <v>0</v>
      </c>
      <c r="F10" s="38">
        <v>0</v>
      </c>
      <c r="G10" s="38">
        <v>107053473.22999999</v>
      </c>
      <c r="H10" s="38">
        <v>107053473.22999999</v>
      </c>
      <c r="I10" s="27">
        <v>0.46426675816032326</v>
      </c>
      <c r="J10" s="27">
        <v>0.46426675816032326</v>
      </c>
    </row>
    <row r="11" spans="1:10" ht="57.6" x14ac:dyDescent="0.3">
      <c r="A11" s="19" t="s">
        <v>1550</v>
      </c>
      <c r="B11" s="38">
        <v>361316776</v>
      </c>
      <c r="C11" s="38">
        <v>730991383.70000005</v>
      </c>
      <c r="D11" s="38">
        <v>593776675.41000009</v>
      </c>
      <c r="E11" s="38">
        <v>593776675.41000009</v>
      </c>
      <c r="F11" s="38">
        <v>300891611.41000003</v>
      </c>
      <c r="G11" s="38">
        <v>137214708.28999996</v>
      </c>
      <c r="H11" s="38">
        <v>137214708.28999996</v>
      </c>
      <c r="I11" s="27">
        <v>0.81228956818140408</v>
      </c>
      <c r="J11" s="27">
        <v>0.81228956818140408</v>
      </c>
    </row>
    <row r="12" spans="1:10" x14ac:dyDescent="0.3">
      <c r="A12" s="18" t="s">
        <v>1034</v>
      </c>
      <c r="B12" s="37">
        <v>2381664013</v>
      </c>
      <c r="C12" s="37">
        <v>2875778533.02</v>
      </c>
      <c r="D12" s="37">
        <v>2254452896.8599997</v>
      </c>
      <c r="E12" s="37">
        <v>2254452896.8599997</v>
      </c>
      <c r="F12" s="37">
        <v>1626888000</v>
      </c>
      <c r="G12" s="37">
        <v>621325636.16000032</v>
      </c>
      <c r="H12" s="37">
        <v>621325636.16000032</v>
      </c>
      <c r="I12" s="31">
        <v>0.78394524160123169</v>
      </c>
      <c r="J12" s="31">
        <v>0.78394524160123169</v>
      </c>
    </row>
    <row r="13" spans="1:10" ht="72" x14ac:dyDescent="0.3">
      <c r="A13" s="19" t="s">
        <v>1551</v>
      </c>
      <c r="B13" s="38">
        <v>2381664013</v>
      </c>
      <c r="C13" s="38">
        <v>2875778533.02</v>
      </c>
      <c r="D13" s="38">
        <v>2254452896.8599997</v>
      </c>
      <c r="E13" s="38">
        <v>2254452896.8599997</v>
      </c>
      <c r="F13" s="38">
        <v>1626888000</v>
      </c>
      <c r="G13" s="38">
        <v>621325636.16000032</v>
      </c>
      <c r="H13" s="38">
        <v>621325636.16000032</v>
      </c>
      <c r="I13" s="27">
        <v>0.78394524160123169</v>
      </c>
      <c r="J13" s="27">
        <v>0.78394524160123169</v>
      </c>
    </row>
    <row r="14" spans="1:10" ht="28.8" x14ac:dyDescent="0.3">
      <c r="A14" s="18" t="s">
        <v>1126</v>
      </c>
      <c r="B14" s="37">
        <v>2032948654</v>
      </c>
      <c r="C14" s="37">
        <v>2470308396.5500002</v>
      </c>
      <c r="D14" s="37">
        <v>1955558936.0900002</v>
      </c>
      <c r="E14" s="37">
        <v>1927558998.0900002</v>
      </c>
      <c r="F14" s="37">
        <v>958835624.08999991</v>
      </c>
      <c r="G14" s="37">
        <v>514749460.46000004</v>
      </c>
      <c r="H14" s="37">
        <v>514749460.46000004</v>
      </c>
      <c r="I14" s="31">
        <v>0.79162542572462113</v>
      </c>
      <c r="J14" s="31">
        <v>0.79162542572462113</v>
      </c>
    </row>
    <row r="15" spans="1:10" ht="57.6" x14ac:dyDescent="0.3">
      <c r="A15" s="19" t="s">
        <v>1552</v>
      </c>
      <c r="B15" s="38">
        <v>2032948654</v>
      </c>
      <c r="C15" s="38">
        <v>2078743363</v>
      </c>
      <c r="D15" s="38">
        <v>1840190839.0900002</v>
      </c>
      <c r="E15" s="38">
        <v>1812190901.0900002</v>
      </c>
      <c r="F15" s="38">
        <v>958835624.08999991</v>
      </c>
      <c r="G15" s="38">
        <v>238552523.90999985</v>
      </c>
      <c r="H15" s="38">
        <v>238552523.90999985</v>
      </c>
      <c r="I15" s="27">
        <v>0.88524195523312421</v>
      </c>
      <c r="J15" s="27">
        <v>0.88524195523312421</v>
      </c>
    </row>
    <row r="16" spans="1:10" ht="57.6" x14ac:dyDescent="0.3">
      <c r="A16" s="19" t="s">
        <v>1553</v>
      </c>
      <c r="B16" s="38">
        <v>0</v>
      </c>
      <c r="C16" s="38">
        <v>391565033.55000001</v>
      </c>
      <c r="D16" s="38">
        <v>115368097</v>
      </c>
      <c r="E16" s="38">
        <v>115368097</v>
      </c>
      <c r="F16" s="38">
        <v>0</v>
      </c>
      <c r="G16" s="38">
        <v>276196936.55000001</v>
      </c>
      <c r="H16" s="38">
        <v>276196936.55000001</v>
      </c>
      <c r="I16" s="27">
        <v>0.29463329744755756</v>
      </c>
      <c r="J16" s="27">
        <v>0.29463329744755756</v>
      </c>
    </row>
    <row r="17" spans="1:10" x14ac:dyDescent="0.3">
      <c r="A17" s="18" t="s">
        <v>1041</v>
      </c>
      <c r="B17" s="37">
        <v>2578666632</v>
      </c>
      <c r="C17" s="37">
        <v>2647968210</v>
      </c>
      <c r="D17" s="37">
        <v>2397211344.8400002</v>
      </c>
      <c r="E17" s="37">
        <v>2382211344.8400002</v>
      </c>
      <c r="F17" s="37">
        <v>2327211344.8400002</v>
      </c>
      <c r="G17" s="37">
        <v>250756865.15999985</v>
      </c>
      <c r="H17" s="37">
        <v>250756865.15999985</v>
      </c>
      <c r="I17" s="31">
        <v>0.9053021617808622</v>
      </c>
      <c r="J17" s="31">
        <v>0.9053021617808622</v>
      </c>
    </row>
    <row r="18" spans="1:10" ht="57.6" x14ac:dyDescent="0.3">
      <c r="A18" s="19" t="s">
        <v>1554</v>
      </c>
      <c r="B18" s="38">
        <v>2578666632</v>
      </c>
      <c r="C18" s="38">
        <v>2645140210</v>
      </c>
      <c r="D18" s="38">
        <v>2397211344.8400002</v>
      </c>
      <c r="E18" s="38">
        <v>2382211344.8400002</v>
      </c>
      <c r="F18" s="38">
        <v>2327211344.8400002</v>
      </c>
      <c r="G18" s="38">
        <v>247928865.15999985</v>
      </c>
      <c r="H18" s="38">
        <v>247928865.15999985</v>
      </c>
      <c r="I18" s="27">
        <v>0.90627004790797083</v>
      </c>
      <c r="J18" s="27">
        <v>0.90627004790797083</v>
      </c>
    </row>
    <row r="19" spans="1:10" ht="57.6" x14ac:dyDescent="0.3">
      <c r="A19" s="19" t="s">
        <v>1555</v>
      </c>
      <c r="B19" s="38">
        <v>0</v>
      </c>
      <c r="C19" s="38">
        <v>2828000</v>
      </c>
      <c r="D19" s="38">
        <v>0</v>
      </c>
      <c r="E19" s="38">
        <v>0</v>
      </c>
      <c r="F19" s="38">
        <v>0</v>
      </c>
      <c r="G19" s="38">
        <v>2828000</v>
      </c>
      <c r="H19" s="38">
        <v>2828000</v>
      </c>
      <c r="I19" s="27">
        <v>0</v>
      </c>
      <c r="J19" s="27">
        <v>0</v>
      </c>
    </row>
    <row r="20" spans="1:10" ht="28.8" x14ac:dyDescent="0.3">
      <c r="A20" s="18" t="s">
        <v>1186</v>
      </c>
      <c r="B20" s="37">
        <v>1612571163</v>
      </c>
      <c r="C20" s="37">
        <v>1847170490.72</v>
      </c>
      <c r="D20" s="37">
        <v>1501268206.29</v>
      </c>
      <c r="E20" s="37">
        <v>1501268206.29</v>
      </c>
      <c r="F20" s="37">
        <v>1333664456.29</v>
      </c>
      <c r="G20" s="37">
        <v>345902284.43000007</v>
      </c>
      <c r="H20" s="37">
        <v>345902284.43000007</v>
      </c>
      <c r="I20" s="31">
        <v>0.81273938373973675</v>
      </c>
      <c r="J20" s="31">
        <v>0.81273938373973675</v>
      </c>
    </row>
    <row r="21" spans="1:10" ht="57.6" x14ac:dyDescent="0.3">
      <c r="A21" s="19" t="s">
        <v>1556</v>
      </c>
      <c r="B21" s="38">
        <v>1612571163</v>
      </c>
      <c r="C21" s="38">
        <v>1841170490.72</v>
      </c>
      <c r="D21" s="38">
        <v>1501268206.29</v>
      </c>
      <c r="E21" s="38">
        <v>1501268206.29</v>
      </c>
      <c r="F21" s="38">
        <v>1333664456.29</v>
      </c>
      <c r="G21" s="38">
        <v>339902284.43000007</v>
      </c>
      <c r="H21" s="38">
        <v>339902284.43000007</v>
      </c>
      <c r="I21" s="27">
        <v>0.81538793602048265</v>
      </c>
      <c r="J21" s="27">
        <v>0.81538793602048265</v>
      </c>
    </row>
    <row r="22" spans="1:10" ht="57.6" x14ac:dyDescent="0.3">
      <c r="A22" s="19" t="s">
        <v>1557</v>
      </c>
      <c r="B22" s="38">
        <v>0</v>
      </c>
      <c r="C22" s="38">
        <v>6000000</v>
      </c>
      <c r="D22" s="38">
        <v>0</v>
      </c>
      <c r="E22" s="38">
        <v>0</v>
      </c>
      <c r="F22" s="38">
        <v>0</v>
      </c>
      <c r="G22" s="38">
        <v>6000000</v>
      </c>
      <c r="H22" s="38">
        <v>6000000</v>
      </c>
      <c r="I22" s="27">
        <v>0</v>
      </c>
      <c r="J22" s="27">
        <v>0</v>
      </c>
    </row>
    <row r="23" spans="1:10" ht="72" x14ac:dyDescent="0.3">
      <c r="A23" s="18" t="s">
        <v>1203</v>
      </c>
      <c r="B23" s="37">
        <v>645433145</v>
      </c>
      <c r="C23" s="37">
        <v>695433145</v>
      </c>
      <c r="D23" s="37">
        <v>531009992.70999998</v>
      </c>
      <c r="E23" s="37">
        <v>531009992.70999998</v>
      </c>
      <c r="F23" s="37">
        <v>347372475</v>
      </c>
      <c r="G23" s="37">
        <v>164423152.29000002</v>
      </c>
      <c r="H23" s="37">
        <v>164423152.29000002</v>
      </c>
      <c r="I23" s="31">
        <v>0.76356727677971115</v>
      </c>
      <c r="J23" s="31">
        <v>0.76356727677971115</v>
      </c>
    </row>
    <row r="24" spans="1:10" ht="72" x14ac:dyDescent="0.3">
      <c r="A24" s="19" t="s">
        <v>1558</v>
      </c>
      <c r="B24" s="38">
        <v>645433145</v>
      </c>
      <c r="C24" s="38">
        <v>645433145</v>
      </c>
      <c r="D24" s="38">
        <v>524927660</v>
      </c>
      <c r="E24" s="38">
        <v>524927660</v>
      </c>
      <c r="F24" s="38">
        <v>347372475</v>
      </c>
      <c r="G24" s="38">
        <v>120505485</v>
      </c>
      <c r="H24" s="38">
        <v>120505485</v>
      </c>
      <c r="I24" s="27">
        <v>0.8132951709506645</v>
      </c>
      <c r="J24" s="27">
        <v>0.8132951709506645</v>
      </c>
    </row>
    <row r="25" spans="1:10" ht="72" x14ac:dyDescent="0.3">
      <c r="A25" s="19" t="s">
        <v>1559</v>
      </c>
      <c r="B25" s="38">
        <v>0</v>
      </c>
      <c r="C25" s="38">
        <v>50000000</v>
      </c>
      <c r="D25" s="38">
        <v>6082332.71</v>
      </c>
      <c r="E25" s="38">
        <v>6082332.71</v>
      </c>
      <c r="F25" s="38">
        <v>0</v>
      </c>
      <c r="G25" s="38">
        <v>43917667.289999999</v>
      </c>
      <c r="H25" s="38">
        <v>43917667.289999999</v>
      </c>
      <c r="I25" s="27">
        <v>0.1216466542</v>
      </c>
      <c r="J25" s="27">
        <v>0.1216466542</v>
      </c>
    </row>
    <row r="26" spans="1:10" ht="43.2" x14ac:dyDescent="0.3">
      <c r="A26" s="18" t="s">
        <v>1032</v>
      </c>
      <c r="B26" s="37">
        <v>7096154124</v>
      </c>
      <c r="C26" s="37">
        <v>13125449763.59</v>
      </c>
      <c r="D26" s="37">
        <v>12119915688.419998</v>
      </c>
      <c r="E26" s="37">
        <v>12119915688.419998</v>
      </c>
      <c r="F26" s="37">
        <v>11540779812.419998</v>
      </c>
      <c r="G26" s="37">
        <v>1005533975.1700001</v>
      </c>
      <c r="H26" s="37">
        <v>1005534075.1700001</v>
      </c>
      <c r="I26" s="31">
        <v>0.92339051283717899</v>
      </c>
      <c r="J26" s="31">
        <v>0.9233905052183925</v>
      </c>
    </row>
    <row r="27" spans="1:10" ht="72" x14ac:dyDescent="0.3">
      <c r="A27" s="19" t="s">
        <v>1560</v>
      </c>
      <c r="B27" s="38">
        <v>7096154124</v>
      </c>
      <c r="C27" s="38">
        <v>10057845662</v>
      </c>
      <c r="D27" s="38">
        <v>9476597651.6399994</v>
      </c>
      <c r="E27" s="38">
        <v>9476597651.6399994</v>
      </c>
      <c r="F27" s="38">
        <v>9171426038.6399994</v>
      </c>
      <c r="G27" s="38">
        <v>581247910.36000061</v>
      </c>
      <c r="H27" s="38">
        <v>581248010.36000061</v>
      </c>
      <c r="I27" s="27">
        <v>0.94220950192584085</v>
      </c>
      <c r="J27" s="27">
        <v>0.94220949198335391</v>
      </c>
    </row>
    <row r="28" spans="1:10" ht="72" x14ac:dyDescent="0.3">
      <c r="A28" s="19" t="s">
        <v>1561</v>
      </c>
      <c r="B28" s="38">
        <v>0</v>
      </c>
      <c r="C28" s="38">
        <v>172070000</v>
      </c>
      <c r="D28" s="38">
        <v>0</v>
      </c>
      <c r="E28" s="38">
        <v>0</v>
      </c>
      <c r="F28" s="38">
        <v>0</v>
      </c>
      <c r="G28" s="38">
        <v>172070000</v>
      </c>
      <c r="H28" s="38">
        <v>172070000</v>
      </c>
      <c r="I28" s="27">
        <v>0</v>
      </c>
      <c r="J28" s="27">
        <v>0</v>
      </c>
    </row>
    <row r="29" spans="1:10" ht="72" x14ac:dyDescent="0.3">
      <c r="A29" s="19" t="s">
        <v>1562</v>
      </c>
      <c r="B29" s="38">
        <v>0</v>
      </c>
      <c r="C29" s="38">
        <v>2895534101.5900002</v>
      </c>
      <c r="D29" s="38">
        <v>2643318036.7799997</v>
      </c>
      <c r="E29" s="38">
        <v>2643318036.7799997</v>
      </c>
      <c r="F29" s="38">
        <v>2369353773.7799997</v>
      </c>
      <c r="G29" s="38">
        <v>252216064.81000042</v>
      </c>
      <c r="H29" s="38">
        <v>252216064.81000042</v>
      </c>
      <c r="I29" s="27">
        <v>0.9128948042188475</v>
      </c>
      <c r="J29" s="27">
        <v>0.9128948042188475</v>
      </c>
    </row>
    <row r="30" spans="1:10" x14ac:dyDescent="0.3">
      <c r="A30" s="19" t="s">
        <v>1673</v>
      </c>
      <c r="B30" s="38">
        <v>18911698415</v>
      </c>
      <c r="C30" s="38">
        <v>26803259858.030003</v>
      </c>
      <c r="D30" s="38">
        <v>23633181179.619999</v>
      </c>
      <c r="E30" s="38">
        <v>23497408635.619999</v>
      </c>
      <c r="F30" s="38">
        <v>20346811042.049999</v>
      </c>
      <c r="G30" s="38">
        <v>3170078578.4099998</v>
      </c>
      <c r="H30" s="38">
        <v>3170078678.4099998</v>
      </c>
      <c r="I30" s="27">
        <v>0.88172787208716052</v>
      </c>
      <c r="J30" s="27">
        <v>0.88172786835627104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298C0-993E-4600-9E45-C8B1958933FD}">
  <dimension ref="A1:J20"/>
  <sheetViews>
    <sheetView workbookViewId="0">
      <selection sqref="A1:A1048576"/>
    </sheetView>
  </sheetViews>
  <sheetFormatPr baseColWidth="10" defaultRowHeight="14.4" x14ac:dyDescent="0.3"/>
  <cols>
    <col min="1" max="1" width="47.33203125" style="14" customWidth="1"/>
    <col min="2" max="6" width="18.6640625" style="5" bestFit="1" customWidth="1"/>
    <col min="7" max="8" width="16.109375" style="5" bestFit="1" customWidth="1"/>
    <col min="9" max="10" width="14.33203125" style="8" bestFit="1" customWidth="1"/>
  </cols>
  <sheetData>
    <row r="1" spans="1:10" x14ac:dyDescent="0.3">
      <c r="A1" s="13" t="s">
        <v>2</v>
      </c>
      <c r="B1" s="33" t="s">
        <v>1650</v>
      </c>
      <c r="C1" s="33"/>
      <c r="D1" s="33"/>
      <c r="E1" s="33"/>
      <c r="F1" s="33"/>
      <c r="G1" s="33"/>
      <c r="H1" s="33"/>
      <c r="I1" s="27"/>
      <c r="J1" s="27"/>
    </row>
    <row r="3" spans="1:10" ht="43.2" x14ac:dyDescent="0.3">
      <c r="A3" s="13" t="s">
        <v>1672</v>
      </c>
      <c r="B3" s="33" t="s">
        <v>1666</v>
      </c>
      <c r="C3" s="33" t="s">
        <v>1667</v>
      </c>
      <c r="D3" s="33" t="s">
        <v>1669</v>
      </c>
      <c r="E3" s="33" t="s">
        <v>1668</v>
      </c>
      <c r="F3" s="33" t="s">
        <v>1670</v>
      </c>
      <c r="G3" s="33" t="s">
        <v>1642</v>
      </c>
      <c r="H3" s="33" t="s">
        <v>1671</v>
      </c>
      <c r="I3" s="27" t="s">
        <v>1643</v>
      </c>
      <c r="J3" s="27" t="s">
        <v>1644</v>
      </c>
    </row>
    <row r="4" spans="1:10" ht="28.8" x14ac:dyDescent="0.3">
      <c r="A4" s="20" t="s">
        <v>1234</v>
      </c>
      <c r="B4" s="39">
        <v>10121100528</v>
      </c>
      <c r="C4" s="39">
        <v>14985069342.76</v>
      </c>
      <c r="D4" s="39">
        <v>14702574871.450001</v>
      </c>
      <c r="E4" s="39">
        <v>14702574871.450001</v>
      </c>
      <c r="F4" s="39">
        <v>14588824533.530001</v>
      </c>
      <c r="G4" s="39">
        <v>282494471.30999947</v>
      </c>
      <c r="H4" s="39">
        <v>282494471.30999947</v>
      </c>
      <c r="I4" s="32">
        <v>0.98114827066539501</v>
      </c>
      <c r="J4" s="32">
        <v>0.98114827066539501</v>
      </c>
    </row>
    <row r="5" spans="1:10" x14ac:dyDescent="0.3">
      <c r="A5" s="16" t="s">
        <v>1026</v>
      </c>
      <c r="B5" s="35">
        <v>10121100528</v>
      </c>
      <c r="C5" s="35">
        <v>14985069342.76</v>
      </c>
      <c r="D5" s="35">
        <v>14702574871.450001</v>
      </c>
      <c r="E5" s="35">
        <v>14702574871.450001</v>
      </c>
      <c r="F5" s="35">
        <v>14588824533.530001</v>
      </c>
      <c r="G5" s="35">
        <v>282494471.30999947</v>
      </c>
      <c r="H5" s="35">
        <v>282494471.30999947</v>
      </c>
      <c r="I5" s="29">
        <v>0.98114827066539501</v>
      </c>
      <c r="J5" s="29">
        <v>0.98114827066539501</v>
      </c>
    </row>
    <row r="6" spans="1:10" x14ac:dyDescent="0.3">
      <c r="A6" s="17" t="s">
        <v>1072</v>
      </c>
      <c r="B6" s="36">
        <v>10121100528</v>
      </c>
      <c r="C6" s="36">
        <v>14985069342.76</v>
      </c>
      <c r="D6" s="36">
        <v>14702574871.450001</v>
      </c>
      <c r="E6" s="36">
        <v>14702574871.450001</v>
      </c>
      <c r="F6" s="36">
        <v>14588824533.530001</v>
      </c>
      <c r="G6" s="36">
        <v>282494471.30999947</v>
      </c>
      <c r="H6" s="36">
        <v>282494471.30999947</v>
      </c>
      <c r="I6" s="30">
        <v>0.98114827066539501</v>
      </c>
      <c r="J6" s="30">
        <v>0.98114827066539501</v>
      </c>
    </row>
    <row r="7" spans="1:10" x14ac:dyDescent="0.3">
      <c r="A7" s="18" t="s">
        <v>1073</v>
      </c>
      <c r="B7" s="37">
        <v>6872788736</v>
      </c>
      <c r="C7" s="37">
        <v>6872788736</v>
      </c>
      <c r="D7" s="37">
        <v>6844962736</v>
      </c>
      <c r="E7" s="37">
        <v>6844962736</v>
      </c>
      <c r="F7" s="37">
        <v>6844962736</v>
      </c>
      <c r="G7" s="37">
        <v>27826000</v>
      </c>
      <c r="H7" s="37">
        <v>27826000</v>
      </c>
      <c r="I7" s="31">
        <v>0.99595127959422847</v>
      </c>
      <c r="J7" s="31">
        <v>0.99595127959422847</v>
      </c>
    </row>
    <row r="8" spans="1:10" ht="57.6" x14ac:dyDescent="0.3">
      <c r="A8" s="19" t="s">
        <v>1563</v>
      </c>
      <c r="B8" s="38">
        <v>6872788736</v>
      </c>
      <c r="C8" s="38">
        <v>6872788736</v>
      </c>
      <c r="D8" s="38">
        <v>6844962736</v>
      </c>
      <c r="E8" s="38">
        <v>6844962736</v>
      </c>
      <c r="F8" s="38">
        <v>6844962736</v>
      </c>
      <c r="G8" s="38">
        <v>27826000</v>
      </c>
      <c r="H8" s="38">
        <v>27826000</v>
      </c>
      <c r="I8" s="27">
        <v>0.99595127959422847</v>
      </c>
      <c r="J8" s="27">
        <v>0.99595127959422847</v>
      </c>
    </row>
    <row r="9" spans="1:10" ht="72" x14ac:dyDescent="0.3">
      <c r="A9" s="19" t="s">
        <v>1564</v>
      </c>
      <c r="B9" s="38">
        <v>0</v>
      </c>
      <c r="C9" s="38">
        <v>0</v>
      </c>
      <c r="D9" s="38">
        <v>0</v>
      </c>
      <c r="E9" s="38">
        <v>0</v>
      </c>
      <c r="F9" s="38">
        <v>0</v>
      </c>
      <c r="G9" s="38">
        <v>0</v>
      </c>
      <c r="H9" s="38">
        <v>0</v>
      </c>
      <c r="I9" s="27" t="e">
        <v>#DIV/0!</v>
      </c>
      <c r="J9" s="27" t="e">
        <v>#DIV/0!</v>
      </c>
    </row>
    <row r="10" spans="1:10" x14ac:dyDescent="0.3">
      <c r="A10" s="18" t="s">
        <v>1074</v>
      </c>
      <c r="B10" s="37">
        <v>1804466261</v>
      </c>
      <c r="C10" s="37">
        <v>5767684737.8400002</v>
      </c>
      <c r="D10" s="37">
        <v>5743201853.5300007</v>
      </c>
      <c r="E10" s="37">
        <v>5743201853.5300007</v>
      </c>
      <c r="F10" s="37">
        <v>5688201853.5300007</v>
      </c>
      <c r="G10" s="37">
        <v>24482884.309999466</v>
      </c>
      <c r="H10" s="37">
        <v>24482884.309999466</v>
      </c>
      <c r="I10" s="31">
        <v>0.9957551625265898</v>
      </c>
      <c r="J10" s="31">
        <v>0.9957551625265898</v>
      </c>
    </row>
    <row r="11" spans="1:10" ht="72" x14ac:dyDescent="0.3">
      <c r="A11" s="19" t="s">
        <v>1565</v>
      </c>
      <c r="B11" s="38">
        <v>1804466261</v>
      </c>
      <c r="C11" s="38">
        <v>5767684737.8400002</v>
      </c>
      <c r="D11" s="38">
        <v>5743201853.5300007</v>
      </c>
      <c r="E11" s="38">
        <v>5743201853.5300007</v>
      </c>
      <c r="F11" s="38">
        <v>5688201853.5300007</v>
      </c>
      <c r="G11" s="38">
        <v>24482884.309999466</v>
      </c>
      <c r="H11" s="38">
        <v>24482884.309999466</v>
      </c>
      <c r="I11" s="27">
        <v>0.9957551625265898</v>
      </c>
      <c r="J11" s="27">
        <v>0.9957551625265898</v>
      </c>
    </row>
    <row r="12" spans="1:10" x14ac:dyDescent="0.3">
      <c r="A12" s="18" t="s">
        <v>1075</v>
      </c>
      <c r="B12" s="37">
        <v>872345752</v>
      </c>
      <c r="C12" s="37">
        <v>931096089.91999996</v>
      </c>
      <c r="D12" s="37">
        <v>771692281.91999996</v>
      </c>
      <c r="E12" s="37">
        <v>771692281.91999996</v>
      </c>
      <c r="F12" s="37">
        <v>712941944</v>
      </c>
      <c r="G12" s="37">
        <v>159403808</v>
      </c>
      <c r="H12" s="37">
        <v>159403808</v>
      </c>
      <c r="I12" s="31">
        <v>0.82879983094580922</v>
      </c>
      <c r="J12" s="31">
        <v>0.82879983094580922</v>
      </c>
    </row>
    <row r="13" spans="1:10" ht="43.2" x14ac:dyDescent="0.3">
      <c r="A13" s="19" t="s">
        <v>1566</v>
      </c>
      <c r="B13" s="38">
        <v>872345752</v>
      </c>
      <c r="C13" s="38">
        <v>931096089.91999996</v>
      </c>
      <c r="D13" s="38">
        <v>771692281.91999996</v>
      </c>
      <c r="E13" s="38">
        <v>771692281.91999996</v>
      </c>
      <c r="F13" s="38">
        <v>712941944</v>
      </c>
      <c r="G13" s="38">
        <v>159403808</v>
      </c>
      <c r="H13" s="38">
        <v>159403808</v>
      </c>
      <c r="I13" s="27">
        <v>0.82879983094580922</v>
      </c>
      <c r="J13" s="27">
        <v>0.82879983094580922</v>
      </c>
    </row>
    <row r="14" spans="1:10" x14ac:dyDescent="0.3">
      <c r="A14" s="18" t="s">
        <v>1148</v>
      </c>
      <c r="B14" s="37">
        <v>90861993</v>
      </c>
      <c r="C14" s="37">
        <v>90861993</v>
      </c>
      <c r="D14" s="37">
        <v>68000000</v>
      </c>
      <c r="E14" s="37">
        <v>68000000</v>
      </c>
      <c r="F14" s="37">
        <v>68000000</v>
      </c>
      <c r="G14" s="37">
        <v>22861993</v>
      </c>
      <c r="H14" s="37">
        <v>22861993</v>
      </c>
      <c r="I14" s="31">
        <v>0.74838772246609209</v>
      </c>
      <c r="J14" s="31">
        <v>0.74838772246609209</v>
      </c>
    </row>
    <row r="15" spans="1:10" ht="100.8" x14ac:dyDescent="0.3">
      <c r="A15" s="19" t="s">
        <v>1567</v>
      </c>
      <c r="B15" s="38">
        <v>90861993</v>
      </c>
      <c r="C15" s="38">
        <v>90861993</v>
      </c>
      <c r="D15" s="38">
        <v>68000000</v>
      </c>
      <c r="E15" s="38">
        <v>68000000</v>
      </c>
      <c r="F15" s="38">
        <v>68000000</v>
      </c>
      <c r="G15" s="38">
        <v>22861993</v>
      </c>
      <c r="H15" s="38">
        <v>22861993</v>
      </c>
      <c r="I15" s="27">
        <v>0.74838772246609209</v>
      </c>
      <c r="J15" s="27">
        <v>0.74838772246609209</v>
      </c>
    </row>
    <row r="16" spans="1:10" x14ac:dyDescent="0.3">
      <c r="A16" s="18" t="s">
        <v>1112</v>
      </c>
      <c r="B16" s="37">
        <v>480637786</v>
      </c>
      <c r="C16" s="37">
        <v>1322637786</v>
      </c>
      <c r="D16" s="37">
        <v>1274718000</v>
      </c>
      <c r="E16" s="37">
        <v>1274718000</v>
      </c>
      <c r="F16" s="37">
        <v>1274718000</v>
      </c>
      <c r="G16" s="37">
        <v>47919786</v>
      </c>
      <c r="H16" s="37">
        <v>47919786</v>
      </c>
      <c r="I16" s="31">
        <v>0.96376953198583426</v>
      </c>
      <c r="J16" s="31">
        <v>0.96376953198583426</v>
      </c>
    </row>
    <row r="17" spans="1:10" ht="86.4" x14ac:dyDescent="0.3">
      <c r="A17" s="19" t="s">
        <v>1568</v>
      </c>
      <c r="B17" s="38">
        <v>190861993</v>
      </c>
      <c r="C17" s="38">
        <v>190861993</v>
      </c>
      <c r="D17" s="38">
        <v>152718000</v>
      </c>
      <c r="E17" s="38">
        <v>152718000</v>
      </c>
      <c r="F17" s="38">
        <v>152718000</v>
      </c>
      <c r="G17" s="38">
        <v>38143993</v>
      </c>
      <c r="H17" s="38">
        <v>38143993</v>
      </c>
      <c r="I17" s="27">
        <v>0.80014882795444764</v>
      </c>
      <c r="J17" s="27">
        <v>0.80014882795444764</v>
      </c>
    </row>
    <row r="18" spans="1:10" ht="72" x14ac:dyDescent="0.3">
      <c r="A18" s="19" t="s">
        <v>1569</v>
      </c>
      <c r="B18" s="38">
        <v>81775793</v>
      </c>
      <c r="C18" s="38">
        <v>81775793</v>
      </c>
      <c r="D18" s="38">
        <v>72000000</v>
      </c>
      <c r="E18" s="38">
        <v>72000000</v>
      </c>
      <c r="F18" s="38">
        <v>72000000</v>
      </c>
      <c r="G18" s="38">
        <v>9775793</v>
      </c>
      <c r="H18" s="38">
        <v>9775793</v>
      </c>
      <c r="I18" s="27">
        <v>0.88045615161445145</v>
      </c>
      <c r="J18" s="27">
        <v>0.88045615161445145</v>
      </c>
    </row>
    <row r="19" spans="1:10" ht="57.6" x14ac:dyDescent="0.3">
      <c r="A19" s="19" t="s">
        <v>1570</v>
      </c>
      <c r="B19" s="38">
        <v>208000000</v>
      </c>
      <c r="C19" s="38">
        <v>1050000000</v>
      </c>
      <c r="D19" s="38">
        <v>1050000000</v>
      </c>
      <c r="E19" s="38">
        <v>1050000000</v>
      </c>
      <c r="F19" s="38">
        <v>1050000000</v>
      </c>
      <c r="G19" s="38">
        <v>0</v>
      </c>
      <c r="H19" s="38">
        <v>0</v>
      </c>
      <c r="I19" s="27">
        <v>1</v>
      </c>
      <c r="J19" s="27">
        <v>1</v>
      </c>
    </row>
    <row r="20" spans="1:10" x14ac:dyDescent="0.3">
      <c r="A20" s="19" t="s">
        <v>1673</v>
      </c>
      <c r="B20" s="38">
        <v>10121100528</v>
      </c>
      <c r="C20" s="38">
        <v>14985069342.76</v>
      </c>
      <c r="D20" s="38">
        <v>14702574871.450001</v>
      </c>
      <c r="E20" s="38">
        <v>14702574871.450001</v>
      </c>
      <c r="F20" s="38">
        <v>14588824533.530001</v>
      </c>
      <c r="G20" s="38">
        <v>282494471.30999947</v>
      </c>
      <c r="H20" s="38">
        <v>282494471.30999947</v>
      </c>
      <c r="I20" s="27">
        <v>0.98114827066539501</v>
      </c>
      <c r="J20" s="27">
        <v>0.98114827066539501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5BD30-6DA1-470C-9E29-47D5E89B40CB}">
  <dimension ref="A1:J36"/>
  <sheetViews>
    <sheetView workbookViewId="0">
      <selection activeCell="B9" sqref="B9"/>
    </sheetView>
  </sheetViews>
  <sheetFormatPr baseColWidth="10" defaultRowHeight="14.4" x14ac:dyDescent="0.3"/>
  <cols>
    <col min="1" max="1" width="36.5546875" style="14" customWidth="1"/>
    <col min="2" max="2" width="17.6640625" style="5" bestFit="1" customWidth="1"/>
    <col min="3" max="3" width="18.6640625" style="5" bestFit="1" customWidth="1"/>
    <col min="4" max="8" width="17.6640625" style="5" bestFit="1" customWidth="1"/>
    <col min="9" max="10" width="13.109375" style="8" bestFit="1" customWidth="1"/>
  </cols>
  <sheetData>
    <row r="1" spans="1:10" x14ac:dyDescent="0.3">
      <c r="A1" s="13" t="s">
        <v>2</v>
      </c>
      <c r="B1" s="33" t="s">
        <v>1649</v>
      </c>
      <c r="C1" s="33"/>
      <c r="D1" s="33"/>
      <c r="E1" s="33"/>
      <c r="F1" s="33"/>
      <c r="G1" s="33"/>
      <c r="H1" s="33"/>
      <c r="I1" s="27"/>
      <c r="J1" s="27"/>
    </row>
    <row r="3" spans="1:10" ht="28.8" x14ac:dyDescent="0.3">
      <c r="A3" s="13" t="s">
        <v>1672</v>
      </c>
      <c r="B3" s="33" t="s">
        <v>1666</v>
      </c>
      <c r="C3" s="33" t="s">
        <v>1667</v>
      </c>
      <c r="D3" s="33" t="s">
        <v>1669</v>
      </c>
      <c r="E3" s="33" t="s">
        <v>1668</v>
      </c>
      <c r="F3" s="33" t="s">
        <v>1670</v>
      </c>
      <c r="G3" s="33" t="s">
        <v>1642</v>
      </c>
      <c r="H3" s="33" t="s">
        <v>1671</v>
      </c>
      <c r="I3" s="27" t="s">
        <v>1643</v>
      </c>
      <c r="J3" s="27" t="s">
        <v>1644</v>
      </c>
    </row>
    <row r="4" spans="1:10" ht="28.8" x14ac:dyDescent="0.3">
      <c r="A4" s="20" t="s">
        <v>1235</v>
      </c>
      <c r="B4" s="39">
        <v>9643493637</v>
      </c>
      <c r="C4" s="39">
        <v>10307205504.25</v>
      </c>
      <c r="D4" s="39">
        <v>7841017237.8099995</v>
      </c>
      <c r="E4" s="39">
        <v>7595633110.7799988</v>
      </c>
      <c r="F4" s="39">
        <v>6975421458.7799988</v>
      </c>
      <c r="G4" s="39">
        <v>2466188266.4400005</v>
      </c>
      <c r="H4" s="39">
        <v>2466188266.4400005</v>
      </c>
      <c r="I4" s="32">
        <v>0.76073162940012107</v>
      </c>
      <c r="J4" s="32">
        <v>0.76073162940012107</v>
      </c>
    </row>
    <row r="5" spans="1:10" x14ac:dyDescent="0.3">
      <c r="A5" s="16" t="s">
        <v>1030</v>
      </c>
      <c r="B5" s="35">
        <v>9348493637</v>
      </c>
      <c r="C5" s="35">
        <v>10012205504.25</v>
      </c>
      <c r="D5" s="35">
        <v>7546017237.8099995</v>
      </c>
      <c r="E5" s="35">
        <v>7300633110.7799988</v>
      </c>
      <c r="F5" s="35">
        <v>6723589458.7799988</v>
      </c>
      <c r="G5" s="35">
        <v>2466188266.4400005</v>
      </c>
      <c r="H5" s="35">
        <v>2466188266.4400005</v>
      </c>
      <c r="I5" s="29">
        <v>0.75368181711880078</v>
      </c>
      <c r="J5" s="29">
        <v>0.75368181711880078</v>
      </c>
    </row>
    <row r="6" spans="1:10" ht="43.2" x14ac:dyDescent="0.3">
      <c r="A6" s="17" t="s">
        <v>1035</v>
      </c>
      <c r="B6" s="36">
        <v>9348493637</v>
      </c>
      <c r="C6" s="36">
        <v>10012205504.25</v>
      </c>
      <c r="D6" s="36">
        <v>7546017237.8099995</v>
      </c>
      <c r="E6" s="36">
        <v>7300633110.7799988</v>
      </c>
      <c r="F6" s="36">
        <v>6723589458.7799988</v>
      </c>
      <c r="G6" s="36">
        <v>2466188266.4400005</v>
      </c>
      <c r="H6" s="36">
        <v>2466188266.4400005</v>
      </c>
      <c r="I6" s="30">
        <v>0.75368181711880078</v>
      </c>
      <c r="J6" s="30">
        <v>0.75368181711880078</v>
      </c>
    </row>
    <row r="7" spans="1:10" ht="28.8" x14ac:dyDescent="0.3">
      <c r="A7" s="18" t="s">
        <v>1036</v>
      </c>
      <c r="B7" s="37">
        <v>1163350515</v>
      </c>
      <c r="C7" s="37">
        <v>1163350515</v>
      </c>
      <c r="D7" s="37">
        <v>1083350515</v>
      </c>
      <c r="E7" s="37">
        <v>1025012886</v>
      </c>
      <c r="F7" s="37">
        <v>1005567010</v>
      </c>
      <c r="G7" s="37">
        <v>80000000</v>
      </c>
      <c r="H7" s="37">
        <v>80000000</v>
      </c>
      <c r="I7" s="31">
        <v>0.93123310733222997</v>
      </c>
      <c r="J7" s="31">
        <v>0.93123310733222997</v>
      </c>
    </row>
    <row r="8" spans="1:10" ht="57.6" x14ac:dyDescent="0.3">
      <c r="A8" s="19" t="s">
        <v>1571</v>
      </c>
      <c r="B8" s="38">
        <v>1163350515</v>
      </c>
      <c r="C8" s="38">
        <v>1163350515</v>
      </c>
      <c r="D8" s="38">
        <v>1083350515</v>
      </c>
      <c r="E8" s="38">
        <v>1025012886</v>
      </c>
      <c r="F8" s="38">
        <v>1005567010</v>
      </c>
      <c r="G8" s="38">
        <v>80000000</v>
      </c>
      <c r="H8" s="38">
        <v>80000000</v>
      </c>
      <c r="I8" s="27">
        <v>0.93123310733222997</v>
      </c>
      <c r="J8" s="27">
        <v>0.93123310733222997</v>
      </c>
    </row>
    <row r="9" spans="1:10" ht="43.2" x14ac:dyDescent="0.3">
      <c r="A9" s="18" t="s">
        <v>1037</v>
      </c>
      <c r="B9" s="37">
        <v>1095793651</v>
      </c>
      <c r="C9" s="37">
        <v>1137372775.73</v>
      </c>
      <c r="D9" s="37">
        <v>865721814.73000002</v>
      </c>
      <c r="E9" s="37">
        <v>807609668.5</v>
      </c>
      <c r="F9" s="37">
        <v>686134507.5</v>
      </c>
      <c r="G9" s="37">
        <v>271650961</v>
      </c>
      <c r="H9" s="37">
        <v>271650961</v>
      </c>
      <c r="I9" s="31">
        <v>0.76115925508622606</v>
      </c>
      <c r="J9" s="31">
        <v>0.76115925508622606</v>
      </c>
    </row>
    <row r="10" spans="1:10" ht="57.6" x14ac:dyDescent="0.3">
      <c r="A10" s="19" t="s">
        <v>1572</v>
      </c>
      <c r="B10" s="38">
        <v>597962307</v>
      </c>
      <c r="C10" s="38">
        <v>632308339</v>
      </c>
      <c r="D10" s="38">
        <v>552308339</v>
      </c>
      <c r="E10" s="38">
        <v>507647954.5</v>
      </c>
      <c r="F10" s="38">
        <v>395996993.5</v>
      </c>
      <c r="G10" s="38">
        <v>80000000</v>
      </c>
      <c r="H10" s="38">
        <v>80000000</v>
      </c>
      <c r="I10" s="27">
        <v>0.87347944813361067</v>
      </c>
      <c r="J10" s="27">
        <v>0.87347944813361067</v>
      </c>
    </row>
    <row r="11" spans="1:10" ht="57.6" x14ac:dyDescent="0.3">
      <c r="A11" s="19" t="s">
        <v>1573</v>
      </c>
      <c r="B11" s="38">
        <v>497831344</v>
      </c>
      <c r="C11" s="38">
        <v>497831344</v>
      </c>
      <c r="D11" s="38">
        <v>306180383</v>
      </c>
      <c r="E11" s="38">
        <v>299961714</v>
      </c>
      <c r="F11" s="38">
        <v>290137514</v>
      </c>
      <c r="G11" s="38">
        <v>191650961</v>
      </c>
      <c r="H11" s="38">
        <v>191650961</v>
      </c>
      <c r="I11" s="27">
        <v>0.61502833578112348</v>
      </c>
      <c r="J11" s="27">
        <v>0.61502833578112348</v>
      </c>
    </row>
    <row r="12" spans="1:10" ht="57.6" x14ac:dyDescent="0.3">
      <c r="A12" s="19" t="s">
        <v>1574</v>
      </c>
      <c r="B12" s="38">
        <v>0</v>
      </c>
      <c r="C12" s="38">
        <v>7233092.7300000004</v>
      </c>
      <c r="D12" s="38">
        <v>7233092.7300000004</v>
      </c>
      <c r="E12" s="38">
        <v>0</v>
      </c>
      <c r="F12" s="38">
        <v>0</v>
      </c>
      <c r="G12" s="38">
        <v>0</v>
      </c>
      <c r="H12" s="38">
        <v>0</v>
      </c>
      <c r="I12" s="27">
        <v>1</v>
      </c>
      <c r="J12" s="27">
        <v>1</v>
      </c>
    </row>
    <row r="13" spans="1:10" ht="43.2" x14ac:dyDescent="0.3">
      <c r="A13" s="18" t="s">
        <v>1125</v>
      </c>
      <c r="B13" s="37">
        <v>1755791152</v>
      </c>
      <c r="C13" s="37">
        <v>1755791152</v>
      </c>
      <c r="D13" s="37">
        <v>1085663402</v>
      </c>
      <c r="E13" s="37">
        <v>1060541936</v>
      </c>
      <c r="F13" s="37">
        <v>1016032485</v>
      </c>
      <c r="G13" s="37">
        <v>670127750</v>
      </c>
      <c r="H13" s="37">
        <v>670127750</v>
      </c>
      <c r="I13" s="31">
        <v>0.61833288131298203</v>
      </c>
      <c r="J13" s="31">
        <v>0.61833288131298203</v>
      </c>
    </row>
    <row r="14" spans="1:10" ht="72" x14ac:dyDescent="0.3">
      <c r="A14" s="19" t="s">
        <v>1575</v>
      </c>
      <c r="B14" s="38">
        <v>240728798</v>
      </c>
      <c r="C14" s="38">
        <v>240728798</v>
      </c>
      <c r="D14" s="38">
        <v>240668798</v>
      </c>
      <c r="E14" s="38">
        <v>215547332</v>
      </c>
      <c r="F14" s="38">
        <v>203046598</v>
      </c>
      <c r="G14" s="38">
        <v>60000</v>
      </c>
      <c r="H14" s="38">
        <v>60000</v>
      </c>
      <c r="I14" s="27">
        <v>0.99975075686623915</v>
      </c>
      <c r="J14" s="27">
        <v>0.99975075686623915</v>
      </c>
    </row>
    <row r="15" spans="1:10" ht="72" x14ac:dyDescent="0.3">
      <c r="A15" s="19" t="s">
        <v>1576</v>
      </c>
      <c r="B15" s="38">
        <v>1515062354</v>
      </c>
      <c r="C15" s="38">
        <v>1515062354</v>
      </c>
      <c r="D15" s="38">
        <v>844994604</v>
      </c>
      <c r="E15" s="38">
        <v>844994604</v>
      </c>
      <c r="F15" s="38">
        <v>812985887</v>
      </c>
      <c r="G15" s="38">
        <v>670067750</v>
      </c>
      <c r="H15" s="38">
        <v>670067750</v>
      </c>
      <c r="I15" s="27">
        <v>0.55772925897675629</v>
      </c>
      <c r="J15" s="27">
        <v>0.55772925897675629</v>
      </c>
    </row>
    <row r="16" spans="1:10" ht="43.2" x14ac:dyDescent="0.3">
      <c r="A16" s="18" t="s">
        <v>1095</v>
      </c>
      <c r="B16" s="37">
        <v>2273103806</v>
      </c>
      <c r="C16" s="37">
        <v>2273103806</v>
      </c>
      <c r="D16" s="37">
        <v>2009901825.2800002</v>
      </c>
      <c r="E16" s="37">
        <v>1925627857.6399999</v>
      </c>
      <c r="F16" s="37">
        <v>1895492855.6399999</v>
      </c>
      <c r="G16" s="37">
        <v>263201980.72000003</v>
      </c>
      <c r="H16" s="37">
        <v>263201980.72000003</v>
      </c>
      <c r="I16" s="31">
        <v>0.88421031189809196</v>
      </c>
      <c r="J16" s="31">
        <v>0.88421031189809196</v>
      </c>
    </row>
    <row r="17" spans="1:10" ht="72" x14ac:dyDescent="0.3">
      <c r="A17" s="19" t="s">
        <v>1577</v>
      </c>
      <c r="B17" s="38">
        <v>386551903</v>
      </c>
      <c r="C17" s="38">
        <v>386551903</v>
      </c>
      <c r="D17" s="38">
        <v>254950912.63999999</v>
      </c>
      <c r="E17" s="38">
        <v>205660912.63999999</v>
      </c>
      <c r="F17" s="38">
        <v>184270911.63999999</v>
      </c>
      <c r="G17" s="38">
        <v>131600990.36000001</v>
      </c>
      <c r="H17" s="38">
        <v>131600990.36000001</v>
      </c>
      <c r="I17" s="27">
        <v>0.65955156516200097</v>
      </c>
      <c r="J17" s="27">
        <v>0.65955156516200097</v>
      </c>
    </row>
    <row r="18" spans="1:10" ht="72" x14ac:dyDescent="0.3">
      <c r="A18" s="19" t="s">
        <v>1578</v>
      </c>
      <c r="B18" s="38">
        <v>1886551903</v>
      </c>
      <c r="C18" s="38">
        <v>1886551903</v>
      </c>
      <c r="D18" s="38">
        <v>1754950912.6400001</v>
      </c>
      <c r="E18" s="38">
        <v>1719966945</v>
      </c>
      <c r="F18" s="38">
        <v>1711221944</v>
      </c>
      <c r="G18" s="38">
        <v>131600990.3599999</v>
      </c>
      <c r="H18" s="38">
        <v>131600990.3599999</v>
      </c>
      <c r="I18" s="27">
        <v>0.93024258163757512</v>
      </c>
      <c r="J18" s="27">
        <v>0.93024258163757512</v>
      </c>
    </row>
    <row r="19" spans="1:10" ht="57.6" x14ac:dyDescent="0.3">
      <c r="A19" s="18" t="s">
        <v>1078</v>
      </c>
      <c r="B19" s="37">
        <v>1010577707</v>
      </c>
      <c r="C19" s="37">
        <v>1010577707</v>
      </c>
      <c r="D19" s="37">
        <v>300450383.48000002</v>
      </c>
      <c r="E19" s="37">
        <v>280911465.31999999</v>
      </c>
      <c r="F19" s="37">
        <v>200454306.31999999</v>
      </c>
      <c r="G19" s="37">
        <v>710127323.51999998</v>
      </c>
      <c r="H19" s="37">
        <v>710127323.51999998</v>
      </c>
      <c r="I19" s="31">
        <v>0.29730557224730075</v>
      </c>
      <c r="J19" s="31">
        <v>0.29730557224730075</v>
      </c>
    </row>
    <row r="20" spans="1:10" ht="57.6" x14ac:dyDescent="0.3">
      <c r="A20" s="19" t="s">
        <v>1579</v>
      </c>
      <c r="B20" s="38">
        <v>843344198</v>
      </c>
      <c r="C20" s="38">
        <v>843344198</v>
      </c>
      <c r="D20" s="38">
        <v>133216875.16</v>
      </c>
      <c r="E20" s="38">
        <v>113677957</v>
      </c>
      <c r="F20" s="38">
        <v>33220798</v>
      </c>
      <c r="G20" s="38">
        <v>710127322.84000003</v>
      </c>
      <c r="H20" s="38">
        <v>710127322.84000003</v>
      </c>
      <c r="I20" s="27">
        <v>0.15796263906946331</v>
      </c>
      <c r="J20" s="27">
        <v>0.15796263906946331</v>
      </c>
    </row>
    <row r="21" spans="1:10" ht="72" x14ac:dyDescent="0.3">
      <c r="A21" s="19" t="s">
        <v>1580</v>
      </c>
      <c r="B21" s="38">
        <v>167233509</v>
      </c>
      <c r="C21" s="38">
        <v>167233509</v>
      </c>
      <c r="D21" s="38">
        <v>167233508.31999999</v>
      </c>
      <c r="E21" s="38">
        <v>167233508.31999999</v>
      </c>
      <c r="F21" s="38">
        <v>167233508.31999999</v>
      </c>
      <c r="G21" s="38">
        <v>0.68000000715255737</v>
      </c>
      <c r="H21" s="38">
        <v>0.68000000715255737</v>
      </c>
      <c r="I21" s="27">
        <v>0.99999999593382927</v>
      </c>
      <c r="J21" s="27">
        <v>0.99999999593382927</v>
      </c>
    </row>
    <row r="22" spans="1:10" ht="28.8" x14ac:dyDescent="0.3">
      <c r="A22" s="18" t="s">
        <v>1097</v>
      </c>
      <c r="B22" s="37">
        <v>2049876806</v>
      </c>
      <c r="C22" s="37">
        <v>2672009548.52</v>
      </c>
      <c r="D22" s="37">
        <v>2200929297.3200002</v>
      </c>
      <c r="E22" s="37">
        <v>2200929297.3200002</v>
      </c>
      <c r="F22" s="37">
        <v>1919908294.3200002</v>
      </c>
      <c r="G22" s="37">
        <v>471080251.19999981</v>
      </c>
      <c r="H22" s="37">
        <v>471080251.19999981</v>
      </c>
      <c r="I22" s="31">
        <v>0.82369814080158266</v>
      </c>
      <c r="J22" s="31">
        <v>0.82369814080158266</v>
      </c>
    </row>
    <row r="23" spans="1:10" ht="57.6" x14ac:dyDescent="0.3">
      <c r="A23" s="19" t="s">
        <v>1581</v>
      </c>
      <c r="B23" s="38">
        <v>2049876806</v>
      </c>
      <c r="C23" s="38">
        <v>2617368051</v>
      </c>
      <c r="D23" s="38">
        <v>2146887890.3200002</v>
      </c>
      <c r="E23" s="38">
        <v>2146887890.3200002</v>
      </c>
      <c r="F23" s="38">
        <v>1919908294.3200002</v>
      </c>
      <c r="G23" s="38">
        <v>470480160.67999983</v>
      </c>
      <c r="H23" s="38">
        <v>470480160.67999983</v>
      </c>
      <c r="I23" s="27">
        <v>0.82024684663654901</v>
      </c>
      <c r="J23" s="27">
        <v>0.82024684663654901</v>
      </c>
    </row>
    <row r="24" spans="1:10" ht="57.6" x14ac:dyDescent="0.3">
      <c r="A24" s="19" t="s">
        <v>1582</v>
      </c>
      <c r="B24" s="38">
        <v>0</v>
      </c>
      <c r="C24" s="38">
        <v>54641497.520000003</v>
      </c>
      <c r="D24" s="38">
        <v>54041407</v>
      </c>
      <c r="E24" s="38">
        <v>54041407</v>
      </c>
      <c r="F24" s="38">
        <v>0</v>
      </c>
      <c r="G24" s="38">
        <v>600090.52000000328</v>
      </c>
      <c r="H24" s="38">
        <v>600090.52000000328</v>
      </c>
      <c r="I24" s="27">
        <v>0.9890176780059815</v>
      </c>
      <c r="J24" s="27">
        <v>0.9890176780059815</v>
      </c>
    </row>
    <row r="25" spans="1:10" ht="28.8" x14ac:dyDescent="0.3">
      <c r="A25" s="16" t="s">
        <v>1018</v>
      </c>
      <c r="B25" s="35">
        <v>130000000</v>
      </c>
      <c r="C25" s="35">
        <v>130000000</v>
      </c>
      <c r="D25" s="35">
        <v>130000000</v>
      </c>
      <c r="E25" s="35">
        <v>130000000</v>
      </c>
      <c r="F25" s="35">
        <v>87282000</v>
      </c>
      <c r="G25" s="35">
        <v>0</v>
      </c>
      <c r="H25" s="35">
        <v>0</v>
      </c>
      <c r="I25" s="29">
        <v>1</v>
      </c>
      <c r="J25" s="29">
        <v>1</v>
      </c>
    </row>
    <row r="26" spans="1:10" ht="43.2" x14ac:dyDescent="0.3">
      <c r="A26" s="17" t="s">
        <v>1162</v>
      </c>
      <c r="B26" s="36">
        <v>130000000</v>
      </c>
      <c r="C26" s="36">
        <v>130000000</v>
      </c>
      <c r="D26" s="36">
        <v>130000000</v>
      </c>
      <c r="E26" s="36">
        <v>130000000</v>
      </c>
      <c r="F26" s="36">
        <v>87282000</v>
      </c>
      <c r="G26" s="36">
        <v>0</v>
      </c>
      <c r="H26" s="36">
        <v>0</v>
      </c>
      <c r="I26" s="30">
        <v>1</v>
      </c>
      <c r="J26" s="30">
        <v>1</v>
      </c>
    </row>
    <row r="27" spans="1:10" ht="28.8" x14ac:dyDescent="0.3">
      <c r="A27" s="18" t="s">
        <v>1195</v>
      </c>
      <c r="B27" s="37">
        <v>130000000</v>
      </c>
      <c r="C27" s="37">
        <v>130000000</v>
      </c>
      <c r="D27" s="37">
        <v>130000000</v>
      </c>
      <c r="E27" s="37">
        <v>130000000</v>
      </c>
      <c r="F27" s="37">
        <v>87282000</v>
      </c>
      <c r="G27" s="37">
        <v>0</v>
      </c>
      <c r="H27" s="37">
        <v>0</v>
      </c>
      <c r="I27" s="31">
        <v>1</v>
      </c>
      <c r="J27" s="31">
        <v>1</v>
      </c>
    </row>
    <row r="28" spans="1:10" ht="86.4" x14ac:dyDescent="0.3">
      <c r="A28" s="19" t="s">
        <v>1583</v>
      </c>
      <c r="B28" s="38">
        <v>130000000</v>
      </c>
      <c r="C28" s="38">
        <v>130000000</v>
      </c>
      <c r="D28" s="38">
        <v>130000000</v>
      </c>
      <c r="E28" s="38">
        <v>130000000</v>
      </c>
      <c r="F28" s="38">
        <v>87282000</v>
      </c>
      <c r="G28" s="38">
        <v>0</v>
      </c>
      <c r="H28" s="38">
        <v>0</v>
      </c>
      <c r="I28" s="27">
        <v>1</v>
      </c>
      <c r="J28" s="27">
        <v>1</v>
      </c>
    </row>
    <row r="29" spans="1:10" ht="43.2" x14ac:dyDescent="0.3">
      <c r="A29" s="16" t="s">
        <v>1060</v>
      </c>
      <c r="B29" s="35">
        <v>165000000</v>
      </c>
      <c r="C29" s="35">
        <v>165000000</v>
      </c>
      <c r="D29" s="35">
        <v>165000000</v>
      </c>
      <c r="E29" s="35">
        <v>165000000</v>
      </c>
      <c r="F29" s="35">
        <v>164550000</v>
      </c>
      <c r="G29" s="35">
        <v>0</v>
      </c>
      <c r="H29" s="35">
        <v>0</v>
      </c>
      <c r="I29" s="29">
        <v>1</v>
      </c>
      <c r="J29" s="29">
        <v>1</v>
      </c>
    </row>
    <row r="30" spans="1:10" ht="57.6" x14ac:dyDescent="0.3">
      <c r="A30" s="17" t="s">
        <v>1127</v>
      </c>
      <c r="B30" s="36">
        <v>75000000</v>
      </c>
      <c r="C30" s="36">
        <v>75000000</v>
      </c>
      <c r="D30" s="36">
        <v>75000000</v>
      </c>
      <c r="E30" s="36">
        <v>75000000</v>
      </c>
      <c r="F30" s="36">
        <v>75000000</v>
      </c>
      <c r="G30" s="36">
        <v>0</v>
      </c>
      <c r="H30" s="36">
        <v>0</v>
      </c>
      <c r="I30" s="30">
        <v>1</v>
      </c>
      <c r="J30" s="30">
        <v>1</v>
      </c>
    </row>
    <row r="31" spans="1:10" ht="43.2" x14ac:dyDescent="0.3">
      <c r="A31" s="18" t="s">
        <v>1129</v>
      </c>
      <c r="B31" s="37">
        <v>75000000</v>
      </c>
      <c r="C31" s="37">
        <v>75000000</v>
      </c>
      <c r="D31" s="37">
        <v>75000000</v>
      </c>
      <c r="E31" s="37">
        <v>75000000</v>
      </c>
      <c r="F31" s="37">
        <v>75000000</v>
      </c>
      <c r="G31" s="37">
        <v>0</v>
      </c>
      <c r="H31" s="37">
        <v>0</v>
      </c>
      <c r="I31" s="31">
        <v>1</v>
      </c>
      <c r="J31" s="31">
        <v>1</v>
      </c>
    </row>
    <row r="32" spans="1:10" ht="100.8" x14ac:dyDescent="0.3">
      <c r="A32" s="19" t="s">
        <v>1584</v>
      </c>
      <c r="B32" s="38">
        <v>75000000</v>
      </c>
      <c r="C32" s="38">
        <v>75000000</v>
      </c>
      <c r="D32" s="38">
        <v>75000000</v>
      </c>
      <c r="E32" s="38">
        <v>75000000</v>
      </c>
      <c r="F32" s="38">
        <v>75000000</v>
      </c>
      <c r="G32" s="38">
        <v>0</v>
      </c>
      <c r="H32" s="38">
        <v>0</v>
      </c>
      <c r="I32" s="27">
        <v>1</v>
      </c>
      <c r="J32" s="27">
        <v>1</v>
      </c>
    </row>
    <row r="33" spans="1:10" ht="28.8" x14ac:dyDescent="0.3">
      <c r="A33" s="17" t="s">
        <v>1080</v>
      </c>
      <c r="B33" s="36">
        <v>90000000</v>
      </c>
      <c r="C33" s="36">
        <v>90000000</v>
      </c>
      <c r="D33" s="36">
        <v>90000000</v>
      </c>
      <c r="E33" s="36">
        <v>90000000</v>
      </c>
      <c r="F33" s="36">
        <v>89550000</v>
      </c>
      <c r="G33" s="36">
        <v>0</v>
      </c>
      <c r="H33" s="36">
        <v>0</v>
      </c>
      <c r="I33" s="30">
        <v>1</v>
      </c>
      <c r="J33" s="30">
        <v>1</v>
      </c>
    </row>
    <row r="34" spans="1:10" ht="43.2" x14ac:dyDescent="0.3">
      <c r="A34" s="18" t="s">
        <v>1082</v>
      </c>
      <c r="B34" s="37">
        <v>90000000</v>
      </c>
      <c r="C34" s="37">
        <v>90000000</v>
      </c>
      <c r="D34" s="37">
        <v>90000000</v>
      </c>
      <c r="E34" s="37">
        <v>90000000</v>
      </c>
      <c r="F34" s="37">
        <v>89550000</v>
      </c>
      <c r="G34" s="37">
        <v>0</v>
      </c>
      <c r="H34" s="37">
        <v>0</v>
      </c>
      <c r="I34" s="31">
        <v>1</v>
      </c>
      <c r="J34" s="31">
        <v>1</v>
      </c>
    </row>
    <row r="35" spans="1:10" ht="72" x14ac:dyDescent="0.3">
      <c r="A35" s="19" t="s">
        <v>1585</v>
      </c>
      <c r="B35" s="38">
        <v>90000000</v>
      </c>
      <c r="C35" s="38">
        <v>90000000</v>
      </c>
      <c r="D35" s="38">
        <v>90000000</v>
      </c>
      <c r="E35" s="38">
        <v>90000000</v>
      </c>
      <c r="F35" s="38">
        <v>89550000</v>
      </c>
      <c r="G35" s="38">
        <v>0</v>
      </c>
      <c r="H35" s="38">
        <v>0</v>
      </c>
      <c r="I35" s="27">
        <v>1</v>
      </c>
      <c r="J35" s="27">
        <v>1</v>
      </c>
    </row>
    <row r="36" spans="1:10" x14ac:dyDescent="0.3">
      <c r="A36" s="19" t="s">
        <v>1673</v>
      </c>
      <c r="B36" s="38">
        <v>9643493637</v>
      </c>
      <c r="C36" s="38">
        <v>10307205504.25</v>
      </c>
      <c r="D36" s="38">
        <v>7841017237.8099995</v>
      </c>
      <c r="E36" s="38">
        <v>7595633110.7799988</v>
      </c>
      <c r="F36" s="38">
        <v>6975421458.7799988</v>
      </c>
      <c r="G36" s="38">
        <v>2466188266.4400005</v>
      </c>
      <c r="H36" s="38">
        <v>2466188266.4400005</v>
      </c>
      <c r="I36" s="27">
        <v>0.76073162940012107</v>
      </c>
      <c r="J36" s="27">
        <v>0.76073162940012107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3EF77-EBE8-4432-BE0C-CA752D053DD0}">
  <dimension ref="A1:J37"/>
  <sheetViews>
    <sheetView workbookViewId="0">
      <selection sqref="A1:A1048576"/>
    </sheetView>
  </sheetViews>
  <sheetFormatPr baseColWidth="10" defaultRowHeight="14.4" x14ac:dyDescent="0.3"/>
  <cols>
    <col min="1" max="1" width="38.6640625" style="14" customWidth="1"/>
    <col min="2" max="2" width="17.6640625" style="5" bestFit="1" customWidth="1"/>
    <col min="3" max="3" width="18.6640625" style="5" bestFit="1" customWidth="1"/>
    <col min="4" max="8" width="17.6640625" style="5" bestFit="1" customWidth="1"/>
    <col min="9" max="10" width="13.109375" style="8" bestFit="1" customWidth="1"/>
  </cols>
  <sheetData>
    <row r="1" spans="1:10" x14ac:dyDescent="0.3">
      <c r="A1" s="13" t="s">
        <v>2</v>
      </c>
      <c r="B1" s="33" t="s">
        <v>1648</v>
      </c>
      <c r="C1" s="33"/>
      <c r="D1" s="33"/>
      <c r="E1" s="33"/>
      <c r="F1" s="33"/>
      <c r="G1" s="33"/>
      <c r="H1" s="33"/>
      <c r="I1" s="27"/>
      <c r="J1" s="27"/>
    </row>
    <row r="3" spans="1:10" ht="28.8" x14ac:dyDescent="0.3">
      <c r="A3" s="13" t="s">
        <v>1672</v>
      </c>
      <c r="B3" s="33" t="s">
        <v>1666</v>
      </c>
      <c r="C3" s="33" t="s">
        <v>1667</v>
      </c>
      <c r="D3" s="33" t="s">
        <v>1669</v>
      </c>
      <c r="E3" s="33" t="s">
        <v>1668</v>
      </c>
      <c r="F3" s="33" t="s">
        <v>1670</v>
      </c>
      <c r="G3" s="33" t="s">
        <v>1642</v>
      </c>
      <c r="H3" s="33" t="s">
        <v>1671</v>
      </c>
      <c r="I3" s="27" t="s">
        <v>1643</v>
      </c>
      <c r="J3" s="27" t="s">
        <v>1644</v>
      </c>
    </row>
    <row r="4" spans="1:10" ht="28.8" x14ac:dyDescent="0.3">
      <c r="A4" s="20" t="s">
        <v>1236</v>
      </c>
      <c r="B4" s="39">
        <v>7067634819</v>
      </c>
      <c r="C4" s="39">
        <v>11806690674.370001</v>
      </c>
      <c r="D4" s="39">
        <v>3321834818</v>
      </c>
      <c r="E4" s="39">
        <v>3321834818</v>
      </c>
      <c r="F4" s="39">
        <v>3171834818</v>
      </c>
      <c r="G4" s="39">
        <v>8484855856.3700008</v>
      </c>
      <c r="H4" s="39">
        <v>8484855856.3700008</v>
      </c>
      <c r="I4" s="32">
        <v>0.28135189695543128</v>
      </c>
      <c r="J4" s="32">
        <v>0.28135189695543128</v>
      </c>
    </row>
    <row r="5" spans="1:10" x14ac:dyDescent="0.3">
      <c r="A5" s="16" t="s">
        <v>1026</v>
      </c>
      <c r="B5" s="35">
        <v>7067634819</v>
      </c>
      <c r="C5" s="35">
        <v>11806690674.370001</v>
      </c>
      <c r="D5" s="35">
        <v>3321834818</v>
      </c>
      <c r="E5" s="35">
        <v>3321834818</v>
      </c>
      <c r="F5" s="35">
        <v>3171834818</v>
      </c>
      <c r="G5" s="35">
        <v>8484855856.3700008</v>
      </c>
      <c r="H5" s="35">
        <v>8484855856.3700008</v>
      </c>
      <c r="I5" s="29">
        <v>0.28135189695543128</v>
      </c>
      <c r="J5" s="29">
        <v>0.28135189695543128</v>
      </c>
    </row>
    <row r="6" spans="1:10" ht="43.2" x14ac:dyDescent="0.3">
      <c r="A6" s="17" t="s">
        <v>1084</v>
      </c>
      <c r="B6" s="36">
        <v>5767634819</v>
      </c>
      <c r="C6" s="36">
        <v>8935012020.5900002</v>
      </c>
      <c r="D6" s="36">
        <v>3321834818</v>
      </c>
      <c r="E6" s="36">
        <v>3321834818</v>
      </c>
      <c r="F6" s="36">
        <v>3171834818</v>
      </c>
      <c r="G6" s="36">
        <v>5613177202.5900002</v>
      </c>
      <c r="H6" s="36">
        <v>5613177202.5900002</v>
      </c>
      <c r="I6" s="30">
        <v>0.37177731941995207</v>
      </c>
      <c r="J6" s="30">
        <v>0.37177731941995207</v>
      </c>
    </row>
    <row r="7" spans="1:10" ht="57.6" x14ac:dyDescent="0.3">
      <c r="A7" s="18" t="s">
        <v>1096</v>
      </c>
      <c r="B7" s="37">
        <v>2260000000</v>
      </c>
      <c r="C7" s="37">
        <v>2620944284.29</v>
      </c>
      <c r="D7" s="37">
        <v>2260000000</v>
      </c>
      <c r="E7" s="37">
        <v>2260000000</v>
      </c>
      <c r="F7" s="37">
        <v>2260000000</v>
      </c>
      <c r="G7" s="37">
        <v>360944284.28999996</v>
      </c>
      <c r="H7" s="37">
        <v>360944284.28999996</v>
      </c>
      <c r="I7" s="31">
        <v>0.86228464051925546</v>
      </c>
      <c r="J7" s="31">
        <v>0.86228464051925546</v>
      </c>
    </row>
    <row r="8" spans="1:10" ht="72" x14ac:dyDescent="0.3">
      <c r="A8" s="19" t="s">
        <v>1586</v>
      </c>
      <c r="B8" s="38">
        <v>260000000</v>
      </c>
      <c r="C8" s="38">
        <v>260000000</v>
      </c>
      <c r="D8" s="38">
        <v>260000000</v>
      </c>
      <c r="E8" s="38">
        <v>260000000</v>
      </c>
      <c r="F8" s="38">
        <v>260000000</v>
      </c>
      <c r="G8" s="38">
        <v>0</v>
      </c>
      <c r="H8" s="38">
        <v>0</v>
      </c>
      <c r="I8" s="27">
        <v>1</v>
      </c>
      <c r="J8" s="27">
        <v>1</v>
      </c>
    </row>
    <row r="9" spans="1:10" ht="43.2" x14ac:dyDescent="0.3">
      <c r="A9" s="19" t="s">
        <v>1587</v>
      </c>
      <c r="B9" s="38">
        <v>1000000000</v>
      </c>
      <c r="C9" s="38">
        <v>1000000000</v>
      </c>
      <c r="D9" s="38">
        <v>1000000000</v>
      </c>
      <c r="E9" s="38">
        <v>1000000000</v>
      </c>
      <c r="F9" s="38">
        <v>1000000000</v>
      </c>
      <c r="G9" s="38">
        <v>0</v>
      </c>
      <c r="H9" s="38">
        <v>0</v>
      </c>
      <c r="I9" s="27">
        <v>1</v>
      </c>
      <c r="J9" s="27">
        <v>1</v>
      </c>
    </row>
    <row r="10" spans="1:10" ht="43.2" x14ac:dyDescent="0.3">
      <c r="A10" s="19" t="s">
        <v>1588</v>
      </c>
      <c r="B10" s="38">
        <v>0</v>
      </c>
      <c r="C10" s="38">
        <v>320944284.29000002</v>
      </c>
      <c r="D10" s="38">
        <v>0</v>
      </c>
      <c r="E10" s="38">
        <v>0</v>
      </c>
      <c r="F10" s="38">
        <v>0</v>
      </c>
      <c r="G10" s="38">
        <v>320944284.29000002</v>
      </c>
      <c r="H10" s="38">
        <v>320944284.29000002</v>
      </c>
      <c r="I10" s="27">
        <v>0</v>
      </c>
      <c r="J10" s="27">
        <v>0</v>
      </c>
    </row>
    <row r="11" spans="1:10" ht="43.2" x14ac:dyDescent="0.3">
      <c r="A11" s="19" t="s">
        <v>1589</v>
      </c>
      <c r="B11" s="38">
        <v>0</v>
      </c>
      <c r="C11" s="38">
        <v>40000000</v>
      </c>
      <c r="D11" s="38">
        <v>0</v>
      </c>
      <c r="E11" s="38">
        <v>0</v>
      </c>
      <c r="F11" s="38">
        <v>0</v>
      </c>
      <c r="G11" s="38">
        <v>40000000</v>
      </c>
      <c r="H11" s="38">
        <v>40000000</v>
      </c>
      <c r="I11" s="27">
        <v>0</v>
      </c>
      <c r="J11" s="27">
        <v>0</v>
      </c>
    </row>
    <row r="12" spans="1:10" ht="43.2" x14ac:dyDescent="0.3">
      <c r="A12" s="19" t="s">
        <v>1590</v>
      </c>
      <c r="B12" s="38">
        <v>1000000000</v>
      </c>
      <c r="C12" s="38">
        <v>1000000000</v>
      </c>
      <c r="D12" s="38">
        <v>1000000000</v>
      </c>
      <c r="E12" s="38">
        <v>1000000000</v>
      </c>
      <c r="F12" s="38">
        <v>1000000000</v>
      </c>
      <c r="G12" s="38">
        <v>0</v>
      </c>
      <c r="H12" s="38">
        <v>0</v>
      </c>
      <c r="I12" s="27">
        <v>1</v>
      </c>
      <c r="J12" s="27">
        <v>1</v>
      </c>
    </row>
    <row r="13" spans="1:10" ht="72" x14ac:dyDescent="0.3">
      <c r="A13" s="18" t="s">
        <v>1170</v>
      </c>
      <c r="B13" s="37">
        <v>428834818</v>
      </c>
      <c r="C13" s="37">
        <v>428834818</v>
      </c>
      <c r="D13" s="37">
        <v>361834818</v>
      </c>
      <c r="E13" s="37">
        <v>361834818</v>
      </c>
      <c r="F13" s="37">
        <v>361834818</v>
      </c>
      <c r="G13" s="37">
        <v>67000000</v>
      </c>
      <c r="H13" s="37">
        <v>67000000</v>
      </c>
      <c r="I13" s="31">
        <v>0.84376268626583395</v>
      </c>
      <c r="J13" s="31">
        <v>0.84376268626583395</v>
      </c>
    </row>
    <row r="14" spans="1:10" ht="72" x14ac:dyDescent="0.3">
      <c r="A14" s="19" t="s">
        <v>1591</v>
      </c>
      <c r="B14" s="38">
        <v>250000000</v>
      </c>
      <c r="C14" s="38">
        <v>250000000</v>
      </c>
      <c r="D14" s="38">
        <v>183000000</v>
      </c>
      <c r="E14" s="38">
        <v>183000000</v>
      </c>
      <c r="F14" s="38">
        <v>183000000</v>
      </c>
      <c r="G14" s="38">
        <v>67000000</v>
      </c>
      <c r="H14" s="38">
        <v>67000000</v>
      </c>
      <c r="I14" s="27">
        <v>0.73199999999999998</v>
      </c>
      <c r="J14" s="27">
        <v>0.73199999999999998</v>
      </c>
    </row>
    <row r="15" spans="1:10" ht="86.4" x14ac:dyDescent="0.3">
      <c r="A15" s="19" t="s">
        <v>1592</v>
      </c>
      <c r="B15" s="38">
        <v>178834818</v>
      </c>
      <c r="C15" s="38">
        <v>178834818</v>
      </c>
      <c r="D15" s="38">
        <v>178834818</v>
      </c>
      <c r="E15" s="38">
        <v>178834818</v>
      </c>
      <c r="F15" s="38">
        <v>178834818</v>
      </c>
      <c r="G15" s="38">
        <v>0</v>
      </c>
      <c r="H15" s="38">
        <v>0</v>
      </c>
      <c r="I15" s="27">
        <v>1</v>
      </c>
      <c r="J15" s="27">
        <v>1</v>
      </c>
    </row>
    <row r="16" spans="1:10" ht="57.6" x14ac:dyDescent="0.3">
      <c r="A16" s="18" t="s">
        <v>1086</v>
      </c>
      <c r="B16" s="37">
        <v>1200000000</v>
      </c>
      <c r="C16" s="37">
        <v>1799999999.8899999</v>
      </c>
      <c r="D16" s="37">
        <v>300000000</v>
      </c>
      <c r="E16" s="37">
        <v>300000000</v>
      </c>
      <c r="F16" s="37">
        <v>150000000</v>
      </c>
      <c r="G16" s="37">
        <v>1499999999.8899999</v>
      </c>
      <c r="H16" s="37">
        <v>1499999999.8899999</v>
      </c>
      <c r="I16" s="31">
        <v>0.16666666667685187</v>
      </c>
      <c r="J16" s="31">
        <v>0.16666666667685187</v>
      </c>
    </row>
    <row r="17" spans="1:10" ht="43.2" x14ac:dyDescent="0.3">
      <c r="A17" s="19" t="s">
        <v>1593</v>
      </c>
      <c r="B17" s="38">
        <v>1200000000</v>
      </c>
      <c r="C17" s="38">
        <v>1200000000</v>
      </c>
      <c r="D17" s="38">
        <v>300000000</v>
      </c>
      <c r="E17" s="38">
        <v>300000000</v>
      </c>
      <c r="F17" s="38">
        <v>150000000</v>
      </c>
      <c r="G17" s="38">
        <v>900000000</v>
      </c>
      <c r="H17" s="38">
        <v>900000000</v>
      </c>
      <c r="I17" s="27">
        <v>0.25</v>
      </c>
      <c r="J17" s="27">
        <v>0.25</v>
      </c>
    </row>
    <row r="18" spans="1:10" ht="43.2" x14ac:dyDescent="0.3">
      <c r="A18" s="19" t="s">
        <v>1594</v>
      </c>
      <c r="B18" s="38">
        <v>0</v>
      </c>
      <c r="C18" s="38">
        <v>599999999.88999999</v>
      </c>
      <c r="D18" s="38">
        <v>0</v>
      </c>
      <c r="E18" s="38">
        <v>0</v>
      </c>
      <c r="F18" s="38">
        <v>0</v>
      </c>
      <c r="G18" s="38">
        <v>599999999.88999999</v>
      </c>
      <c r="H18" s="38">
        <v>599999999.88999999</v>
      </c>
      <c r="I18" s="27">
        <v>0</v>
      </c>
      <c r="J18" s="27">
        <v>0</v>
      </c>
    </row>
    <row r="19" spans="1:10" ht="43.2" x14ac:dyDescent="0.3">
      <c r="A19" s="18" t="s">
        <v>1090</v>
      </c>
      <c r="B19" s="37">
        <v>78800000</v>
      </c>
      <c r="C19" s="37">
        <v>190398707.96000001</v>
      </c>
      <c r="D19" s="37">
        <v>0</v>
      </c>
      <c r="E19" s="37">
        <v>0</v>
      </c>
      <c r="F19" s="37">
        <v>0</v>
      </c>
      <c r="G19" s="37">
        <v>190398707.96000001</v>
      </c>
      <c r="H19" s="37">
        <v>190398707.96000001</v>
      </c>
      <c r="I19" s="31">
        <v>0</v>
      </c>
      <c r="J19" s="31">
        <v>0</v>
      </c>
    </row>
    <row r="20" spans="1:10" ht="43.2" x14ac:dyDescent="0.3">
      <c r="A20" s="19" t="s">
        <v>1595</v>
      </c>
      <c r="B20" s="38">
        <v>0</v>
      </c>
      <c r="C20" s="38">
        <v>40719600.549999997</v>
      </c>
      <c r="D20" s="38">
        <v>0</v>
      </c>
      <c r="E20" s="38">
        <v>0</v>
      </c>
      <c r="F20" s="38">
        <v>0</v>
      </c>
      <c r="G20" s="38">
        <v>40719600.549999997</v>
      </c>
      <c r="H20" s="38">
        <v>40719600.549999997</v>
      </c>
      <c r="I20" s="27">
        <v>0</v>
      </c>
      <c r="J20" s="27">
        <v>0</v>
      </c>
    </row>
    <row r="21" spans="1:10" ht="43.2" x14ac:dyDescent="0.3">
      <c r="A21" s="19" t="s">
        <v>1596</v>
      </c>
      <c r="B21" s="38">
        <v>78799999</v>
      </c>
      <c r="C21" s="38">
        <v>78799999</v>
      </c>
      <c r="D21" s="38">
        <v>0</v>
      </c>
      <c r="E21" s="38">
        <v>0</v>
      </c>
      <c r="F21" s="38">
        <v>0</v>
      </c>
      <c r="G21" s="38">
        <v>78799999</v>
      </c>
      <c r="H21" s="38">
        <v>78799999</v>
      </c>
      <c r="I21" s="27">
        <v>0</v>
      </c>
      <c r="J21" s="27">
        <v>0</v>
      </c>
    </row>
    <row r="22" spans="1:10" ht="43.2" x14ac:dyDescent="0.3">
      <c r="A22" s="19" t="s">
        <v>1597</v>
      </c>
      <c r="B22" s="38">
        <v>0</v>
      </c>
      <c r="C22" s="38">
        <v>48000000</v>
      </c>
      <c r="D22" s="38">
        <v>0</v>
      </c>
      <c r="E22" s="38">
        <v>0</v>
      </c>
      <c r="F22" s="38">
        <v>0</v>
      </c>
      <c r="G22" s="38">
        <v>48000000</v>
      </c>
      <c r="H22" s="38">
        <v>48000000</v>
      </c>
      <c r="I22" s="27">
        <v>0</v>
      </c>
      <c r="J22" s="27">
        <v>0</v>
      </c>
    </row>
    <row r="23" spans="1:10" ht="57.6" x14ac:dyDescent="0.3">
      <c r="A23" s="19" t="s">
        <v>1598</v>
      </c>
      <c r="B23" s="38">
        <v>1</v>
      </c>
      <c r="C23" s="38">
        <v>1</v>
      </c>
      <c r="D23" s="38">
        <v>0</v>
      </c>
      <c r="E23" s="38">
        <v>0</v>
      </c>
      <c r="F23" s="38">
        <v>0</v>
      </c>
      <c r="G23" s="38">
        <v>1</v>
      </c>
      <c r="H23" s="38">
        <v>1</v>
      </c>
      <c r="I23" s="27">
        <v>0</v>
      </c>
      <c r="J23" s="27">
        <v>0</v>
      </c>
    </row>
    <row r="24" spans="1:10" ht="57.6" x14ac:dyDescent="0.3">
      <c r="A24" s="19" t="s">
        <v>1599</v>
      </c>
      <c r="B24" s="38">
        <v>0</v>
      </c>
      <c r="C24" s="38">
        <v>22879107.41</v>
      </c>
      <c r="D24" s="38">
        <v>0</v>
      </c>
      <c r="E24" s="38">
        <v>0</v>
      </c>
      <c r="F24" s="38">
        <v>0</v>
      </c>
      <c r="G24" s="38">
        <v>22879107.41</v>
      </c>
      <c r="H24" s="38">
        <v>22879107.41</v>
      </c>
      <c r="I24" s="27">
        <v>0</v>
      </c>
      <c r="J24" s="27">
        <v>0</v>
      </c>
    </row>
    <row r="25" spans="1:10" ht="43.2" x14ac:dyDescent="0.3">
      <c r="A25" s="18" t="s">
        <v>1168</v>
      </c>
      <c r="B25" s="37">
        <v>1400000001</v>
      </c>
      <c r="C25" s="37">
        <v>2571112282.8499999</v>
      </c>
      <c r="D25" s="37">
        <v>0</v>
      </c>
      <c r="E25" s="37">
        <v>0</v>
      </c>
      <c r="F25" s="37">
        <v>0</v>
      </c>
      <c r="G25" s="37">
        <v>2571112282.8499999</v>
      </c>
      <c r="H25" s="37">
        <v>2571112282.8499999</v>
      </c>
      <c r="I25" s="31">
        <v>0</v>
      </c>
      <c r="J25" s="31">
        <v>0</v>
      </c>
    </row>
    <row r="26" spans="1:10" ht="43.2" x14ac:dyDescent="0.3">
      <c r="A26" s="19" t="s">
        <v>1600</v>
      </c>
      <c r="B26" s="38">
        <v>1400000001</v>
      </c>
      <c r="C26" s="38">
        <v>1400000001</v>
      </c>
      <c r="D26" s="38">
        <v>0</v>
      </c>
      <c r="E26" s="38">
        <v>0</v>
      </c>
      <c r="F26" s="38">
        <v>0</v>
      </c>
      <c r="G26" s="38">
        <v>1400000001</v>
      </c>
      <c r="H26" s="38">
        <v>1400000001</v>
      </c>
      <c r="I26" s="27">
        <v>0</v>
      </c>
      <c r="J26" s="27">
        <v>0</v>
      </c>
    </row>
    <row r="27" spans="1:10" ht="43.2" x14ac:dyDescent="0.3">
      <c r="A27" s="19" t="s">
        <v>1601</v>
      </c>
      <c r="B27" s="38">
        <v>0</v>
      </c>
      <c r="C27" s="38">
        <v>1171112281.8499999</v>
      </c>
      <c r="D27" s="38">
        <v>0</v>
      </c>
      <c r="E27" s="38">
        <v>0</v>
      </c>
      <c r="F27" s="38">
        <v>0</v>
      </c>
      <c r="G27" s="38">
        <v>1171112281.8499999</v>
      </c>
      <c r="H27" s="38">
        <v>1171112281.8499999</v>
      </c>
      <c r="I27" s="27">
        <v>0</v>
      </c>
      <c r="J27" s="27">
        <v>0</v>
      </c>
    </row>
    <row r="28" spans="1:10" ht="57.6" x14ac:dyDescent="0.3">
      <c r="A28" s="18" t="s">
        <v>1085</v>
      </c>
      <c r="B28" s="37">
        <v>150000000</v>
      </c>
      <c r="C28" s="37">
        <v>150000000</v>
      </c>
      <c r="D28" s="37">
        <v>150000000</v>
      </c>
      <c r="E28" s="37">
        <v>150000000</v>
      </c>
      <c r="F28" s="37">
        <v>150000000</v>
      </c>
      <c r="G28" s="37">
        <v>0</v>
      </c>
      <c r="H28" s="37">
        <v>0</v>
      </c>
      <c r="I28" s="31">
        <v>1</v>
      </c>
      <c r="J28" s="31">
        <v>1</v>
      </c>
    </row>
    <row r="29" spans="1:10" ht="86.4" x14ac:dyDescent="0.3">
      <c r="A29" s="19" t="s">
        <v>1602</v>
      </c>
      <c r="B29" s="38">
        <v>150000000</v>
      </c>
      <c r="C29" s="38">
        <v>150000000</v>
      </c>
      <c r="D29" s="38">
        <v>150000000</v>
      </c>
      <c r="E29" s="38">
        <v>150000000</v>
      </c>
      <c r="F29" s="38">
        <v>150000000</v>
      </c>
      <c r="G29" s="38">
        <v>0</v>
      </c>
      <c r="H29" s="38">
        <v>0</v>
      </c>
      <c r="I29" s="27">
        <v>1</v>
      </c>
      <c r="J29" s="27">
        <v>1</v>
      </c>
    </row>
    <row r="30" spans="1:10" ht="57.6" x14ac:dyDescent="0.3">
      <c r="A30" s="18" t="s">
        <v>1180</v>
      </c>
      <c r="B30" s="37">
        <v>250000000</v>
      </c>
      <c r="C30" s="37">
        <v>1173721927.5999999</v>
      </c>
      <c r="D30" s="37">
        <v>250000000</v>
      </c>
      <c r="E30" s="37">
        <v>250000000</v>
      </c>
      <c r="F30" s="37">
        <v>250000000</v>
      </c>
      <c r="G30" s="37">
        <v>923721927.5999999</v>
      </c>
      <c r="H30" s="37">
        <v>923721927.5999999</v>
      </c>
      <c r="I30" s="31">
        <v>0.21299763949302231</v>
      </c>
      <c r="J30" s="31">
        <v>0.21299763949302231</v>
      </c>
    </row>
    <row r="31" spans="1:10" ht="57.6" x14ac:dyDescent="0.3">
      <c r="A31" s="19" t="s">
        <v>1603</v>
      </c>
      <c r="B31" s="38">
        <v>250000000</v>
      </c>
      <c r="C31" s="38">
        <v>250000000</v>
      </c>
      <c r="D31" s="38">
        <v>250000000</v>
      </c>
      <c r="E31" s="38">
        <v>250000000</v>
      </c>
      <c r="F31" s="38">
        <v>250000000</v>
      </c>
      <c r="G31" s="38">
        <v>0</v>
      </c>
      <c r="H31" s="38">
        <v>0</v>
      </c>
      <c r="I31" s="27">
        <v>1</v>
      </c>
      <c r="J31" s="27">
        <v>1</v>
      </c>
    </row>
    <row r="32" spans="1:10" ht="57.6" x14ac:dyDescent="0.3">
      <c r="A32" s="19" t="s">
        <v>1604</v>
      </c>
      <c r="B32" s="38">
        <v>0</v>
      </c>
      <c r="C32" s="38">
        <v>923721927.60000002</v>
      </c>
      <c r="D32" s="38">
        <v>0</v>
      </c>
      <c r="E32" s="38">
        <v>0</v>
      </c>
      <c r="F32" s="38">
        <v>0</v>
      </c>
      <c r="G32" s="38">
        <v>923721927.60000002</v>
      </c>
      <c r="H32" s="38">
        <v>923721927.60000002</v>
      </c>
      <c r="I32" s="27">
        <v>0</v>
      </c>
      <c r="J32" s="27">
        <v>0</v>
      </c>
    </row>
    <row r="33" spans="1:10" ht="28.8" x14ac:dyDescent="0.3">
      <c r="A33" s="17" t="s">
        <v>1091</v>
      </c>
      <c r="B33" s="36">
        <v>1300000000</v>
      </c>
      <c r="C33" s="36">
        <v>2871678653.7799997</v>
      </c>
      <c r="D33" s="36">
        <v>0</v>
      </c>
      <c r="E33" s="36">
        <v>0</v>
      </c>
      <c r="F33" s="36">
        <v>0</v>
      </c>
      <c r="G33" s="36">
        <v>2871678653.7799997</v>
      </c>
      <c r="H33" s="36">
        <v>2871678653.7799997</v>
      </c>
      <c r="I33" s="30">
        <v>0</v>
      </c>
      <c r="J33" s="30">
        <v>0</v>
      </c>
    </row>
    <row r="34" spans="1:10" ht="43.2" x14ac:dyDescent="0.3">
      <c r="A34" s="18" t="s">
        <v>1092</v>
      </c>
      <c r="B34" s="37">
        <v>1300000000</v>
      </c>
      <c r="C34" s="37">
        <v>2871678653.7799997</v>
      </c>
      <c r="D34" s="37">
        <v>0</v>
      </c>
      <c r="E34" s="37">
        <v>0</v>
      </c>
      <c r="F34" s="37">
        <v>0</v>
      </c>
      <c r="G34" s="37">
        <v>2871678653.7799997</v>
      </c>
      <c r="H34" s="37">
        <v>2871678653.7799997</v>
      </c>
      <c r="I34" s="31">
        <v>0</v>
      </c>
      <c r="J34" s="31">
        <v>0</v>
      </c>
    </row>
    <row r="35" spans="1:10" ht="86.4" x14ac:dyDescent="0.3">
      <c r="A35" s="19" t="s">
        <v>1605</v>
      </c>
      <c r="B35" s="38">
        <v>0</v>
      </c>
      <c r="C35" s="38">
        <v>1571678653.78</v>
      </c>
      <c r="D35" s="38">
        <v>0</v>
      </c>
      <c r="E35" s="38">
        <v>0</v>
      </c>
      <c r="F35" s="38">
        <v>0</v>
      </c>
      <c r="G35" s="38">
        <v>1571678653.78</v>
      </c>
      <c r="H35" s="38">
        <v>1571678653.78</v>
      </c>
      <c r="I35" s="27">
        <v>0</v>
      </c>
      <c r="J35" s="27">
        <v>0</v>
      </c>
    </row>
    <row r="36" spans="1:10" ht="57.6" x14ac:dyDescent="0.3">
      <c r="A36" s="19" t="s">
        <v>1606</v>
      </c>
      <c r="B36" s="38">
        <v>1300000000</v>
      </c>
      <c r="C36" s="38">
        <v>1300000000</v>
      </c>
      <c r="D36" s="38">
        <v>0</v>
      </c>
      <c r="E36" s="38">
        <v>0</v>
      </c>
      <c r="F36" s="38">
        <v>0</v>
      </c>
      <c r="G36" s="38">
        <v>1300000000</v>
      </c>
      <c r="H36" s="38">
        <v>1300000000</v>
      </c>
      <c r="I36" s="27">
        <v>0</v>
      </c>
      <c r="J36" s="27">
        <v>0</v>
      </c>
    </row>
    <row r="37" spans="1:10" x14ac:dyDescent="0.3">
      <c r="A37" s="19" t="s">
        <v>1673</v>
      </c>
      <c r="B37" s="38">
        <v>7067634819</v>
      </c>
      <c r="C37" s="38">
        <v>11806690674.370001</v>
      </c>
      <c r="D37" s="38">
        <v>3321834818</v>
      </c>
      <c r="E37" s="38">
        <v>3321834818</v>
      </c>
      <c r="F37" s="38">
        <v>3171834818</v>
      </c>
      <c r="G37" s="38">
        <v>8484855856.3700008</v>
      </c>
      <c r="H37" s="38">
        <v>8484855856.3700008</v>
      </c>
      <c r="I37" s="27">
        <v>0.28135189695543128</v>
      </c>
      <c r="J37" s="27">
        <v>0.28135189695543128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DA4D-DA16-4157-95CD-AB4A2FF072F8}">
  <dimension ref="A1:J19"/>
  <sheetViews>
    <sheetView workbookViewId="0">
      <selection sqref="A1:A1048576"/>
    </sheetView>
  </sheetViews>
  <sheetFormatPr baseColWidth="10" defaultRowHeight="14.4" x14ac:dyDescent="0.3"/>
  <cols>
    <col min="1" max="1" width="49.44140625" style="14" customWidth="1"/>
    <col min="2" max="2" width="17.6640625" style="5" bestFit="1" customWidth="1"/>
    <col min="3" max="3" width="18.6640625" style="5" bestFit="1" customWidth="1"/>
    <col min="4" max="8" width="17.6640625" style="5" bestFit="1" customWidth="1"/>
    <col min="9" max="10" width="13" style="8" bestFit="1" customWidth="1"/>
  </cols>
  <sheetData>
    <row r="1" spans="1:10" x14ac:dyDescent="0.3">
      <c r="A1" s="13" t="s">
        <v>2</v>
      </c>
      <c r="B1" s="33" t="s">
        <v>1647</v>
      </c>
      <c r="C1" s="33"/>
      <c r="D1" s="33"/>
      <c r="E1" s="33"/>
      <c r="F1" s="33"/>
      <c r="G1" s="33"/>
      <c r="H1" s="33"/>
      <c r="I1" s="27"/>
      <c r="J1" s="27"/>
    </row>
    <row r="3" spans="1:10" ht="28.8" x14ac:dyDescent="0.3">
      <c r="A3" s="13" t="s">
        <v>1672</v>
      </c>
      <c r="B3" s="33" t="s">
        <v>1666</v>
      </c>
      <c r="C3" s="33" t="s">
        <v>1667</v>
      </c>
      <c r="D3" s="33" t="s">
        <v>1669</v>
      </c>
      <c r="E3" s="33" t="s">
        <v>1668</v>
      </c>
      <c r="F3" s="33" t="s">
        <v>1670</v>
      </c>
      <c r="G3" s="33" t="s">
        <v>1642</v>
      </c>
      <c r="H3" s="33" t="s">
        <v>1671</v>
      </c>
      <c r="I3" s="27" t="s">
        <v>1643</v>
      </c>
      <c r="J3" s="27" t="s">
        <v>1644</v>
      </c>
    </row>
    <row r="4" spans="1:10" x14ac:dyDescent="0.3">
      <c r="A4" s="20" t="s">
        <v>1237</v>
      </c>
      <c r="B4" s="39">
        <v>5931940766</v>
      </c>
      <c r="C4" s="39">
        <v>11420158527.880001</v>
      </c>
      <c r="D4" s="39">
        <v>6469549249.5900002</v>
      </c>
      <c r="E4" s="39">
        <v>6469549249.5900002</v>
      </c>
      <c r="F4" s="39">
        <v>6400755773.5900002</v>
      </c>
      <c r="G4" s="39">
        <v>4948106298.6900005</v>
      </c>
      <c r="H4" s="39">
        <v>4950609278.2900009</v>
      </c>
      <c r="I4" s="32">
        <v>0.56672175026202987</v>
      </c>
      <c r="J4" s="32">
        <v>0.56650257820816652</v>
      </c>
    </row>
    <row r="5" spans="1:10" x14ac:dyDescent="0.3">
      <c r="A5" s="16" t="s">
        <v>1018</v>
      </c>
      <c r="B5" s="35">
        <v>5931940766</v>
      </c>
      <c r="C5" s="35">
        <v>11420158527.880001</v>
      </c>
      <c r="D5" s="35">
        <v>6469549249.5900002</v>
      </c>
      <c r="E5" s="35">
        <v>6469549249.5900002</v>
      </c>
      <c r="F5" s="35">
        <v>6400755773.5900002</v>
      </c>
      <c r="G5" s="35">
        <v>4948106298.6900005</v>
      </c>
      <c r="H5" s="35">
        <v>4950609278.2900009</v>
      </c>
      <c r="I5" s="29">
        <v>0.56672175026202987</v>
      </c>
      <c r="J5" s="29">
        <v>0.56650257820816652</v>
      </c>
    </row>
    <row r="6" spans="1:10" ht="28.8" x14ac:dyDescent="0.3">
      <c r="A6" s="17" t="s">
        <v>1021</v>
      </c>
      <c r="B6" s="36">
        <v>5931940766</v>
      </c>
      <c r="C6" s="36">
        <v>11420158527.880001</v>
      </c>
      <c r="D6" s="36">
        <v>6469549249.5900002</v>
      </c>
      <c r="E6" s="36">
        <v>6469549249.5900002</v>
      </c>
      <c r="F6" s="36">
        <v>6400755773.5900002</v>
      </c>
      <c r="G6" s="36">
        <v>4948106298.6900005</v>
      </c>
      <c r="H6" s="36">
        <v>4950609278.2900009</v>
      </c>
      <c r="I6" s="30">
        <v>0.56672175026202987</v>
      </c>
      <c r="J6" s="30">
        <v>0.56650257820816652</v>
      </c>
    </row>
    <row r="7" spans="1:10" ht="28.8" x14ac:dyDescent="0.3">
      <c r="A7" s="18" t="s">
        <v>1209</v>
      </c>
      <c r="B7" s="37">
        <v>1444666499</v>
      </c>
      <c r="C7" s="37">
        <v>2143358774.8800001</v>
      </c>
      <c r="D7" s="37">
        <v>352539099</v>
      </c>
      <c r="E7" s="37">
        <v>352539099</v>
      </c>
      <c r="F7" s="37">
        <v>283745623</v>
      </c>
      <c r="G7" s="37">
        <v>1790819675.8800001</v>
      </c>
      <c r="H7" s="37">
        <v>1790819675.8800001</v>
      </c>
      <c r="I7" s="31">
        <v>0.16447974232393153</v>
      </c>
      <c r="J7" s="31">
        <v>0.16447974232393153</v>
      </c>
    </row>
    <row r="8" spans="1:10" ht="43.2" x14ac:dyDescent="0.3">
      <c r="A8" s="19" t="s">
        <v>1607</v>
      </c>
      <c r="B8" s="38">
        <v>1444666499</v>
      </c>
      <c r="C8" s="38">
        <v>1444666499</v>
      </c>
      <c r="D8" s="38">
        <v>0</v>
      </c>
      <c r="E8" s="38">
        <v>0</v>
      </c>
      <c r="F8" s="38">
        <v>0</v>
      </c>
      <c r="G8" s="38">
        <v>1444666499</v>
      </c>
      <c r="H8" s="38">
        <v>1444666499</v>
      </c>
      <c r="I8" s="27">
        <v>0</v>
      </c>
      <c r="J8" s="27">
        <v>0</v>
      </c>
    </row>
    <row r="9" spans="1:10" ht="43.2" x14ac:dyDescent="0.3">
      <c r="A9" s="19" t="s">
        <v>1608</v>
      </c>
      <c r="B9" s="38">
        <v>0</v>
      </c>
      <c r="C9" s="38">
        <v>698692275.88</v>
      </c>
      <c r="D9" s="38">
        <v>352539099</v>
      </c>
      <c r="E9" s="38">
        <v>352539099</v>
      </c>
      <c r="F9" s="38">
        <v>283745623</v>
      </c>
      <c r="G9" s="38">
        <v>346153176.88</v>
      </c>
      <c r="H9" s="38">
        <v>346153176.88</v>
      </c>
      <c r="I9" s="27">
        <v>0.50456991034569332</v>
      </c>
      <c r="J9" s="27">
        <v>0.50456991034569332</v>
      </c>
    </row>
    <row r="10" spans="1:10" x14ac:dyDescent="0.3">
      <c r="A10" s="18" t="s">
        <v>1152</v>
      </c>
      <c r="B10" s="37">
        <v>300000000</v>
      </c>
      <c r="C10" s="37">
        <v>300000000</v>
      </c>
      <c r="D10" s="37">
        <v>300000000</v>
      </c>
      <c r="E10" s="37">
        <v>300000000</v>
      </c>
      <c r="F10" s="37">
        <v>300000000</v>
      </c>
      <c r="G10" s="37">
        <v>0</v>
      </c>
      <c r="H10" s="37">
        <v>0</v>
      </c>
      <c r="I10" s="31">
        <v>1</v>
      </c>
      <c r="J10" s="31">
        <v>1</v>
      </c>
    </row>
    <row r="11" spans="1:10" ht="43.2" x14ac:dyDescent="0.3">
      <c r="A11" s="19" t="s">
        <v>1609</v>
      </c>
      <c r="B11" s="38">
        <v>300000000</v>
      </c>
      <c r="C11" s="38">
        <v>300000000</v>
      </c>
      <c r="D11" s="38">
        <v>300000000</v>
      </c>
      <c r="E11" s="38">
        <v>300000000</v>
      </c>
      <c r="F11" s="38">
        <v>300000000</v>
      </c>
      <c r="G11" s="38">
        <v>0</v>
      </c>
      <c r="H11" s="38">
        <v>0</v>
      </c>
      <c r="I11" s="27">
        <v>1</v>
      </c>
      <c r="J11" s="27">
        <v>1</v>
      </c>
    </row>
    <row r="12" spans="1:10" ht="43.2" x14ac:dyDescent="0.3">
      <c r="A12" s="18" t="s">
        <v>1155</v>
      </c>
      <c r="B12" s="37">
        <v>2529106804</v>
      </c>
      <c r="C12" s="37">
        <v>4295011580</v>
      </c>
      <c r="D12" s="37">
        <v>2500253520.96</v>
      </c>
      <c r="E12" s="37">
        <v>2500253520.96</v>
      </c>
      <c r="F12" s="37">
        <v>2500253520.96</v>
      </c>
      <c r="G12" s="37">
        <v>1794758059.04</v>
      </c>
      <c r="H12" s="37">
        <v>1794758059.04</v>
      </c>
      <c r="I12" s="31">
        <v>0.58212963443511834</v>
      </c>
      <c r="J12" s="31">
        <v>0.58212963443511834</v>
      </c>
    </row>
    <row r="13" spans="1:10" ht="43.2" x14ac:dyDescent="0.3">
      <c r="A13" s="19" t="s">
        <v>1610</v>
      </c>
      <c r="B13" s="38">
        <v>0</v>
      </c>
      <c r="C13" s="38">
        <v>1765904776</v>
      </c>
      <c r="D13" s="38">
        <v>0</v>
      </c>
      <c r="E13" s="38">
        <v>0</v>
      </c>
      <c r="F13" s="38">
        <v>0</v>
      </c>
      <c r="G13" s="38">
        <v>1765904776</v>
      </c>
      <c r="H13" s="38">
        <v>1765904776</v>
      </c>
      <c r="I13" s="27">
        <v>0</v>
      </c>
      <c r="J13" s="27">
        <v>0</v>
      </c>
    </row>
    <row r="14" spans="1:10" ht="43.2" x14ac:dyDescent="0.3">
      <c r="A14" s="19" t="s">
        <v>1611</v>
      </c>
      <c r="B14" s="38">
        <v>2529106804</v>
      </c>
      <c r="C14" s="38">
        <v>2529106804</v>
      </c>
      <c r="D14" s="38">
        <v>2500253520.96</v>
      </c>
      <c r="E14" s="38">
        <v>2500253520.96</v>
      </c>
      <c r="F14" s="38">
        <v>2500253520.96</v>
      </c>
      <c r="G14" s="38">
        <v>28853283.039999962</v>
      </c>
      <c r="H14" s="38">
        <v>28853283.039999962</v>
      </c>
      <c r="I14" s="27">
        <v>0.98859151262636835</v>
      </c>
      <c r="J14" s="27">
        <v>0.98859151262636835</v>
      </c>
    </row>
    <row r="15" spans="1:10" ht="43.2" x14ac:dyDescent="0.3">
      <c r="A15" s="18" t="s">
        <v>1165</v>
      </c>
      <c r="B15" s="37">
        <v>1658167463</v>
      </c>
      <c r="C15" s="37">
        <v>4681788173</v>
      </c>
      <c r="D15" s="37">
        <v>3316756629.6300001</v>
      </c>
      <c r="E15" s="37">
        <v>3316756629.6300001</v>
      </c>
      <c r="F15" s="37">
        <v>3316756629.6300001</v>
      </c>
      <c r="G15" s="37">
        <v>1362528563.77</v>
      </c>
      <c r="H15" s="37">
        <v>1365031543.3699999</v>
      </c>
      <c r="I15" s="31">
        <v>0.70897261614104212</v>
      </c>
      <c r="J15" s="31">
        <v>0.70843799571237032</v>
      </c>
    </row>
    <row r="16" spans="1:10" ht="43.2" x14ac:dyDescent="0.3">
      <c r="A16" s="19" t="s">
        <v>1612</v>
      </c>
      <c r="B16" s="38">
        <v>1658167463</v>
      </c>
      <c r="C16" s="38">
        <v>1658167463</v>
      </c>
      <c r="D16" s="38">
        <v>1503269528.6299999</v>
      </c>
      <c r="E16" s="38">
        <v>1503269528.6299999</v>
      </c>
      <c r="F16" s="38">
        <v>1503269528.6299999</v>
      </c>
      <c r="G16" s="38">
        <v>152394954.76999998</v>
      </c>
      <c r="H16" s="38">
        <v>154897934.37000012</v>
      </c>
      <c r="I16" s="27">
        <v>0.9080943522469781</v>
      </c>
      <c r="J16" s="27">
        <v>0.90658486683259676</v>
      </c>
    </row>
    <row r="17" spans="1:10" ht="43.2" x14ac:dyDescent="0.3">
      <c r="A17" s="19" t="s">
        <v>1613</v>
      </c>
      <c r="B17" s="38">
        <v>0</v>
      </c>
      <c r="C17" s="38">
        <v>1210133609</v>
      </c>
      <c r="D17" s="38">
        <v>0</v>
      </c>
      <c r="E17" s="38">
        <v>0</v>
      </c>
      <c r="F17" s="38">
        <v>0</v>
      </c>
      <c r="G17" s="38">
        <v>1210133609</v>
      </c>
      <c r="H17" s="38">
        <v>1210133609</v>
      </c>
      <c r="I17" s="27">
        <v>0</v>
      </c>
      <c r="J17" s="27">
        <v>0</v>
      </c>
    </row>
    <row r="18" spans="1:10" ht="43.2" x14ac:dyDescent="0.3">
      <c r="A18" s="19" t="s">
        <v>1614</v>
      </c>
      <c r="B18" s="38">
        <v>0</v>
      </c>
      <c r="C18" s="38">
        <v>1813487101</v>
      </c>
      <c r="D18" s="38">
        <v>1813487101</v>
      </c>
      <c r="E18" s="38">
        <v>1813487101</v>
      </c>
      <c r="F18" s="38">
        <v>1813487101</v>
      </c>
      <c r="G18" s="38">
        <v>0</v>
      </c>
      <c r="H18" s="38">
        <v>0</v>
      </c>
      <c r="I18" s="27">
        <v>1</v>
      </c>
      <c r="J18" s="27">
        <v>1</v>
      </c>
    </row>
    <row r="19" spans="1:10" x14ac:dyDescent="0.3">
      <c r="A19" s="19" t="s">
        <v>1673</v>
      </c>
      <c r="B19" s="38">
        <v>5931940766</v>
      </c>
      <c r="C19" s="38">
        <v>11420158527.880001</v>
      </c>
      <c r="D19" s="38">
        <v>6469549249.5900002</v>
      </c>
      <c r="E19" s="38">
        <v>6469549249.5900002</v>
      </c>
      <c r="F19" s="38">
        <v>6400755773.5900002</v>
      </c>
      <c r="G19" s="38">
        <v>4948106298.6900005</v>
      </c>
      <c r="H19" s="38">
        <v>4950609278.2900009</v>
      </c>
      <c r="I19" s="27">
        <v>0.56672175026202987</v>
      </c>
      <c r="J19" s="27">
        <v>0.56650257820816652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F3423-70C2-4F02-91EB-C0DD0269BA40}">
  <dimension ref="A1:J32"/>
  <sheetViews>
    <sheetView workbookViewId="0">
      <selection sqref="A1:A1048576"/>
    </sheetView>
  </sheetViews>
  <sheetFormatPr baseColWidth="10" defaultRowHeight="14.4" x14ac:dyDescent="0.3"/>
  <cols>
    <col min="1" max="1" width="44.88671875" style="14" customWidth="1"/>
    <col min="2" max="3" width="18.6640625" style="5" bestFit="1" customWidth="1"/>
    <col min="4" max="8" width="17.6640625" style="5" bestFit="1" customWidth="1"/>
    <col min="9" max="10" width="15.109375" style="8" bestFit="1" customWidth="1"/>
  </cols>
  <sheetData>
    <row r="1" spans="1:10" x14ac:dyDescent="0.3">
      <c r="A1" s="13" t="s">
        <v>2</v>
      </c>
      <c r="B1" s="33" t="s">
        <v>1646</v>
      </c>
      <c r="C1" s="33"/>
      <c r="D1" s="33"/>
      <c r="E1" s="33"/>
      <c r="F1" s="33"/>
      <c r="G1" s="33"/>
      <c r="H1" s="33"/>
      <c r="I1" s="27"/>
      <c r="J1" s="27"/>
    </row>
    <row r="3" spans="1:10" ht="28.8" x14ac:dyDescent="0.3">
      <c r="A3" s="13" t="s">
        <v>1672</v>
      </c>
      <c r="B3" s="33" t="s">
        <v>1666</v>
      </c>
      <c r="C3" s="33" t="s">
        <v>1667</v>
      </c>
      <c r="D3" s="33" t="s">
        <v>1669</v>
      </c>
      <c r="E3" s="33" t="s">
        <v>1668</v>
      </c>
      <c r="F3" s="33" t="s">
        <v>1670</v>
      </c>
      <c r="G3" s="33" t="s">
        <v>1642</v>
      </c>
      <c r="H3" s="33" t="s">
        <v>1671</v>
      </c>
      <c r="I3" s="27" t="s">
        <v>1643</v>
      </c>
      <c r="J3" s="27" t="s">
        <v>1644</v>
      </c>
    </row>
    <row r="4" spans="1:10" x14ac:dyDescent="0.3">
      <c r="A4" s="20" t="s">
        <v>1238</v>
      </c>
      <c r="B4" s="39">
        <v>11998162744.85</v>
      </c>
      <c r="C4" s="39">
        <v>15120710445.690001</v>
      </c>
      <c r="D4" s="39">
        <v>8819339441.7099991</v>
      </c>
      <c r="E4" s="39">
        <v>4921223889.1800003</v>
      </c>
      <c r="F4" s="39">
        <v>4425451796.6800003</v>
      </c>
      <c r="G4" s="39">
        <v>6234672003.8299999</v>
      </c>
      <c r="H4" s="39">
        <v>6301371003.9800014</v>
      </c>
      <c r="I4" s="32">
        <v>0.58767334205469646</v>
      </c>
      <c r="J4" s="32">
        <v>0.58326223978608482</v>
      </c>
    </row>
    <row r="5" spans="1:10" x14ac:dyDescent="0.3">
      <c r="A5" s="16" t="s">
        <v>1018</v>
      </c>
      <c r="B5" s="35">
        <v>11998162744.85</v>
      </c>
      <c r="C5" s="35">
        <v>15120710445.690001</v>
      </c>
      <c r="D5" s="35">
        <v>8819339441.7099991</v>
      </c>
      <c r="E5" s="35">
        <v>4921223889.1800003</v>
      </c>
      <c r="F5" s="35">
        <v>4425451796.6800003</v>
      </c>
      <c r="G5" s="35">
        <v>6234672003.8299999</v>
      </c>
      <c r="H5" s="35">
        <v>6301371003.9800014</v>
      </c>
      <c r="I5" s="29">
        <v>0.58767334205469646</v>
      </c>
      <c r="J5" s="29">
        <v>0.58326223978608482</v>
      </c>
    </row>
    <row r="6" spans="1:10" ht="28.8" x14ac:dyDescent="0.3">
      <c r="A6" s="17" t="s">
        <v>1019</v>
      </c>
      <c r="B6" s="36">
        <v>11998162744.85</v>
      </c>
      <c r="C6" s="36">
        <v>15120710445.690001</v>
      </c>
      <c r="D6" s="36">
        <v>8819339441.7099991</v>
      </c>
      <c r="E6" s="36">
        <v>4921223889.1800003</v>
      </c>
      <c r="F6" s="36">
        <v>4425451796.6800003</v>
      </c>
      <c r="G6" s="36">
        <v>6234672003.8299999</v>
      </c>
      <c r="H6" s="36">
        <v>6301371003.9800014</v>
      </c>
      <c r="I6" s="30">
        <v>0.58767334205469646</v>
      </c>
      <c r="J6" s="30">
        <v>0.58326223978608482</v>
      </c>
    </row>
    <row r="7" spans="1:10" ht="43.2" x14ac:dyDescent="0.3">
      <c r="A7" s="18" t="s">
        <v>1020</v>
      </c>
      <c r="B7" s="37">
        <v>11998162744.85</v>
      </c>
      <c r="C7" s="37">
        <v>15120710445.690001</v>
      </c>
      <c r="D7" s="37">
        <v>8819339441.7099991</v>
      </c>
      <c r="E7" s="37">
        <v>4921223889.1800003</v>
      </c>
      <c r="F7" s="37">
        <v>4425451796.6800003</v>
      </c>
      <c r="G7" s="37">
        <v>6234672003.8299999</v>
      </c>
      <c r="H7" s="37">
        <v>6301371003.9800014</v>
      </c>
      <c r="I7" s="31">
        <v>0.58767334205469646</v>
      </c>
      <c r="J7" s="31">
        <v>0.58326223978608482</v>
      </c>
    </row>
    <row r="8" spans="1:10" ht="28.8" x14ac:dyDescent="0.3">
      <c r="A8" s="19" t="s">
        <v>1615</v>
      </c>
      <c r="B8" s="38">
        <v>11998162744.85</v>
      </c>
      <c r="C8" s="38">
        <v>4366672003.8299999</v>
      </c>
      <c r="D8" s="38">
        <v>1031524239.5</v>
      </c>
      <c r="E8" s="38">
        <v>970505977.5</v>
      </c>
      <c r="F8" s="38">
        <v>970505977.5</v>
      </c>
      <c r="G8" s="38">
        <v>3334672003.8299999</v>
      </c>
      <c r="H8" s="38">
        <v>3335147764.3299999</v>
      </c>
      <c r="I8" s="27">
        <v>0.23633558900115115</v>
      </c>
      <c r="J8" s="27">
        <v>0.23622663634805913</v>
      </c>
    </row>
    <row r="9" spans="1:10" ht="72" x14ac:dyDescent="0.3">
      <c r="A9" s="19" t="s">
        <v>1616</v>
      </c>
      <c r="B9" s="38">
        <v>0</v>
      </c>
      <c r="C9" s="38">
        <v>200000000</v>
      </c>
      <c r="D9" s="38">
        <v>0</v>
      </c>
      <c r="E9" s="38">
        <v>0</v>
      </c>
      <c r="F9" s="38">
        <v>0</v>
      </c>
      <c r="G9" s="38">
        <v>200000000</v>
      </c>
      <c r="H9" s="38">
        <v>200000000</v>
      </c>
      <c r="I9" s="27">
        <v>0</v>
      </c>
      <c r="J9" s="27">
        <v>0</v>
      </c>
    </row>
    <row r="10" spans="1:10" ht="86.4" x14ac:dyDescent="0.3">
      <c r="A10" s="19" t="s">
        <v>1617</v>
      </c>
      <c r="B10" s="38">
        <v>0</v>
      </c>
      <c r="C10" s="38">
        <v>300000000</v>
      </c>
      <c r="D10" s="38">
        <v>292367850</v>
      </c>
      <c r="E10" s="38">
        <v>292367850</v>
      </c>
      <c r="F10" s="38">
        <v>292367850</v>
      </c>
      <c r="G10" s="38">
        <v>0</v>
      </c>
      <c r="H10" s="38">
        <v>7632150</v>
      </c>
      <c r="I10" s="27">
        <v>1</v>
      </c>
      <c r="J10" s="27">
        <v>0.97455950000000002</v>
      </c>
    </row>
    <row r="11" spans="1:10" ht="72" x14ac:dyDescent="0.3">
      <c r="A11" s="19" t="s">
        <v>1618</v>
      </c>
      <c r="B11" s="38">
        <v>0</v>
      </c>
      <c r="C11" s="38">
        <v>200000000</v>
      </c>
      <c r="D11" s="38">
        <v>200000000</v>
      </c>
      <c r="E11" s="38">
        <v>0</v>
      </c>
      <c r="F11" s="38">
        <v>0</v>
      </c>
      <c r="G11" s="38">
        <v>0</v>
      </c>
      <c r="H11" s="38">
        <v>0</v>
      </c>
      <c r="I11" s="27">
        <v>1</v>
      </c>
      <c r="J11" s="27">
        <v>1</v>
      </c>
    </row>
    <row r="12" spans="1:10" ht="100.8" x14ac:dyDescent="0.3">
      <c r="A12" s="19" t="s">
        <v>1619</v>
      </c>
      <c r="B12" s="38">
        <v>0</v>
      </c>
      <c r="C12" s="38">
        <v>400000000</v>
      </c>
      <c r="D12" s="38">
        <v>388031946</v>
      </c>
      <c r="E12" s="38">
        <v>388031946</v>
      </c>
      <c r="F12" s="38">
        <v>388031946</v>
      </c>
      <c r="G12" s="38">
        <v>0</v>
      </c>
      <c r="H12" s="38">
        <v>11968054</v>
      </c>
      <c r="I12" s="27">
        <v>1</v>
      </c>
      <c r="J12" s="27">
        <v>0.97007986499999999</v>
      </c>
    </row>
    <row r="13" spans="1:10" ht="100.8" x14ac:dyDescent="0.3">
      <c r="A13" s="19" t="s">
        <v>1620</v>
      </c>
      <c r="B13" s="38">
        <v>0</v>
      </c>
      <c r="C13" s="38">
        <v>400000000</v>
      </c>
      <c r="D13" s="38">
        <v>400000000</v>
      </c>
      <c r="E13" s="38">
        <v>0</v>
      </c>
      <c r="F13" s="38">
        <v>0</v>
      </c>
      <c r="G13" s="38">
        <v>0</v>
      </c>
      <c r="H13" s="38">
        <v>0</v>
      </c>
      <c r="I13" s="27">
        <v>1</v>
      </c>
      <c r="J13" s="27">
        <v>1</v>
      </c>
    </row>
    <row r="14" spans="1:10" ht="100.8" x14ac:dyDescent="0.3">
      <c r="A14" s="19" t="s">
        <v>1621</v>
      </c>
      <c r="B14" s="38">
        <v>0</v>
      </c>
      <c r="C14" s="38">
        <v>400000000</v>
      </c>
      <c r="D14" s="38">
        <v>400000000</v>
      </c>
      <c r="E14" s="38">
        <v>400000000</v>
      </c>
      <c r="F14" s="38">
        <v>400000000</v>
      </c>
      <c r="G14" s="38">
        <v>0</v>
      </c>
      <c r="H14" s="38">
        <v>0</v>
      </c>
      <c r="I14" s="27">
        <v>1</v>
      </c>
      <c r="J14" s="27">
        <v>1</v>
      </c>
    </row>
    <row r="15" spans="1:10" ht="72" x14ac:dyDescent="0.3">
      <c r="A15" s="19" t="s">
        <v>1622</v>
      </c>
      <c r="B15" s="38">
        <v>0</v>
      </c>
      <c r="C15" s="38">
        <v>800000000</v>
      </c>
      <c r="D15" s="38">
        <v>789200000</v>
      </c>
      <c r="E15" s="38">
        <v>789200000</v>
      </c>
      <c r="F15" s="38">
        <v>789200000</v>
      </c>
      <c r="G15" s="38">
        <v>0</v>
      </c>
      <c r="H15" s="38">
        <v>10800000</v>
      </c>
      <c r="I15" s="27">
        <v>1</v>
      </c>
      <c r="J15" s="27">
        <v>0.98650000000000004</v>
      </c>
    </row>
    <row r="16" spans="1:10" ht="43.2" x14ac:dyDescent="0.3">
      <c r="A16" s="19" t="s">
        <v>1623</v>
      </c>
      <c r="B16" s="38">
        <v>0</v>
      </c>
      <c r="C16" s="38">
        <v>400000000</v>
      </c>
      <c r="D16" s="38">
        <v>388279550</v>
      </c>
      <c r="E16" s="38">
        <v>388279550</v>
      </c>
      <c r="F16" s="38">
        <v>388279550</v>
      </c>
      <c r="G16" s="38">
        <v>0</v>
      </c>
      <c r="H16" s="38">
        <v>11720450</v>
      </c>
      <c r="I16" s="27">
        <v>1</v>
      </c>
      <c r="J16" s="27">
        <v>0.97069887499999996</v>
      </c>
    </row>
    <row r="17" spans="1:10" ht="72" x14ac:dyDescent="0.3">
      <c r="A17" s="19" t="s">
        <v>1624</v>
      </c>
      <c r="B17" s="38">
        <v>0</v>
      </c>
      <c r="C17" s="38">
        <v>400000000</v>
      </c>
      <c r="D17" s="38">
        <v>400000000</v>
      </c>
      <c r="E17" s="38">
        <v>400000000</v>
      </c>
      <c r="F17" s="38">
        <v>400000000</v>
      </c>
      <c r="G17" s="38">
        <v>0</v>
      </c>
      <c r="H17" s="38">
        <v>0</v>
      </c>
      <c r="I17" s="27">
        <v>1</v>
      </c>
      <c r="J17" s="27">
        <v>1</v>
      </c>
    </row>
    <row r="18" spans="1:10" ht="57.6" x14ac:dyDescent="0.3">
      <c r="A18" s="19" t="s">
        <v>1625</v>
      </c>
      <c r="B18" s="38">
        <v>0</v>
      </c>
      <c r="C18" s="38">
        <v>200000000</v>
      </c>
      <c r="D18" s="38">
        <v>200000000</v>
      </c>
      <c r="E18" s="38">
        <v>0</v>
      </c>
      <c r="F18" s="38">
        <v>0</v>
      </c>
      <c r="G18" s="38">
        <v>0</v>
      </c>
      <c r="H18" s="38">
        <v>0</v>
      </c>
      <c r="I18" s="27">
        <v>1</v>
      </c>
      <c r="J18" s="27">
        <v>1</v>
      </c>
    </row>
    <row r="19" spans="1:10" ht="72" x14ac:dyDescent="0.3">
      <c r="A19" s="19" t="s">
        <v>1626</v>
      </c>
      <c r="B19" s="38">
        <v>0</v>
      </c>
      <c r="C19" s="38">
        <v>400000000</v>
      </c>
      <c r="D19" s="38">
        <v>395303101</v>
      </c>
      <c r="E19" s="38">
        <v>0</v>
      </c>
      <c r="F19" s="38">
        <v>0</v>
      </c>
      <c r="G19" s="38">
        <v>0</v>
      </c>
      <c r="H19" s="38">
        <v>4696899</v>
      </c>
      <c r="I19" s="27">
        <v>1</v>
      </c>
      <c r="J19" s="27">
        <v>0.98825775250000003</v>
      </c>
    </row>
    <row r="20" spans="1:10" ht="57.6" x14ac:dyDescent="0.3">
      <c r="A20" s="19" t="s">
        <v>1627</v>
      </c>
      <c r="B20" s="38">
        <v>0</v>
      </c>
      <c r="C20" s="38">
        <v>400000000</v>
      </c>
      <c r="D20" s="38">
        <v>400000000</v>
      </c>
      <c r="E20" s="38">
        <v>400000000</v>
      </c>
      <c r="F20" s="38">
        <v>400000000</v>
      </c>
      <c r="G20" s="38">
        <v>0</v>
      </c>
      <c r="H20" s="38">
        <v>0</v>
      </c>
      <c r="I20" s="27">
        <v>1</v>
      </c>
      <c r="J20" s="27">
        <v>1</v>
      </c>
    </row>
    <row r="21" spans="1:10" ht="72" x14ac:dyDescent="0.3">
      <c r="A21" s="19" t="s">
        <v>1628</v>
      </c>
      <c r="B21" s="38">
        <v>0</v>
      </c>
      <c r="C21" s="38">
        <v>200000000</v>
      </c>
      <c r="D21" s="38">
        <v>0</v>
      </c>
      <c r="E21" s="38">
        <v>0</v>
      </c>
      <c r="F21" s="38">
        <v>0</v>
      </c>
      <c r="G21" s="38">
        <v>200000000</v>
      </c>
      <c r="H21" s="38">
        <v>200000000</v>
      </c>
      <c r="I21" s="27">
        <v>0</v>
      </c>
      <c r="J21" s="27">
        <v>0</v>
      </c>
    </row>
    <row r="22" spans="1:10" ht="57.6" x14ac:dyDescent="0.3">
      <c r="A22" s="19" t="s">
        <v>1629</v>
      </c>
      <c r="B22" s="38">
        <v>0</v>
      </c>
      <c r="C22" s="38">
        <v>400000000</v>
      </c>
      <c r="D22" s="38">
        <v>400000000</v>
      </c>
      <c r="E22" s="38">
        <v>200000000</v>
      </c>
      <c r="F22" s="38">
        <v>0</v>
      </c>
      <c r="G22" s="38">
        <v>0</v>
      </c>
      <c r="H22" s="38">
        <v>0</v>
      </c>
      <c r="I22" s="27">
        <v>1</v>
      </c>
      <c r="J22" s="27">
        <v>1</v>
      </c>
    </row>
    <row r="23" spans="1:10" ht="72" x14ac:dyDescent="0.3">
      <c r="A23" s="19" t="s">
        <v>1630</v>
      </c>
      <c r="B23" s="38">
        <v>0</v>
      </c>
      <c r="C23" s="38">
        <v>400000000</v>
      </c>
      <c r="D23" s="38">
        <v>398083750</v>
      </c>
      <c r="E23" s="38">
        <v>199041875</v>
      </c>
      <c r="F23" s="38">
        <v>199041875</v>
      </c>
      <c r="G23" s="38">
        <v>0</v>
      </c>
      <c r="H23" s="38">
        <v>1916250</v>
      </c>
      <c r="I23" s="27">
        <v>1</v>
      </c>
      <c r="J23" s="27">
        <v>0.99520937499999995</v>
      </c>
    </row>
    <row r="24" spans="1:10" ht="57.6" x14ac:dyDescent="0.3">
      <c r="A24" s="19" t="s">
        <v>1631</v>
      </c>
      <c r="B24" s="38">
        <v>0</v>
      </c>
      <c r="C24" s="38">
        <v>400000000</v>
      </c>
      <c r="D24" s="38">
        <v>396049196.35000002</v>
      </c>
      <c r="E24" s="38">
        <v>198024598.18000001</v>
      </c>
      <c r="F24" s="38">
        <v>198024598.18000001</v>
      </c>
      <c r="G24" s="38">
        <v>0</v>
      </c>
      <c r="H24" s="38">
        <v>3950803.6499999762</v>
      </c>
      <c r="I24" s="27">
        <v>1</v>
      </c>
      <c r="J24" s="27">
        <v>0.99012299087500011</v>
      </c>
    </row>
    <row r="25" spans="1:10" ht="57.6" x14ac:dyDescent="0.3">
      <c r="A25" s="19" t="s">
        <v>1632</v>
      </c>
      <c r="B25" s="38">
        <v>0</v>
      </c>
      <c r="C25" s="38">
        <v>487875697</v>
      </c>
      <c r="D25" s="38">
        <v>487875697</v>
      </c>
      <c r="E25" s="38">
        <v>0</v>
      </c>
      <c r="F25" s="38">
        <v>0</v>
      </c>
      <c r="G25" s="38">
        <v>0</v>
      </c>
      <c r="H25" s="38">
        <v>0</v>
      </c>
      <c r="I25" s="27">
        <v>1</v>
      </c>
      <c r="J25" s="27">
        <v>1</v>
      </c>
    </row>
    <row r="26" spans="1:10" ht="57.6" x14ac:dyDescent="0.3">
      <c r="A26" s="19" t="s">
        <v>1633</v>
      </c>
      <c r="B26" s="38">
        <v>0</v>
      </c>
      <c r="C26" s="38">
        <v>400000000</v>
      </c>
      <c r="D26" s="38">
        <v>394917196</v>
      </c>
      <c r="E26" s="38">
        <v>0</v>
      </c>
      <c r="F26" s="38">
        <v>0</v>
      </c>
      <c r="G26" s="38">
        <v>0</v>
      </c>
      <c r="H26" s="38">
        <v>5082804</v>
      </c>
      <c r="I26" s="27">
        <v>1</v>
      </c>
      <c r="J26" s="27">
        <v>0.98729299000000004</v>
      </c>
    </row>
    <row r="27" spans="1:10" ht="72" x14ac:dyDescent="0.3">
      <c r="A27" s="19" t="s">
        <v>1634</v>
      </c>
      <c r="B27" s="38">
        <v>0</v>
      </c>
      <c r="C27" s="38">
        <v>266162744.86000001</v>
      </c>
      <c r="D27" s="38">
        <v>266162744.86000001</v>
      </c>
      <c r="E27" s="38">
        <v>0</v>
      </c>
      <c r="F27" s="38">
        <v>0</v>
      </c>
      <c r="G27" s="38">
        <v>0</v>
      </c>
      <c r="H27" s="38">
        <v>0</v>
      </c>
      <c r="I27" s="27">
        <v>1</v>
      </c>
      <c r="J27" s="27">
        <v>1</v>
      </c>
    </row>
    <row r="28" spans="1:10" ht="72" x14ac:dyDescent="0.3">
      <c r="A28" s="19" t="s">
        <v>1635</v>
      </c>
      <c r="B28" s="38">
        <v>0</v>
      </c>
      <c r="C28" s="38">
        <v>400000000</v>
      </c>
      <c r="D28" s="38">
        <v>400000000</v>
      </c>
      <c r="E28" s="38">
        <v>0</v>
      </c>
      <c r="F28" s="38">
        <v>0</v>
      </c>
      <c r="G28" s="38">
        <v>0</v>
      </c>
      <c r="H28" s="38">
        <v>0</v>
      </c>
      <c r="I28" s="27">
        <v>1</v>
      </c>
      <c r="J28" s="27">
        <v>1</v>
      </c>
    </row>
    <row r="29" spans="1:10" ht="57.6" x14ac:dyDescent="0.3">
      <c r="A29" s="19" t="s">
        <v>1636</v>
      </c>
      <c r="B29" s="38">
        <v>0</v>
      </c>
      <c r="C29" s="38">
        <v>600000000</v>
      </c>
      <c r="D29" s="38">
        <v>591544185</v>
      </c>
      <c r="E29" s="38">
        <v>295772092.5</v>
      </c>
      <c r="F29" s="38">
        <v>0</v>
      </c>
      <c r="G29" s="38">
        <v>0</v>
      </c>
      <c r="H29" s="38">
        <v>8455815</v>
      </c>
      <c r="I29" s="27">
        <v>1</v>
      </c>
      <c r="J29" s="27">
        <v>0.98590697500000002</v>
      </c>
    </row>
    <row r="30" spans="1:10" ht="72" x14ac:dyDescent="0.3">
      <c r="A30" s="19" t="s">
        <v>1637</v>
      </c>
      <c r="B30" s="38">
        <v>0</v>
      </c>
      <c r="C30" s="38">
        <v>200000000</v>
      </c>
      <c r="D30" s="38">
        <v>199999986</v>
      </c>
      <c r="E30" s="38">
        <v>0</v>
      </c>
      <c r="F30" s="38">
        <v>0</v>
      </c>
      <c r="G30" s="38">
        <v>0</v>
      </c>
      <c r="H30" s="38">
        <v>14</v>
      </c>
      <c r="I30" s="27">
        <v>1</v>
      </c>
      <c r="J30" s="27">
        <v>0.99999992999999998</v>
      </c>
    </row>
    <row r="31" spans="1:10" ht="57.6" x14ac:dyDescent="0.3">
      <c r="A31" s="19" t="s">
        <v>1638</v>
      </c>
      <c r="B31" s="38">
        <v>0</v>
      </c>
      <c r="C31" s="38">
        <v>2500000000</v>
      </c>
      <c r="D31" s="38">
        <v>0</v>
      </c>
      <c r="E31" s="38">
        <v>0</v>
      </c>
      <c r="F31" s="38">
        <v>0</v>
      </c>
      <c r="G31" s="38">
        <v>2500000000</v>
      </c>
      <c r="H31" s="38">
        <v>2500000000</v>
      </c>
      <c r="I31" s="27">
        <v>0</v>
      </c>
      <c r="J31" s="27">
        <v>0</v>
      </c>
    </row>
    <row r="32" spans="1:10" x14ac:dyDescent="0.3">
      <c r="A32" s="19" t="s">
        <v>1673</v>
      </c>
      <c r="B32" s="38">
        <v>11998162744.85</v>
      </c>
      <c r="C32" s="38">
        <v>15120710445.690001</v>
      </c>
      <c r="D32" s="38">
        <v>8819339441.7099991</v>
      </c>
      <c r="E32" s="38">
        <v>4921223889.1800003</v>
      </c>
      <c r="F32" s="38">
        <v>4425451796.6800003</v>
      </c>
      <c r="G32" s="38">
        <v>6234672003.8299999</v>
      </c>
      <c r="H32" s="38">
        <v>6301371003.9800014</v>
      </c>
      <c r="I32" s="27">
        <v>0.58767334205469646</v>
      </c>
      <c r="J32" s="27">
        <v>0.58326223978608482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0EFFB-903D-431C-8495-703D799C02F7}">
  <dimension ref="A1:J10"/>
  <sheetViews>
    <sheetView workbookViewId="0">
      <selection activeCell="A5" sqref="A5"/>
    </sheetView>
  </sheetViews>
  <sheetFormatPr baseColWidth="10" defaultRowHeight="14.4" x14ac:dyDescent="0.3"/>
  <cols>
    <col min="1" max="1" width="37.109375" style="14" customWidth="1"/>
    <col min="2" max="6" width="17.6640625" style="5" bestFit="1" customWidth="1"/>
    <col min="7" max="8" width="16.109375" style="5" bestFit="1" customWidth="1"/>
    <col min="9" max="10" width="13.109375" style="8" bestFit="1" customWidth="1"/>
  </cols>
  <sheetData>
    <row r="1" spans="1:10" x14ac:dyDescent="0.3">
      <c r="A1" s="13" t="s">
        <v>2</v>
      </c>
      <c r="B1" s="33" t="s">
        <v>1645</v>
      </c>
      <c r="C1" s="33"/>
      <c r="D1" s="33"/>
      <c r="E1" s="33"/>
      <c r="F1" s="33"/>
      <c r="G1" s="33"/>
      <c r="H1" s="33"/>
      <c r="I1" s="27"/>
      <c r="J1" s="27"/>
    </row>
    <row r="3" spans="1:10" ht="43.2" x14ac:dyDescent="0.3">
      <c r="A3" s="13" t="s">
        <v>1672</v>
      </c>
      <c r="B3" s="33" t="s">
        <v>1666</v>
      </c>
      <c r="C3" s="33" t="s">
        <v>1667</v>
      </c>
      <c r="D3" s="33" t="s">
        <v>1669</v>
      </c>
      <c r="E3" s="33" t="s">
        <v>1668</v>
      </c>
      <c r="F3" s="33" t="s">
        <v>1670</v>
      </c>
      <c r="G3" s="33" t="s">
        <v>1642</v>
      </c>
      <c r="H3" s="33" t="s">
        <v>1671</v>
      </c>
      <c r="I3" s="27" t="s">
        <v>1643</v>
      </c>
      <c r="J3" s="27" t="s">
        <v>1644</v>
      </c>
    </row>
    <row r="4" spans="1:10" ht="28.8" x14ac:dyDescent="0.3">
      <c r="A4" s="20" t="s">
        <v>1674</v>
      </c>
      <c r="B4" s="39">
        <v>4100000000</v>
      </c>
      <c r="C4" s="39">
        <v>4100000000</v>
      </c>
      <c r="D4" s="39">
        <v>4000000000</v>
      </c>
      <c r="E4" s="39">
        <v>4000000000</v>
      </c>
      <c r="F4" s="39">
        <v>4000000000</v>
      </c>
      <c r="G4" s="39">
        <v>100000000</v>
      </c>
      <c r="H4" s="39">
        <v>100000000</v>
      </c>
      <c r="I4" s="32">
        <v>0.97560975609756095</v>
      </c>
      <c r="J4" s="32">
        <v>0.97560975609756095</v>
      </c>
    </row>
    <row r="5" spans="1:10" x14ac:dyDescent="0.3">
      <c r="A5" s="16" t="s">
        <v>1030</v>
      </c>
      <c r="B5" s="35">
        <v>4100000000</v>
      </c>
      <c r="C5" s="35">
        <v>4100000000</v>
      </c>
      <c r="D5" s="35">
        <v>4000000000</v>
      </c>
      <c r="E5" s="35">
        <v>4000000000</v>
      </c>
      <c r="F5" s="35">
        <v>4000000000</v>
      </c>
      <c r="G5" s="35">
        <v>100000000</v>
      </c>
      <c r="H5" s="35">
        <v>100000000</v>
      </c>
      <c r="I5" s="29">
        <v>0.97560975609756095</v>
      </c>
      <c r="J5" s="29">
        <v>0.97560975609756095</v>
      </c>
    </row>
    <row r="6" spans="1:10" ht="72" x14ac:dyDescent="0.3">
      <c r="A6" s="17" t="s">
        <v>1038</v>
      </c>
      <c r="B6" s="36">
        <v>4100000000</v>
      </c>
      <c r="C6" s="36">
        <v>4100000000</v>
      </c>
      <c r="D6" s="36">
        <v>4000000000</v>
      </c>
      <c r="E6" s="36">
        <v>4000000000</v>
      </c>
      <c r="F6" s="36">
        <v>4000000000</v>
      </c>
      <c r="G6" s="36">
        <v>100000000</v>
      </c>
      <c r="H6" s="36">
        <v>100000000</v>
      </c>
      <c r="I6" s="30">
        <v>0.97560975609756095</v>
      </c>
      <c r="J6" s="30">
        <v>0.97560975609756095</v>
      </c>
    </row>
    <row r="7" spans="1:10" ht="43.2" x14ac:dyDescent="0.3">
      <c r="A7" s="18" t="s">
        <v>1137</v>
      </c>
      <c r="B7" s="37">
        <v>4100000000</v>
      </c>
      <c r="C7" s="37">
        <v>4100000000</v>
      </c>
      <c r="D7" s="37">
        <v>4000000000</v>
      </c>
      <c r="E7" s="37">
        <v>4000000000</v>
      </c>
      <c r="F7" s="37">
        <v>4000000000</v>
      </c>
      <c r="G7" s="37">
        <v>100000000</v>
      </c>
      <c r="H7" s="37">
        <v>100000000</v>
      </c>
      <c r="I7" s="31">
        <v>0.97560975609756095</v>
      </c>
      <c r="J7" s="31">
        <v>0.97560975609756095</v>
      </c>
    </row>
    <row r="8" spans="1:10" ht="86.4" x14ac:dyDescent="0.3">
      <c r="A8" s="19" t="s">
        <v>1639</v>
      </c>
      <c r="B8" s="38">
        <v>1200000000</v>
      </c>
      <c r="C8" s="38">
        <v>1200000000</v>
      </c>
      <c r="D8" s="38">
        <v>1200000000</v>
      </c>
      <c r="E8" s="38">
        <v>1200000000</v>
      </c>
      <c r="F8" s="38">
        <v>1200000000</v>
      </c>
      <c r="G8" s="38">
        <v>0</v>
      </c>
      <c r="H8" s="38">
        <v>0</v>
      </c>
      <c r="I8" s="27">
        <v>1</v>
      </c>
      <c r="J8" s="27">
        <v>1</v>
      </c>
    </row>
    <row r="9" spans="1:10" ht="43.2" x14ac:dyDescent="0.3">
      <c r="A9" s="19" t="s">
        <v>1640</v>
      </c>
      <c r="B9" s="38">
        <v>2900000000</v>
      </c>
      <c r="C9" s="38">
        <v>2900000000</v>
      </c>
      <c r="D9" s="38">
        <v>2800000000</v>
      </c>
      <c r="E9" s="38">
        <v>2800000000</v>
      </c>
      <c r="F9" s="38">
        <v>2800000000</v>
      </c>
      <c r="G9" s="38">
        <v>100000000</v>
      </c>
      <c r="H9" s="38">
        <v>100000000</v>
      </c>
      <c r="I9" s="27">
        <v>0.96551724137931039</v>
      </c>
      <c r="J9" s="27">
        <v>0.96551724137931039</v>
      </c>
    </row>
    <row r="10" spans="1:10" x14ac:dyDescent="0.3">
      <c r="A10" s="19" t="s">
        <v>1673</v>
      </c>
      <c r="B10" s="38">
        <v>4100000000</v>
      </c>
      <c r="C10" s="38">
        <v>4100000000</v>
      </c>
      <c r="D10" s="38">
        <v>4000000000</v>
      </c>
      <c r="E10" s="38">
        <v>4000000000</v>
      </c>
      <c r="F10" s="38">
        <v>4000000000</v>
      </c>
      <c r="G10" s="38">
        <v>100000000</v>
      </c>
      <c r="H10" s="38">
        <v>100000000</v>
      </c>
      <c r="I10" s="27">
        <v>0.97560975609756095</v>
      </c>
      <c r="J10" s="27">
        <v>0.97560975609756095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98"/>
  <sheetViews>
    <sheetView workbookViewId="0">
      <selection activeCell="A3" sqref="A3"/>
    </sheetView>
  </sheetViews>
  <sheetFormatPr baseColWidth="10" defaultRowHeight="14.4" x14ac:dyDescent="0.3"/>
  <cols>
    <col min="1" max="1" width="81.88671875" style="14" customWidth="1"/>
    <col min="2" max="6" width="21.33203125" style="33" bestFit="1" customWidth="1"/>
    <col min="7" max="7" width="23.6640625" style="33" bestFit="1" customWidth="1"/>
    <col min="8" max="8" width="22.109375" style="33" bestFit="1" customWidth="1"/>
    <col min="9" max="9" width="14.109375" style="27" bestFit="1" customWidth="1"/>
    <col min="10" max="10" width="12.88671875" style="27" bestFit="1" customWidth="1"/>
  </cols>
  <sheetData>
    <row r="1" spans="1:10" x14ac:dyDescent="0.3">
      <c r="A1" s="13" t="s">
        <v>2</v>
      </c>
      <c r="B1" s="33" t="s">
        <v>1641</v>
      </c>
    </row>
    <row r="3" spans="1:10" x14ac:dyDescent="0.3">
      <c r="A3" s="13" t="s">
        <v>1672</v>
      </c>
      <c r="B3" s="33" t="s">
        <v>1666</v>
      </c>
      <c r="C3" s="33" t="s">
        <v>1667</v>
      </c>
      <c r="D3" s="33" t="s">
        <v>1669</v>
      </c>
      <c r="E3" s="33" t="s">
        <v>1668</v>
      </c>
      <c r="F3" s="33" t="s">
        <v>1670</v>
      </c>
      <c r="G3" s="33" t="s">
        <v>1642</v>
      </c>
      <c r="H3" s="33" t="s">
        <v>1671</v>
      </c>
      <c r="I3" s="27" t="s">
        <v>1643</v>
      </c>
      <c r="J3" s="27" t="s">
        <v>1644</v>
      </c>
    </row>
    <row r="4" spans="1:10" x14ac:dyDescent="0.3">
      <c r="A4" s="15" t="s">
        <v>1219</v>
      </c>
      <c r="B4" s="34">
        <v>41735800356</v>
      </c>
      <c r="C4" s="34">
        <v>111511084441.63998</v>
      </c>
      <c r="D4" s="34">
        <v>100631948282.89999</v>
      </c>
      <c r="E4" s="34">
        <v>85376360775.360001</v>
      </c>
      <c r="F4" s="34">
        <v>84285602416.440002</v>
      </c>
      <c r="G4" s="34">
        <v>5396791232.3199921</v>
      </c>
      <c r="H4" s="34">
        <v>10879136158.739975</v>
      </c>
      <c r="I4" s="28">
        <v>0.95160309614651417</v>
      </c>
      <c r="J4" s="28">
        <v>0.90243897085913782</v>
      </c>
    </row>
    <row r="5" spans="1:10" x14ac:dyDescent="0.3">
      <c r="A5" s="16" t="s">
        <v>1026</v>
      </c>
      <c r="B5" s="35">
        <v>30545193474</v>
      </c>
      <c r="C5" s="35">
        <v>83394352333.610001</v>
      </c>
      <c r="D5" s="35">
        <v>78735239851.520004</v>
      </c>
      <c r="E5" s="35">
        <v>74599648594.110001</v>
      </c>
      <c r="F5" s="35">
        <v>73994545705.720001</v>
      </c>
      <c r="G5" s="35">
        <v>1674568375.0100098</v>
      </c>
      <c r="H5" s="35">
        <v>4659112482.0899811</v>
      </c>
      <c r="I5" s="29">
        <v>0.97991988272405928</v>
      </c>
      <c r="J5" s="29">
        <v>0.94413155865217691</v>
      </c>
    </row>
    <row r="6" spans="1:10" x14ac:dyDescent="0.3">
      <c r="A6" s="17" t="s">
        <v>1051</v>
      </c>
      <c r="B6" s="36">
        <v>22267926689</v>
      </c>
      <c r="C6" s="36">
        <v>67998210676.699997</v>
      </c>
      <c r="D6" s="36">
        <v>66654692881.57</v>
      </c>
      <c r="E6" s="36">
        <v>65277587832</v>
      </c>
      <c r="F6" s="36">
        <v>65196921832</v>
      </c>
      <c r="G6" s="36">
        <v>285122891.98999786</v>
      </c>
      <c r="H6" s="36">
        <v>1343517795.1299973</v>
      </c>
      <c r="I6" s="30">
        <v>0.99580690595895782</v>
      </c>
      <c r="J6" s="30">
        <v>0.9802418654585221</v>
      </c>
    </row>
    <row r="7" spans="1:10" x14ac:dyDescent="0.3">
      <c r="A7" s="18" t="s">
        <v>1094</v>
      </c>
      <c r="B7" s="37">
        <v>469663233</v>
      </c>
      <c r="C7" s="37">
        <v>451663233</v>
      </c>
      <c r="D7" s="37">
        <v>353050000</v>
      </c>
      <c r="E7" s="37">
        <v>353050000</v>
      </c>
      <c r="F7" s="37">
        <v>328450000</v>
      </c>
      <c r="G7" s="37">
        <v>69663233</v>
      </c>
      <c r="H7" s="37">
        <v>98613233</v>
      </c>
      <c r="I7" s="31">
        <v>0.84576288723505644</v>
      </c>
      <c r="J7" s="31">
        <v>0.78166645900088128</v>
      </c>
    </row>
    <row r="8" spans="1:10" x14ac:dyDescent="0.3">
      <c r="A8" s="19" t="s">
        <v>1240</v>
      </c>
      <c r="B8" s="38">
        <v>469663233</v>
      </c>
      <c r="C8" s="38">
        <v>451663233</v>
      </c>
      <c r="D8" s="38">
        <v>353050000</v>
      </c>
      <c r="E8" s="38">
        <v>353050000</v>
      </c>
      <c r="F8" s="38">
        <v>328450000</v>
      </c>
      <c r="G8" s="38">
        <v>69663233</v>
      </c>
      <c r="H8" s="38">
        <v>98613233</v>
      </c>
      <c r="I8" s="27">
        <v>0.84576288723505644</v>
      </c>
      <c r="J8" s="27">
        <v>0.78166645900088128</v>
      </c>
    </row>
    <row r="9" spans="1:10" x14ac:dyDescent="0.3">
      <c r="A9" s="18" t="s">
        <v>1202</v>
      </c>
      <c r="B9" s="37">
        <v>2753854014</v>
      </c>
      <c r="C9" s="37">
        <v>2693902633.9200001</v>
      </c>
      <c r="D9" s="37">
        <v>1769679231.6500001</v>
      </c>
      <c r="E9" s="37">
        <v>1669216000</v>
      </c>
      <c r="F9" s="37">
        <v>1639150000</v>
      </c>
      <c r="G9" s="37">
        <v>196267907.96000004</v>
      </c>
      <c r="H9" s="37">
        <v>924223402.26999998</v>
      </c>
      <c r="I9" s="31">
        <v>0.92714365193132342</v>
      </c>
      <c r="J9" s="31">
        <v>0.6569202648110829</v>
      </c>
    </row>
    <row r="10" spans="1:10" x14ac:dyDescent="0.3">
      <c r="A10" s="19" t="s">
        <v>1241</v>
      </c>
      <c r="B10" s="38">
        <v>2603854014</v>
      </c>
      <c r="C10" s="38">
        <v>2583902633.9200001</v>
      </c>
      <c r="D10" s="38">
        <v>1659679231.6500001</v>
      </c>
      <c r="E10" s="38">
        <v>1559216000</v>
      </c>
      <c r="F10" s="38">
        <v>1529150000</v>
      </c>
      <c r="G10" s="38">
        <v>196267907.96000004</v>
      </c>
      <c r="H10" s="38">
        <v>924223402.26999998</v>
      </c>
      <c r="I10" s="27">
        <v>0.92404206513685661</v>
      </c>
      <c r="J10" s="27">
        <v>0.64231492698783532</v>
      </c>
    </row>
    <row r="11" spans="1:10" ht="28.8" x14ac:dyDescent="0.3">
      <c r="A11" s="19" t="s">
        <v>1242</v>
      </c>
      <c r="B11" s="38">
        <v>150000000</v>
      </c>
      <c r="C11" s="38">
        <v>110000000</v>
      </c>
      <c r="D11" s="38">
        <v>110000000</v>
      </c>
      <c r="E11" s="38">
        <v>110000000</v>
      </c>
      <c r="F11" s="38">
        <v>110000000</v>
      </c>
      <c r="G11" s="38">
        <v>0</v>
      </c>
      <c r="H11" s="38">
        <v>0</v>
      </c>
      <c r="I11" s="27">
        <v>1</v>
      </c>
      <c r="J11" s="27">
        <v>1</v>
      </c>
    </row>
    <row r="12" spans="1:10" x14ac:dyDescent="0.3">
      <c r="A12" s="18" t="s">
        <v>1201</v>
      </c>
      <c r="B12" s="37">
        <v>5231193073</v>
      </c>
      <c r="C12" s="37">
        <v>690224296</v>
      </c>
      <c r="D12" s="37">
        <v>376641817.91999996</v>
      </c>
      <c r="E12" s="37">
        <v>153000000</v>
      </c>
      <c r="F12" s="37">
        <v>149000000</v>
      </c>
      <c r="G12" s="37">
        <v>12093069.25</v>
      </c>
      <c r="H12" s="37">
        <v>313582478.08000004</v>
      </c>
      <c r="I12" s="31">
        <v>0.98247950800908923</v>
      </c>
      <c r="J12" s="31">
        <v>0.54568032464623639</v>
      </c>
    </row>
    <row r="13" spans="1:10" x14ac:dyDescent="0.3">
      <c r="A13" s="19" t="s">
        <v>1243</v>
      </c>
      <c r="B13" s="38">
        <v>325465995</v>
      </c>
      <c r="C13" s="38">
        <v>690224296</v>
      </c>
      <c r="D13" s="38">
        <v>376641817.91999996</v>
      </c>
      <c r="E13" s="38">
        <v>153000000</v>
      </c>
      <c r="F13" s="38">
        <v>149000000</v>
      </c>
      <c r="G13" s="38">
        <v>12093069.25</v>
      </c>
      <c r="H13" s="38">
        <v>313582478.08000004</v>
      </c>
      <c r="I13" s="27">
        <v>0.98247950800908923</v>
      </c>
      <c r="J13" s="27">
        <v>0.54568032464623639</v>
      </c>
    </row>
    <row r="14" spans="1:10" ht="28.8" x14ac:dyDescent="0.3">
      <c r="A14" s="19" t="s">
        <v>1244</v>
      </c>
      <c r="B14" s="38">
        <v>4905727078</v>
      </c>
      <c r="C14" s="38">
        <v>0</v>
      </c>
      <c r="D14" s="38">
        <v>0</v>
      </c>
      <c r="E14" s="38">
        <v>0</v>
      </c>
      <c r="F14" s="38">
        <v>0</v>
      </c>
      <c r="G14" s="38">
        <v>0</v>
      </c>
      <c r="H14" s="38">
        <v>0</v>
      </c>
      <c r="I14" s="27" t="e">
        <v>#DIV/0!</v>
      </c>
      <c r="J14" s="27" t="e">
        <v>#DIV/0!</v>
      </c>
    </row>
    <row r="15" spans="1:10" x14ac:dyDescent="0.3">
      <c r="A15" s="18" t="s">
        <v>1076</v>
      </c>
      <c r="B15" s="37">
        <v>498894537</v>
      </c>
      <c r="C15" s="37">
        <v>1148098681.78</v>
      </c>
      <c r="D15" s="37">
        <v>1141000000</v>
      </c>
      <c r="E15" s="37">
        <v>88000000</v>
      </c>
      <c r="F15" s="37">
        <v>66000000</v>
      </c>
      <c r="G15" s="37">
        <v>7098681.7799999714</v>
      </c>
      <c r="H15" s="37">
        <v>7098681.7799999714</v>
      </c>
      <c r="I15" s="31">
        <v>0.99381701077385243</v>
      </c>
      <c r="J15" s="31">
        <v>0.99381701077385243</v>
      </c>
    </row>
    <row r="16" spans="1:10" ht="28.8" x14ac:dyDescent="0.3">
      <c r="A16" s="19" t="s">
        <v>1245</v>
      </c>
      <c r="B16" s="38">
        <v>498894537</v>
      </c>
      <c r="C16" s="38">
        <v>1148098681.78</v>
      </c>
      <c r="D16" s="38">
        <v>1141000000</v>
      </c>
      <c r="E16" s="38">
        <v>88000000</v>
      </c>
      <c r="F16" s="38">
        <v>66000000</v>
      </c>
      <c r="G16" s="38">
        <v>7098681.7799999714</v>
      </c>
      <c r="H16" s="38">
        <v>7098681.7799999714</v>
      </c>
      <c r="I16" s="27">
        <v>0.99381701077385243</v>
      </c>
      <c r="J16" s="27">
        <v>0.99381701077385243</v>
      </c>
    </row>
    <row r="17" spans="1:10" x14ac:dyDescent="0.3">
      <c r="A17" s="18" t="s">
        <v>1052</v>
      </c>
      <c r="B17" s="37">
        <v>13314321832</v>
      </c>
      <c r="C17" s="37">
        <v>63014321832</v>
      </c>
      <c r="D17" s="37">
        <v>63014321832</v>
      </c>
      <c r="E17" s="37">
        <v>63014321832</v>
      </c>
      <c r="F17" s="37">
        <v>63014321832</v>
      </c>
      <c r="G17" s="37">
        <v>0</v>
      </c>
      <c r="H17" s="37">
        <v>0</v>
      </c>
      <c r="I17" s="31">
        <v>1</v>
      </c>
      <c r="J17" s="31">
        <v>1</v>
      </c>
    </row>
    <row r="18" spans="1:10" ht="28.8" x14ac:dyDescent="0.3">
      <c r="A18" s="19" t="s">
        <v>1246</v>
      </c>
      <c r="B18" s="38">
        <v>13314321832</v>
      </c>
      <c r="C18" s="38">
        <v>63014321832</v>
      </c>
      <c r="D18" s="38">
        <v>63014321832</v>
      </c>
      <c r="E18" s="38">
        <v>63014321832</v>
      </c>
      <c r="F18" s="38">
        <v>63014321832</v>
      </c>
      <c r="G18" s="38">
        <v>0</v>
      </c>
      <c r="H18" s="38">
        <v>0</v>
      </c>
      <c r="I18" s="27">
        <v>1</v>
      </c>
      <c r="J18" s="27">
        <v>1</v>
      </c>
    </row>
    <row r="19" spans="1:10" x14ac:dyDescent="0.3">
      <c r="A19" s="17" t="s">
        <v>1027</v>
      </c>
      <c r="B19" s="36">
        <v>8277266785</v>
      </c>
      <c r="C19" s="36">
        <v>15396141656.91</v>
      </c>
      <c r="D19" s="36">
        <v>12080546969.950001</v>
      </c>
      <c r="E19" s="36">
        <v>9322060762.1100006</v>
      </c>
      <c r="F19" s="36">
        <v>8797623873.7200012</v>
      </c>
      <c r="G19" s="36">
        <v>1389445483.0199986</v>
      </c>
      <c r="H19" s="36">
        <v>3315594686.9599972</v>
      </c>
      <c r="I19" s="30">
        <v>0.90975365685880161</v>
      </c>
      <c r="J19" s="30">
        <v>0.78464768895706327</v>
      </c>
    </row>
    <row r="20" spans="1:10" x14ac:dyDescent="0.3">
      <c r="A20" s="18" t="s">
        <v>1135</v>
      </c>
      <c r="B20" s="37">
        <v>1678393118</v>
      </c>
      <c r="C20" s="37">
        <v>3099436209.2200003</v>
      </c>
      <c r="D20" s="37">
        <v>1293009211.03</v>
      </c>
      <c r="E20" s="37">
        <v>1249734980.5999999</v>
      </c>
      <c r="F20" s="37">
        <v>1247834980.5999999</v>
      </c>
      <c r="G20" s="37">
        <v>285398260.78999996</v>
      </c>
      <c r="H20" s="37">
        <v>1806426998.1900003</v>
      </c>
      <c r="I20" s="31">
        <v>0.90791929837400243</v>
      </c>
      <c r="J20" s="31">
        <v>0.41717561638585776</v>
      </c>
    </row>
    <row r="21" spans="1:10" ht="28.8" x14ac:dyDescent="0.3">
      <c r="A21" s="19" t="s">
        <v>1247</v>
      </c>
      <c r="B21" s="38">
        <v>1678393118</v>
      </c>
      <c r="C21" s="38">
        <v>3099436209.2200003</v>
      </c>
      <c r="D21" s="38">
        <v>1293009211.03</v>
      </c>
      <c r="E21" s="38">
        <v>1249734980.5999999</v>
      </c>
      <c r="F21" s="38">
        <v>1247834980.5999999</v>
      </c>
      <c r="G21" s="38">
        <v>285398260.78999996</v>
      </c>
      <c r="H21" s="38">
        <v>1806426998.1900003</v>
      </c>
      <c r="I21" s="27">
        <v>0.90791929837400243</v>
      </c>
      <c r="J21" s="27">
        <v>0.41717561638585776</v>
      </c>
    </row>
    <row r="22" spans="1:10" x14ac:dyDescent="0.3">
      <c r="A22" s="18" t="s">
        <v>1029</v>
      </c>
      <c r="B22" s="37">
        <v>1788949667</v>
      </c>
      <c r="C22" s="37">
        <v>2723706774.0999999</v>
      </c>
      <c r="D22" s="37">
        <v>2010226211.2</v>
      </c>
      <c r="E22" s="37">
        <v>1796298459.5899999</v>
      </c>
      <c r="F22" s="37">
        <v>1711027461.2</v>
      </c>
      <c r="G22" s="37">
        <v>657348354.39999986</v>
      </c>
      <c r="H22" s="37">
        <v>713480562.89999986</v>
      </c>
      <c r="I22" s="31">
        <v>0.7586567098004855</v>
      </c>
      <c r="J22" s="31">
        <v>0.73804795373549092</v>
      </c>
    </row>
    <row r="23" spans="1:10" ht="28.8" x14ac:dyDescent="0.3">
      <c r="A23" s="19" t="s">
        <v>1248</v>
      </c>
      <c r="B23" s="38">
        <v>1788949667</v>
      </c>
      <c r="C23" s="38">
        <v>2723706774.0999999</v>
      </c>
      <c r="D23" s="38">
        <v>2010226211.2</v>
      </c>
      <c r="E23" s="38">
        <v>1796298459.5899999</v>
      </c>
      <c r="F23" s="38">
        <v>1711027461.2</v>
      </c>
      <c r="G23" s="38">
        <v>657348354.39999986</v>
      </c>
      <c r="H23" s="38">
        <v>713480562.89999986</v>
      </c>
      <c r="I23" s="27">
        <v>0.7586567098004855</v>
      </c>
      <c r="J23" s="27">
        <v>0.73804795373549092</v>
      </c>
    </row>
    <row r="24" spans="1:10" x14ac:dyDescent="0.3">
      <c r="A24" s="18" t="s">
        <v>1028</v>
      </c>
      <c r="B24" s="37">
        <v>4809924000</v>
      </c>
      <c r="C24" s="37">
        <v>9572998673.5900002</v>
      </c>
      <c r="D24" s="37">
        <v>8777311547.7200012</v>
      </c>
      <c r="E24" s="37">
        <v>6276027321.9200001</v>
      </c>
      <c r="F24" s="37">
        <v>5838761431.9200001</v>
      </c>
      <c r="G24" s="37">
        <v>446698867.82999992</v>
      </c>
      <c r="H24" s="37">
        <v>795687125.87000084</v>
      </c>
      <c r="I24" s="31">
        <v>0.95333762355338525</v>
      </c>
      <c r="J24" s="31">
        <v>0.91688214393415268</v>
      </c>
    </row>
    <row r="25" spans="1:10" x14ac:dyDescent="0.3">
      <c r="A25" s="19" t="s">
        <v>1249</v>
      </c>
      <c r="B25" s="38">
        <v>4809924000</v>
      </c>
      <c r="C25" s="38">
        <v>7564880105.79</v>
      </c>
      <c r="D25" s="38">
        <v>6769192979.9700003</v>
      </c>
      <c r="E25" s="38">
        <v>4381746831.9200001</v>
      </c>
      <c r="F25" s="38">
        <v>3944480941.9200001</v>
      </c>
      <c r="G25" s="38">
        <v>446698867.77999973</v>
      </c>
      <c r="H25" s="38">
        <v>795687125.81999969</v>
      </c>
      <c r="I25" s="27">
        <v>0.94095096531165034</v>
      </c>
      <c r="J25" s="27">
        <v>0.89481827673501424</v>
      </c>
    </row>
    <row r="26" spans="1:10" x14ac:dyDescent="0.3">
      <c r="A26" s="19" t="s">
        <v>1250</v>
      </c>
      <c r="B26" s="38">
        <v>0</v>
      </c>
      <c r="C26" s="38">
        <v>2008118567.8000002</v>
      </c>
      <c r="D26" s="38">
        <v>2008118567.75</v>
      </c>
      <c r="E26" s="38">
        <v>1894280490</v>
      </c>
      <c r="F26" s="38">
        <v>1894280490</v>
      </c>
      <c r="G26" s="38">
        <v>5.0000190734863281E-2</v>
      </c>
      <c r="H26" s="38">
        <v>5.0000190734863281E-2</v>
      </c>
      <c r="I26" s="27">
        <v>0.99999999997510103</v>
      </c>
      <c r="J26" s="27">
        <v>0.99999999997510103</v>
      </c>
    </row>
    <row r="27" spans="1:10" x14ac:dyDescent="0.3">
      <c r="A27" s="16" t="s">
        <v>1030</v>
      </c>
      <c r="B27" s="35">
        <v>11190606882</v>
      </c>
      <c r="C27" s="35">
        <v>28116732108.030006</v>
      </c>
      <c r="D27" s="35">
        <v>21896708431.380001</v>
      </c>
      <c r="E27" s="35">
        <v>10776712181.25</v>
      </c>
      <c r="F27" s="35">
        <v>10291056710.720001</v>
      </c>
      <c r="G27" s="35">
        <v>3722222857.3100052</v>
      </c>
      <c r="H27" s="35">
        <v>6220023676.6500053</v>
      </c>
      <c r="I27" s="29">
        <v>0.86761538136763217</v>
      </c>
      <c r="J27" s="29">
        <v>0.77877857025661967</v>
      </c>
    </row>
    <row r="28" spans="1:10" x14ac:dyDescent="0.3">
      <c r="A28" s="17" t="s">
        <v>1048</v>
      </c>
      <c r="B28" s="36">
        <v>11190606882</v>
      </c>
      <c r="C28" s="36">
        <v>24805224956.740005</v>
      </c>
      <c r="D28" s="36">
        <v>18585201280.09</v>
      </c>
      <c r="E28" s="36">
        <v>7465205029.960001</v>
      </c>
      <c r="F28" s="36">
        <v>6979549559.4300003</v>
      </c>
      <c r="G28" s="36">
        <v>3722222857.3100052</v>
      </c>
      <c r="H28" s="36">
        <v>6220023676.6500053</v>
      </c>
      <c r="I28" s="30">
        <v>0.84994198344092775</v>
      </c>
      <c r="J28" s="30">
        <v>0.74924542359532531</v>
      </c>
    </row>
    <row r="29" spans="1:10" ht="28.8" x14ac:dyDescent="0.3">
      <c r="A29" s="18" t="s">
        <v>1140</v>
      </c>
      <c r="B29" s="37">
        <v>452152464</v>
      </c>
      <c r="C29" s="37">
        <v>452152464</v>
      </c>
      <c r="D29" s="37">
        <v>448623766</v>
      </c>
      <c r="E29" s="37">
        <v>338981150</v>
      </c>
      <c r="F29" s="37">
        <v>321481150</v>
      </c>
      <c r="G29" s="37">
        <v>3110731</v>
      </c>
      <c r="H29" s="37">
        <v>3528698</v>
      </c>
      <c r="I29" s="31">
        <v>0.99312017240273187</v>
      </c>
      <c r="J29" s="31">
        <v>0.99219577845759566</v>
      </c>
    </row>
    <row r="30" spans="1:10" ht="28.8" x14ac:dyDescent="0.3">
      <c r="A30" s="19" t="s">
        <v>1251</v>
      </c>
      <c r="B30" s="38">
        <v>452152464</v>
      </c>
      <c r="C30" s="38">
        <v>452152464</v>
      </c>
      <c r="D30" s="38">
        <v>448623766</v>
      </c>
      <c r="E30" s="38">
        <v>338981150</v>
      </c>
      <c r="F30" s="38">
        <v>321481150</v>
      </c>
      <c r="G30" s="38">
        <v>3110731</v>
      </c>
      <c r="H30" s="38">
        <v>3528698</v>
      </c>
      <c r="I30" s="27">
        <v>0.99312017240273187</v>
      </c>
      <c r="J30" s="27">
        <v>0.99219577845759566</v>
      </c>
    </row>
    <row r="31" spans="1:10" ht="28.8" x14ac:dyDescent="0.3">
      <c r="A31" s="18" t="s">
        <v>1141</v>
      </c>
      <c r="B31" s="37">
        <v>3375200000</v>
      </c>
      <c r="C31" s="37">
        <v>3534416116.4200001</v>
      </c>
      <c r="D31" s="37">
        <v>3187634846.9099998</v>
      </c>
      <c r="E31" s="37">
        <v>2786677710.9099998</v>
      </c>
      <c r="F31" s="37">
        <v>2746511044.2399998</v>
      </c>
      <c r="G31" s="37">
        <v>184816220.80999994</v>
      </c>
      <c r="H31" s="37">
        <v>346781269.51000023</v>
      </c>
      <c r="I31" s="31">
        <v>0.94770954671936036</v>
      </c>
      <c r="J31" s="31">
        <v>0.90188442501183086</v>
      </c>
    </row>
    <row r="32" spans="1:10" ht="28.8" x14ac:dyDescent="0.3">
      <c r="A32" s="19" t="s">
        <v>1252</v>
      </c>
      <c r="B32" s="38">
        <v>1338000000</v>
      </c>
      <c r="C32" s="38">
        <v>1338000000</v>
      </c>
      <c r="D32" s="38">
        <v>1169054066.6700001</v>
      </c>
      <c r="E32" s="38">
        <v>863631002.66999996</v>
      </c>
      <c r="F32" s="38">
        <v>830464336</v>
      </c>
      <c r="G32" s="38">
        <v>100000036</v>
      </c>
      <c r="H32" s="38">
        <v>168945933.32999992</v>
      </c>
      <c r="I32" s="27">
        <v>0.92526155754857997</v>
      </c>
      <c r="J32" s="27">
        <v>0.87373248630044853</v>
      </c>
    </row>
    <row r="33" spans="1:10" ht="28.8" x14ac:dyDescent="0.3">
      <c r="A33" s="19" t="s">
        <v>1253</v>
      </c>
      <c r="B33" s="38">
        <v>2037200000</v>
      </c>
      <c r="C33" s="38">
        <v>2196416116.4200001</v>
      </c>
      <c r="D33" s="38">
        <v>2018580780.24</v>
      </c>
      <c r="E33" s="38">
        <v>1923046708.24</v>
      </c>
      <c r="F33" s="38">
        <v>1916046708.24</v>
      </c>
      <c r="G33" s="38">
        <v>84816184.809999943</v>
      </c>
      <c r="H33" s="38">
        <v>177835336.18000007</v>
      </c>
      <c r="I33" s="27">
        <v>0.96138428225146877</v>
      </c>
      <c r="J33" s="27">
        <v>0.91903385936274273</v>
      </c>
    </row>
    <row r="34" spans="1:10" x14ac:dyDescent="0.3">
      <c r="A34" s="18" t="s">
        <v>1147</v>
      </c>
      <c r="B34" s="37">
        <v>300000000</v>
      </c>
      <c r="C34" s="37">
        <v>300000000</v>
      </c>
      <c r="D34" s="37">
        <v>256533333</v>
      </c>
      <c r="E34" s="37">
        <v>256533333</v>
      </c>
      <c r="F34" s="37">
        <v>214480000</v>
      </c>
      <c r="G34" s="37">
        <v>42700000</v>
      </c>
      <c r="H34" s="37">
        <v>43466667</v>
      </c>
      <c r="I34" s="31">
        <v>0.85766666666666669</v>
      </c>
      <c r="J34" s="31">
        <v>0.85511110999999995</v>
      </c>
    </row>
    <row r="35" spans="1:10" x14ac:dyDescent="0.3">
      <c r="A35" s="19" t="s">
        <v>1254</v>
      </c>
      <c r="B35" s="38">
        <v>300000000</v>
      </c>
      <c r="C35" s="38">
        <v>300000000</v>
      </c>
      <c r="D35" s="38">
        <v>256533333</v>
      </c>
      <c r="E35" s="38">
        <v>256533333</v>
      </c>
      <c r="F35" s="38">
        <v>214480000</v>
      </c>
      <c r="G35" s="38">
        <v>42700000</v>
      </c>
      <c r="H35" s="38">
        <v>43466667</v>
      </c>
      <c r="I35" s="27">
        <v>0.85766666666666669</v>
      </c>
      <c r="J35" s="27">
        <v>0.85511110999999995</v>
      </c>
    </row>
    <row r="36" spans="1:10" ht="28.8" x14ac:dyDescent="0.3">
      <c r="A36" s="18" t="s">
        <v>1053</v>
      </c>
      <c r="B36" s="37">
        <v>205168000</v>
      </c>
      <c r="C36" s="37">
        <v>205168000</v>
      </c>
      <c r="D36" s="37">
        <v>179828200</v>
      </c>
      <c r="E36" s="37">
        <v>179822250</v>
      </c>
      <c r="F36" s="37">
        <v>175122250</v>
      </c>
      <c r="G36" s="37">
        <v>218000</v>
      </c>
      <c r="H36" s="37">
        <v>25339800</v>
      </c>
      <c r="I36" s="31">
        <v>0.99893745613351015</v>
      </c>
      <c r="J36" s="31">
        <v>0.87649243546751932</v>
      </c>
    </row>
    <row r="37" spans="1:10" ht="57.6" x14ac:dyDescent="0.3">
      <c r="A37" s="19" t="s">
        <v>1255</v>
      </c>
      <c r="B37" s="38">
        <v>205168000</v>
      </c>
      <c r="C37" s="38">
        <v>205168000</v>
      </c>
      <c r="D37" s="38">
        <v>179828200</v>
      </c>
      <c r="E37" s="38">
        <v>179822250</v>
      </c>
      <c r="F37" s="38">
        <v>175122250</v>
      </c>
      <c r="G37" s="38">
        <v>218000</v>
      </c>
      <c r="H37" s="38">
        <v>25339800</v>
      </c>
      <c r="I37" s="27">
        <v>0.99893745613351015</v>
      </c>
      <c r="J37" s="27">
        <v>0.87649243546751932</v>
      </c>
    </row>
    <row r="38" spans="1:10" ht="28.8" x14ac:dyDescent="0.3">
      <c r="A38" s="18" t="s">
        <v>1144</v>
      </c>
      <c r="B38" s="37">
        <v>996720000</v>
      </c>
      <c r="C38" s="37">
        <v>11133648227.450001</v>
      </c>
      <c r="D38" s="37">
        <v>10963437958</v>
      </c>
      <c r="E38" s="37">
        <v>829377411.19000006</v>
      </c>
      <c r="F38" s="37">
        <v>827384078.19000006</v>
      </c>
      <c r="G38" s="37">
        <v>136928227.45000076</v>
      </c>
      <c r="H38" s="37">
        <v>170210269.45000076</v>
      </c>
      <c r="I38" s="31">
        <v>0.98770140526692729</v>
      </c>
      <c r="J38" s="31">
        <v>0.98471208484651529</v>
      </c>
    </row>
    <row r="39" spans="1:10" ht="28.8" x14ac:dyDescent="0.3">
      <c r="A39" s="19" t="s">
        <v>1256</v>
      </c>
      <c r="B39" s="38">
        <v>996720000</v>
      </c>
      <c r="C39" s="38">
        <v>11133648227.450001</v>
      </c>
      <c r="D39" s="38">
        <v>10963437958</v>
      </c>
      <c r="E39" s="38">
        <v>829377411.19000006</v>
      </c>
      <c r="F39" s="38">
        <v>827384078.19000006</v>
      </c>
      <c r="G39" s="38">
        <v>136928227.45000076</v>
      </c>
      <c r="H39" s="38">
        <v>170210269.45000076</v>
      </c>
      <c r="I39" s="27">
        <v>0.98770140526692729</v>
      </c>
      <c r="J39" s="27">
        <v>0.98471208484651529</v>
      </c>
    </row>
    <row r="40" spans="1:10" x14ac:dyDescent="0.3">
      <c r="A40" s="18" t="s">
        <v>1143</v>
      </c>
      <c r="B40" s="37">
        <v>3089408713</v>
      </c>
      <c r="C40" s="37">
        <v>4657931830.5</v>
      </c>
      <c r="D40" s="37">
        <v>1258500000</v>
      </c>
      <c r="E40" s="37">
        <v>908050000</v>
      </c>
      <c r="F40" s="37">
        <v>906050000</v>
      </c>
      <c r="G40" s="37">
        <v>1571836535.5</v>
      </c>
      <c r="H40" s="37">
        <v>3399431830.5</v>
      </c>
      <c r="I40" s="31">
        <v>0.66254625599978501</v>
      </c>
      <c r="J40" s="31">
        <v>0.27018428903561431</v>
      </c>
    </row>
    <row r="41" spans="1:10" ht="28.8" x14ac:dyDescent="0.3">
      <c r="A41" s="19" t="s">
        <v>1257</v>
      </c>
      <c r="B41" s="38">
        <v>3089408713</v>
      </c>
      <c r="C41" s="38">
        <v>4657931830.5</v>
      </c>
      <c r="D41" s="38">
        <v>1258500000</v>
      </c>
      <c r="E41" s="38">
        <v>908050000</v>
      </c>
      <c r="F41" s="38">
        <v>906050000</v>
      </c>
      <c r="G41" s="38">
        <v>1571836535.5</v>
      </c>
      <c r="H41" s="38">
        <v>3399431830.5</v>
      </c>
      <c r="I41" s="27">
        <v>0.66254625599978501</v>
      </c>
      <c r="J41" s="27">
        <v>0.27018428903561431</v>
      </c>
    </row>
    <row r="42" spans="1:10" ht="28.8" x14ac:dyDescent="0.3">
      <c r="A42" s="18" t="s">
        <v>1145</v>
      </c>
      <c r="B42" s="37">
        <v>371957705</v>
      </c>
      <c r="C42" s="37">
        <v>371957705</v>
      </c>
      <c r="D42" s="37">
        <v>296214389</v>
      </c>
      <c r="E42" s="37">
        <v>287414389</v>
      </c>
      <c r="F42" s="37">
        <v>285214389</v>
      </c>
      <c r="G42" s="37">
        <v>0</v>
      </c>
      <c r="H42" s="37">
        <v>75743316</v>
      </c>
      <c r="I42" s="31">
        <v>1</v>
      </c>
      <c r="J42" s="31">
        <v>0.7963657830397679</v>
      </c>
    </row>
    <row r="43" spans="1:10" ht="43.2" x14ac:dyDescent="0.3">
      <c r="A43" s="19" t="s">
        <v>1258</v>
      </c>
      <c r="B43" s="38">
        <v>371957705</v>
      </c>
      <c r="C43" s="38">
        <v>371957705</v>
      </c>
      <c r="D43" s="38">
        <v>296214389</v>
      </c>
      <c r="E43" s="38">
        <v>287414389</v>
      </c>
      <c r="F43" s="38">
        <v>285214389</v>
      </c>
      <c r="G43" s="38">
        <v>0</v>
      </c>
      <c r="H43" s="38">
        <v>75743316</v>
      </c>
      <c r="I43" s="27">
        <v>1</v>
      </c>
      <c r="J43" s="27">
        <v>0.7963657830397679</v>
      </c>
    </row>
    <row r="44" spans="1:10" x14ac:dyDescent="0.3">
      <c r="A44" s="18" t="s">
        <v>1049</v>
      </c>
      <c r="B44" s="37">
        <v>400000000</v>
      </c>
      <c r="C44" s="37">
        <v>443307204.39999998</v>
      </c>
      <c r="D44" s="37">
        <v>109200000</v>
      </c>
      <c r="E44" s="37">
        <v>105200000</v>
      </c>
      <c r="F44" s="37">
        <v>105200000</v>
      </c>
      <c r="G44" s="37">
        <v>223525704.39999998</v>
      </c>
      <c r="H44" s="37">
        <v>334107204.39999998</v>
      </c>
      <c r="I44" s="31">
        <v>0.49577696418777173</v>
      </c>
      <c r="J44" s="31">
        <v>0.24633030755229479</v>
      </c>
    </row>
    <row r="45" spans="1:10" ht="28.8" x14ac:dyDescent="0.3">
      <c r="A45" s="19" t="s">
        <v>1259</v>
      </c>
      <c r="B45" s="38">
        <v>400000000</v>
      </c>
      <c r="C45" s="38">
        <v>443307204.39999998</v>
      </c>
      <c r="D45" s="38">
        <v>109200000</v>
      </c>
      <c r="E45" s="38">
        <v>105200000</v>
      </c>
      <c r="F45" s="38">
        <v>105200000</v>
      </c>
      <c r="G45" s="38">
        <v>223525704.39999998</v>
      </c>
      <c r="H45" s="38">
        <v>334107204.39999998</v>
      </c>
      <c r="I45" s="27">
        <v>0.49577696418777173</v>
      </c>
      <c r="J45" s="27">
        <v>0.24633030755229479</v>
      </c>
    </row>
    <row r="46" spans="1:10" ht="28.8" x14ac:dyDescent="0.3">
      <c r="A46" s="18" t="s">
        <v>1142</v>
      </c>
      <c r="B46" s="37">
        <v>1600000000</v>
      </c>
      <c r="C46" s="37">
        <v>3306643408.9699998</v>
      </c>
      <c r="D46" s="37">
        <v>1539428787.1799998</v>
      </c>
      <c r="E46" s="37">
        <v>1518928785.8600001</v>
      </c>
      <c r="F46" s="37">
        <v>1147286648</v>
      </c>
      <c r="G46" s="37">
        <v>1539087438.1499996</v>
      </c>
      <c r="H46" s="37">
        <v>1767214621.79</v>
      </c>
      <c r="I46" s="31">
        <v>0.53454689611377948</v>
      </c>
      <c r="J46" s="31">
        <v>0.46555633516573319</v>
      </c>
    </row>
    <row r="47" spans="1:10" ht="28.8" x14ac:dyDescent="0.3">
      <c r="A47" s="19" t="s">
        <v>1260</v>
      </c>
      <c r="B47" s="38">
        <v>1600000000</v>
      </c>
      <c r="C47" s="38">
        <v>3306643408.9699998</v>
      </c>
      <c r="D47" s="38">
        <v>1539428787.1799998</v>
      </c>
      <c r="E47" s="38">
        <v>1518928785.8600001</v>
      </c>
      <c r="F47" s="38">
        <v>1147286648</v>
      </c>
      <c r="G47" s="38">
        <v>1539087438.1499996</v>
      </c>
      <c r="H47" s="38">
        <v>1767214621.79</v>
      </c>
      <c r="I47" s="27">
        <v>0.53454689611377948</v>
      </c>
      <c r="J47" s="27">
        <v>0.46555633516573319</v>
      </c>
    </row>
    <row r="48" spans="1:10" ht="28.8" x14ac:dyDescent="0.3">
      <c r="A48" s="18" t="s">
        <v>1146</v>
      </c>
      <c r="B48" s="37">
        <v>400000000</v>
      </c>
      <c r="C48" s="37">
        <v>400000000</v>
      </c>
      <c r="D48" s="37">
        <v>345800000</v>
      </c>
      <c r="E48" s="37">
        <v>254220000</v>
      </c>
      <c r="F48" s="37">
        <v>250820000</v>
      </c>
      <c r="G48" s="37">
        <v>20000000</v>
      </c>
      <c r="H48" s="37">
        <v>54200000</v>
      </c>
      <c r="I48" s="31">
        <v>0.95</v>
      </c>
      <c r="J48" s="31">
        <v>0.86450000000000005</v>
      </c>
    </row>
    <row r="49" spans="1:10" ht="28.8" x14ac:dyDescent="0.3">
      <c r="A49" s="19" t="s">
        <v>1261</v>
      </c>
      <c r="B49" s="38">
        <v>400000000</v>
      </c>
      <c r="C49" s="38">
        <v>400000000</v>
      </c>
      <c r="D49" s="38">
        <v>345800000</v>
      </c>
      <c r="E49" s="38">
        <v>254220000</v>
      </c>
      <c r="F49" s="38">
        <v>250820000</v>
      </c>
      <c r="G49" s="38">
        <v>20000000</v>
      </c>
      <c r="H49" s="38">
        <v>54200000</v>
      </c>
      <c r="I49" s="27">
        <v>0.95</v>
      </c>
      <c r="J49" s="27">
        <v>0.86450000000000005</v>
      </c>
    </row>
    <row r="50" spans="1:10" x14ac:dyDescent="0.3">
      <c r="A50" s="17" t="s">
        <v>1031</v>
      </c>
      <c r="B50" s="36">
        <v>0</v>
      </c>
      <c r="C50" s="36">
        <v>3311507151.29</v>
      </c>
      <c r="D50" s="36">
        <v>3311507151.29</v>
      </c>
      <c r="E50" s="36">
        <v>3311507151.29</v>
      </c>
      <c r="F50" s="36">
        <v>3311507151.29</v>
      </c>
      <c r="G50" s="36">
        <v>0</v>
      </c>
      <c r="H50" s="36">
        <v>0</v>
      </c>
      <c r="I50" s="30">
        <v>1</v>
      </c>
      <c r="J50" s="30">
        <v>1</v>
      </c>
    </row>
    <row r="51" spans="1:10" ht="28.8" x14ac:dyDescent="0.3">
      <c r="A51" s="18" t="s">
        <v>1032</v>
      </c>
      <c r="B51" s="37">
        <v>0</v>
      </c>
      <c r="C51" s="37">
        <v>3311507151.29</v>
      </c>
      <c r="D51" s="37">
        <v>3311507151.29</v>
      </c>
      <c r="E51" s="37">
        <v>3311507151.29</v>
      </c>
      <c r="F51" s="37">
        <v>3311507151.29</v>
      </c>
      <c r="G51" s="37">
        <v>0</v>
      </c>
      <c r="H51" s="37">
        <v>0</v>
      </c>
      <c r="I51" s="31">
        <v>1</v>
      </c>
      <c r="J51" s="31">
        <v>1</v>
      </c>
    </row>
    <row r="52" spans="1:10" ht="43.2" x14ac:dyDescent="0.3">
      <c r="A52" s="19" t="s">
        <v>1262</v>
      </c>
      <c r="B52" s="38">
        <v>0</v>
      </c>
      <c r="C52" s="38">
        <v>3311507151.29</v>
      </c>
      <c r="D52" s="38">
        <v>3311507151.29</v>
      </c>
      <c r="E52" s="38">
        <v>3311507151.29</v>
      </c>
      <c r="F52" s="38">
        <v>3311507151.29</v>
      </c>
      <c r="G52" s="38">
        <v>0</v>
      </c>
      <c r="H52" s="38">
        <v>0</v>
      </c>
      <c r="I52" s="27">
        <v>1</v>
      </c>
      <c r="J52" s="27">
        <v>1</v>
      </c>
    </row>
    <row r="53" spans="1:10" x14ac:dyDescent="0.3">
      <c r="A53" s="20" t="s">
        <v>1220</v>
      </c>
      <c r="B53" s="39">
        <v>14475361416</v>
      </c>
      <c r="C53" s="39">
        <v>33939028301.98</v>
      </c>
      <c r="D53" s="39">
        <v>19545913964.410004</v>
      </c>
      <c r="E53" s="39">
        <v>14104798931.91</v>
      </c>
      <c r="F53" s="39">
        <v>9418195942.3599987</v>
      </c>
      <c r="G53" s="39">
        <v>10299682188.030006</v>
      </c>
      <c r="H53" s="39">
        <v>14393114337.569996</v>
      </c>
      <c r="I53" s="32">
        <v>0.69652395182365534</v>
      </c>
      <c r="J53" s="32">
        <v>0.57591259804187434</v>
      </c>
    </row>
    <row r="54" spans="1:10" x14ac:dyDescent="0.3">
      <c r="A54" s="16" t="s">
        <v>1026</v>
      </c>
      <c r="B54" s="35">
        <v>150000001</v>
      </c>
      <c r="C54" s="35">
        <v>8554333542.6499996</v>
      </c>
      <c r="D54" s="35">
        <v>4417964496</v>
      </c>
      <c r="E54" s="35">
        <v>1167880000</v>
      </c>
      <c r="F54" s="35">
        <v>1164780000</v>
      </c>
      <c r="G54" s="35">
        <v>3299766432.6499996</v>
      </c>
      <c r="H54" s="35">
        <v>4136369046.6499996</v>
      </c>
      <c r="I54" s="29">
        <v>0.61425791779124583</v>
      </c>
      <c r="J54" s="29">
        <v>0.51645922782564113</v>
      </c>
    </row>
    <row r="55" spans="1:10" x14ac:dyDescent="0.3">
      <c r="A55" s="17" t="s">
        <v>1027</v>
      </c>
      <c r="B55" s="36">
        <v>150000001</v>
      </c>
      <c r="C55" s="36">
        <v>8554333542.6499996</v>
      </c>
      <c r="D55" s="36">
        <v>4417964496</v>
      </c>
      <c r="E55" s="36">
        <v>1167880000</v>
      </c>
      <c r="F55" s="36">
        <v>1164780000</v>
      </c>
      <c r="G55" s="36">
        <v>3299766432.6499996</v>
      </c>
      <c r="H55" s="36">
        <v>4136369046.6499996</v>
      </c>
      <c r="I55" s="30">
        <v>0.61425791779124583</v>
      </c>
      <c r="J55" s="30">
        <v>0.51645922782564113</v>
      </c>
    </row>
    <row r="56" spans="1:10" x14ac:dyDescent="0.3">
      <c r="A56" s="18" t="s">
        <v>1130</v>
      </c>
      <c r="B56" s="37">
        <v>150000001</v>
      </c>
      <c r="C56" s="37">
        <v>8554333542.6499996</v>
      </c>
      <c r="D56" s="37">
        <v>4417964496</v>
      </c>
      <c r="E56" s="37">
        <v>1167880000</v>
      </c>
      <c r="F56" s="37">
        <v>1164780000</v>
      </c>
      <c r="G56" s="37">
        <v>3299766432.6499996</v>
      </c>
      <c r="H56" s="37">
        <v>4136369046.6499996</v>
      </c>
      <c r="I56" s="31">
        <v>0.61425791779124583</v>
      </c>
      <c r="J56" s="31">
        <v>0.51645922782564113</v>
      </c>
    </row>
    <row r="57" spans="1:10" ht="28.8" x14ac:dyDescent="0.3">
      <c r="A57" s="19" t="s">
        <v>1263</v>
      </c>
      <c r="B57" s="38">
        <v>150000001</v>
      </c>
      <c r="C57" s="38">
        <v>8554333542.6499996</v>
      </c>
      <c r="D57" s="38">
        <v>4417964496</v>
      </c>
      <c r="E57" s="38">
        <v>1167880000</v>
      </c>
      <c r="F57" s="38">
        <v>1164780000</v>
      </c>
      <c r="G57" s="38">
        <v>3299766432.6499996</v>
      </c>
      <c r="H57" s="38">
        <v>4136369046.6499996</v>
      </c>
      <c r="I57" s="27">
        <v>0.61425791779124583</v>
      </c>
      <c r="J57" s="27">
        <v>0.51645922782564113</v>
      </c>
    </row>
    <row r="58" spans="1:10" x14ac:dyDescent="0.3">
      <c r="A58" s="16" t="s">
        <v>1018</v>
      </c>
      <c r="B58" s="35">
        <v>13885057187</v>
      </c>
      <c r="C58" s="35">
        <v>24344390531.329998</v>
      </c>
      <c r="D58" s="35">
        <v>14772145391.410002</v>
      </c>
      <c r="E58" s="35">
        <v>12697042854.91</v>
      </c>
      <c r="F58" s="35">
        <v>8058339865.3600016</v>
      </c>
      <c r="G58" s="35">
        <v>6339370604.3800011</v>
      </c>
      <c r="H58" s="35">
        <v>9572245139.9199963</v>
      </c>
      <c r="I58" s="29">
        <v>0.73959624923772271</v>
      </c>
      <c r="J58" s="29">
        <v>0.60679873551974939</v>
      </c>
    </row>
    <row r="59" spans="1:10" x14ac:dyDescent="0.3">
      <c r="A59" s="17" t="s">
        <v>1021</v>
      </c>
      <c r="B59" s="36">
        <v>10362623387</v>
      </c>
      <c r="C59" s="36">
        <v>20841655857.16</v>
      </c>
      <c r="D59" s="36">
        <v>11854455668.050003</v>
      </c>
      <c r="E59" s="36">
        <v>10145520189.650002</v>
      </c>
      <c r="F59" s="36">
        <v>6255474178.7700005</v>
      </c>
      <c r="G59" s="36">
        <v>6252373493.25</v>
      </c>
      <c r="H59" s="36">
        <v>8987200189.1099968</v>
      </c>
      <c r="I59" s="30">
        <v>0.70000591430445092</v>
      </c>
      <c r="J59" s="30">
        <v>0.56878665252394001</v>
      </c>
    </row>
    <row r="60" spans="1:10" x14ac:dyDescent="0.3">
      <c r="A60" s="18" t="s">
        <v>1102</v>
      </c>
      <c r="B60" s="37">
        <v>5771526314</v>
      </c>
      <c r="C60" s="37">
        <v>13243947924.540001</v>
      </c>
      <c r="D60" s="37">
        <v>5721060563.0699997</v>
      </c>
      <c r="E60" s="37">
        <v>4286537564.8299999</v>
      </c>
      <c r="F60" s="37">
        <v>631144119.95000005</v>
      </c>
      <c r="G60" s="37">
        <v>4887734390.7000008</v>
      </c>
      <c r="H60" s="37">
        <v>7522887361.4700012</v>
      </c>
      <c r="I60" s="31">
        <v>0.63094581626650681</v>
      </c>
      <c r="J60" s="31">
        <v>0.43197546499479367</v>
      </c>
    </row>
    <row r="61" spans="1:10" ht="28.8" x14ac:dyDescent="0.3">
      <c r="A61" s="19" t="s">
        <v>1264</v>
      </c>
      <c r="B61" s="38">
        <v>1786572895</v>
      </c>
      <c r="C61" s="38">
        <v>1997079016.0999999</v>
      </c>
      <c r="D61" s="38">
        <v>1632164437.0799999</v>
      </c>
      <c r="E61" s="38">
        <v>1601714437.0799999</v>
      </c>
      <c r="F61" s="38">
        <v>137953333.32999998</v>
      </c>
      <c r="G61" s="38">
        <v>28955744.399999857</v>
      </c>
      <c r="H61" s="38">
        <v>364914579.01999998</v>
      </c>
      <c r="I61" s="27">
        <v>0.9855009520571969</v>
      </c>
      <c r="J61" s="27">
        <v>0.81727584333011305</v>
      </c>
    </row>
    <row r="62" spans="1:10" ht="43.2" x14ac:dyDescent="0.3">
      <c r="A62" s="19" t="s">
        <v>1265</v>
      </c>
      <c r="B62" s="38">
        <v>1463476710</v>
      </c>
      <c r="C62" s="38">
        <v>3585784218.77</v>
      </c>
      <c r="D62" s="38">
        <v>1959660763.5999999</v>
      </c>
      <c r="E62" s="38">
        <v>1600243157</v>
      </c>
      <c r="F62" s="38">
        <v>282999998</v>
      </c>
      <c r="G62" s="38">
        <v>1436940954.3399997</v>
      </c>
      <c r="H62" s="38">
        <v>1626123455.1700001</v>
      </c>
      <c r="I62" s="27">
        <v>0.59926731039245273</v>
      </c>
      <c r="J62" s="27">
        <v>0.54650827937220525</v>
      </c>
    </row>
    <row r="63" spans="1:10" ht="43.2" x14ac:dyDescent="0.3">
      <c r="A63" s="19" t="s">
        <v>1266</v>
      </c>
      <c r="B63" s="38">
        <v>1500000000</v>
      </c>
      <c r="C63" s="38">
        <v>3412307508.77</v>
      </c>
      <c r="D63" s="38">
        <v>0</v>
      </c>
      <c r="E63" s="38">
        <v>0</v>
      </c>
      <c r="F63" s="38">
        <v>0</v>
      </c>
      <c r="G63" s="38">
        <v>1557270918.4400001</v>
      </c>
      <c r="H63" s="38">
        <v>3412307508.77</v>
      </c>
      <c r="I63" s="27">
        <v>0.5436311310051497</v>
      </c>
      <c r="J63" s="27">
        <v>0</v>
      </c>
    </row>
    <row r="64" spans="1:10" ht="43.2" x14ac:dyDescent="0.3">
      <c r="A64" s="19" t="s">
        <v>1267</v>
      </c>
      <c r="B64" s="38">
        <v>1021476709</v>
      </c>
      <c r="C64" s="38">
        <v>2042599782.04</v>
      </c>
      <c r="D64" s="38">
        <v>706014392.38999999</v>
      </c>
      <c r="E64" s="38">
        <v>605642783.30999994</v>
      </c>
      <c r="F64" s="38">
        <v>1424653.06</v>
      </c>
      <c r="G64" s="38">
        <v>1081610344.6599998</v>
      </c>
      <c r="H64" s="38">
        <v>1336585389.6500001</v>
      </c>
      <c r="I64" s="27">
        <v>0.47047368056616246</v>
      </c>
      <c r="J64" s="27">
        <v>0.34564499546009164</v>
      </c>
    </row>
    <row r="65" spans="1:10" ht="28.8" x14ac:dyDescent="0.3">
      <c r="A65" s="19" t="s">
        <v>1268</v>
      </c>
      <c r="B65" s="38">
        <v>0</v>
      </c>
      <c r="C65" s="38">
        <v>2206177398.8600001</v>
      </c>
      <c r="D65" s="38">
        <v>1423220970</v>
      </c>
      <c r="E65" s="38">
        <v>478937187.44</v>
      </c>
      <c r="F65" s="38">
        <v>208766135.56</v>
      </c>
      <c r="G65" s="38">
        <v>782956428.86000013</v>
      </c>
      <c r="H65" s="38">
        <v>782956428.86000013</v>
      </c>
      <c r="I65" s="27">
        <v>0.64510722063213144</v>
      </c>
      <c r="J65" s="27">
        <v>0.64510722063213144</v>
      </c>
    </row>
    <row r="66" spans="1:10" x14ac:dyDescent="0.3">
      <c r="A66" s="18" t="s">
        <v>1033</v>
      </c>
      <c r="B66" s="37">
        <v>382873239</v>
      </c>
      <c r="C66" s="37">
        <v>2136611396.6600001</v>
      </c>
      <c r="D66" s="37">
        <v>1928065825.3499999</v>
      </c>
      <c r="E66" s="37">
        <v>1917949158.6799998</v>
      </c>
      <c r="F66" s="37">
        <v>1908489158.6799998</v>
      </c>
      <c r="G66" s="37">
        <v>203795571.32000017</v>
      </c>
      <c r="H66" s="37">
        <v>208545571.31000018</v>
      </c>
      <c r="I66" s="31">
        <v>0.90461739011662201</v>
      </c>
      <c r="J66" s="31">
        <v>0.90239424369073229</v>
      </c>
    </row>
    <row r="67" spans="1:10" ht="43.2" x14ac:dyDescent="0.3">
      <c r="A67" s="19" t="s">
        <v>1269</v>
      </c>
      <c r="B67" s="38">
        <v>382873239</v>
      </c>
      <c r="C67" s="38">
        <v>382873239</v>
      </c>
      <c r="D67" s="38">
        <v>375036085.00999999</v>
      </c>
      <c r="E67" s="38">
        <v>364919418.33999997</v>
      </c>
      <c r="F67" s="38">
        <v>355459418.33999997</v>
      </c>
      <c r="G67" s="38">
        <v>3087154</v>
      </c>
      <c r="H67" s="38">
        <v>7837153.9900000095</v>
      </c>
      <c r="I67" s="27">
        <v>0.99193687705084033</v>
      </c>
      <c r="J67" s="27">
        <v>0.9795306822423282</v>
      </c>
    </row>
    <row r="68" spans="1:10" ht="43.2" x14ac:dyDescent="0.3">
      <c r="A68" s="19" t="s">
        <v>1270</v>
      </c>
      <c r="B68" s="38">
        <v>0</v>
      </c>
      <c r="C68" s="38">
        <v>1753738157.6600001</v>
      </c>
      <c r="D68" s="38">
        <v>1553029740.3399999</v>
      </c>
      <c r="E68" s="38">
        <v>1553029740.3399999</v>
      </c>
      <c r="F68" s="38">
        <v>1553029740.3399999</v>
      </c>
      <c r="G68" s="38">
        <v>200708417.32000017</v>
      </c>
      <c r="H68" s="38">
        <v>200708417.32000017</v>
      </c>
      <c r="I68" s="27">
        <v>0.88555394290570499</v>
      </c>
      <c r="J68" s="27">
        <v>0.88555394290570499</v>
      </c>
    </row>
    <row r="69" spans="1:10" ht="28.8" x14ac:dyDescent="0.3">
      <c r="A69" s="18" t="s">
        <v>1023</v>
      </c>
      <c r="B69" s="37">
        <v>1548891439</v>
      </c>
      <c r="C69" s="37">
        <v>2595564140.96</v>
      </c>
      <c r="D69" s="37">
        <v>1472057121.47</v>
      </c>
      <c r="E69" s="37">
        <v>1425766849.3200002</v>
      </c>
      <c r="F69" s="37">
        <v>1342966849.3200002</v>
      </c>
      <c r="G69" s="37">
        <v>1111883955.23</v>
      </c>
      <c r="H69" s="37">
        <v>1123507019.49</v>
      </c>
      <c r="I69" s="31">
        <v>0.57162146845704354</v>
      </c>
      <c r="J69" s="31">
        <v>0.5671434191279674</v>
      </c>
    </row>
    <row r="70" spans="1:10" ht="43.2" x14ac:dyDescent="0.3">
      <c r="A70" s="19" t="s">
        <v>1271</v>
      </c>
      <c r="B70" s="38">
        <v>1548891439</v>
      </c>
      <c r="C70" s="38">
        <v>1772026639</v>
      </c>
      <c r="D70" s="38">
        <v>1348526496.4400001</v>
      </c>
      <c r="E70" s="38">
        <v>1302236224.2900002</v>
      </c>
      <c r="F70" s="38">
        <v>1219436224.2900002</v>
      </c>
      <c r="G70" s="38">
        <v>411877078.29999995</v>
      </c>
      <c r="H70" s="38">
        <v>423500142.55999994</v>
      </c>
      <c r="I70" s="27">
        <v>0.76756721979505182</v>
      </c>
      <c r="J70" s="27">
        <v>0.76100802705822079</v>
      </c>
    </row>
    <row r="71" spans="1:10" ht="43.2" x14ac:dyDescent="0.3">
      <c r="A71" s="19" t="s">
        <v>1272</v>
      </c>
      <c r="B71" s="38">
        <v>0</v>
      </c>
      <c r="C71" s="38">
        <v>823537501.96000004</v>
      </c>
      <c r="D71" s="38">
        <v>123530625.03</v>
      </c>
      <c r="E71" s="38">
        <v>123530625.03</v>
      </c>
      <c r="F71" s="38">
        <v>123530625.03</v>
      </c>
      <c r="G71" s="38">
        <v>700006876.93000007</v>
      </c>
      <c r="H71" s="38">
        <v>700006876.93000007</v>
      </c>
      <c r="I71" s="27">
        <v>0.14999999967943173</v>
      </c>
      <c r="J71" s="27">
        <v>0.14999999967943173</v>
      </c>
    </row>
    <row r="72" spans="1:10" ht="28.8" x14ac:dyDescent="0.3">
      <c r="A72" s="18" t="s">
        <v>1093</v>
      </c>
      <c r="B72" s="37">
        <v>167507042</v>
      </c>
      <c r="C72" s="37">
        <v>167507042</v>
      </c>
      <c r="D72" s="37">
        <v>162990224.00999999</v>
      </c>
      <c r="E72" s="37">
        <v>150042498.66999999</v>
      </c>
      <c r="F72" s="37">
        <v>148395832.66999999</v>
      </c>
      <c r="G72" s="37">
        <v>0</v>
      </c>
      <c r="H72" s="37">
        <v>4516817.9900000095</v>
      </c>
      <c r="I72" s="31">
        <v>1</v>
      </c>
      <c r="J72" s="31">
        <v>0.97303505610229801</v>
      </c>
    </row>
    <row r="73" spans="1:10" ht="28.8" x14ac:dyDescent="0.3">
      <c r="A73" s="19" t="s">
        <v>1273</v>
      </c>
      <c r="B73" s="38">
        <v>167507042</v>
      </c>
      <c r="C73" s="38">
        <v>167507042</v>
      </c>
      <c r="D73" s="38">
        <v>162990224.00999999</v>
      </c>
      <c r="E73" s="38">
        <v>150042498.66999999</v>
      </c>
      <c r="F73" s="38">
        <v>148395832.66999999</v>
      </c>
      <c r="G73" s="38">
        <v>0</v>
      </c>
      <c r="H73" s="38">
        <v>4516817.9900000095</v>
      </c>
      <c r="I73" s="27">
        <v>1</v>
      </c>
      <c r="J73" s="27">
        <v>0.97303505610229801</v>
      </c>
    </row>
    <row r="74" spans="1:10" x14ac:dyDescent="0.3">
      <c r="A74" s="18" t="s">
        <v>1022</v>
      </c>
      <c r="B74" s="37">
        <v>1914366199</v>
      </c>
      <c r="C74" s="37">
        <v>1914366199</v>
      </c>
      <c r="D74" s="37">
        <v>1862342133.78</v>
      </c>
      <c r="E74" s="37">
        <v>1833003167.78</v>
      </c>
      <c r="F74" s="37">
        <v>1806103167.78</v>
      </c>
      <c r="G74" s="37">
        <v>9403996</v>
      </c>
      <c r="H74" s="37">
        <v>52024065.220000029</v>
      </c>
      <c r="I74" s="31">
        <v>0.99508767131131315</v>
      </c>
      <c r="J74" s="31">
        <v>0.97282439209009453</v>
      </c>
    </row>
    <row r="75" spans="1:10" ht="28.8" x14ac:dyDescent="0.3">
      <c r="A75" s="19" t="s">
        <v>1274</v>
      </c>
      <c r="B75" s="38">
        <v>1914366199</v>
      </c>
      <c r="C75" s="38">
        <v>1914366199</v>
      </c>
      <c r="D75" s="38">
        <v>1862342133.78</v>
      </c>
      <c r="E75" s="38">
        <v>1833003167.78</v>
      </c>
      <c r="F75" s="38">
        <v>1806103167.78</v>
      </c>
      <c r="G75" s="38">
        <v>9403996</v>
      </c>
      <c r="H75" s="38">
        <v>52024065.220000029</v>
      </c>
      <c r="I75" s="27">
        <v>0.99508767131131315</v>
      </c>
      <c r="J75" s="27">
        <v>0.97282439209009453</v>
      </c>
    </row>
    <row r="76" spans="1:10" ht="28.8" x14ac:dyDescent="0.3">
      <c r="A76" s="18" t="s">
        <v>1054</v>
      </c>
      <c r="B76" s="37">
        <v>363729577</v>
      </c>
      <c r="C76" s="37">
        <v>569929577</v>
      </c>
      <c r="D76" s="37">
        <v>494210300.37</v>
      </c>
      <c r="E76" s="37">
        <v>318491450.37</v>
      </c>
      <c r="F76" s="37">
        <v>204645550.37</v>
      </c>
      <c r="G76" s="37">
        <v>39555503</v>
      </c>
      <c r="H76" s="37">
        <v>75719276.629999995</v>
      </c>
      <c r="I76" s="31">
        <v>0.93059580587445101</v>
      </c>
      <c r="J76" s="31">
        <v>0.8671427494102486</v>
      </c>
    </row>
    <row r="77" spans="1:10" ht="43.2" x14ac:dyDescent="0.3">
      <c r="A77" s="19" t="s">
        <v>1275</v>
      </c>
      <c r="B77" s="38">
        <v>0</v>
      </c>
      <c r="C77" s="38">
        <v>206200000</v>
      </c>
      <c r="D77" s="38">
        <v>200000000</v>
      </c>
      <c r="E77" s="38">
        <v>52881150</v>
      </c>
      <c r="F77" s="38">
        <v>0</v>
      </c>
      <c r="G77" s="38">
        <v>6200000</v>
      </c>
      <c r="H77" s="38">
        <v>6200000</v>
      </c>
      <c r="I77" s="27">
        <v>0.96993210475266733</v>
      </c>
      <c r="J77" s="27">
        <v>0.96993210475266733</v>
      </c>
    </row>
    <row r="78" spans="1:10" ht="43.2" x14ac:dyDescent="0.3">
      <c r="A78" s="19" t="s">
        <v>1276</v>
      </c>
      <c r="B78" s="38">
        <v>363729577</v>
      </c>
      <c r="C78" s="38">
        <v>363729577</v>
      </c>
      <c r="D78" s="38">
        <v>294210300.37</v>
      </c>
      <c r="E78" s="38">
        <v>265610300.37</v>
      </c>
      <c r="F78" s="38">
        <v>204645550.37</v>
      </c>
      <c r="G78" s="38">
        <v>33355503</v>
      </c>
      <c r="H78" s="38">
        <v>69519276.629999995</v>
      </c>
      <c r="I78" s="27">
        <v>0.90829587388764921</v>
      </c>
      <c r="J78" s="27">
        <v>0.808870982658636</v>
      </c>
    </row>
    <row r="79" spans="1:10" ht="28.8" x14ac:dyDescent="0.3">
      <c r="A79" s="18" t="s">
        <v>1207</v>
      </c>
      <c r="B79" s="37">
        <v>213729577</v>
      </c>
      <c r="C79" s="37">
        <v>213729577</v>
      </c>
      <c r="D79" s="37">
        <v>213729500</v>
      </c>
      <c r="E79" s="37">
        <v>213729500</v>
      </c>
      <c r="F79" s="37">
        <v>213729500</v>
      </c>
      <c r="G79" s="37">
        <v>77</v>
      </c>
      <c r="H79" s="37">
        <v>77</v>
      </c>
      <c r="I79" s="31">
        <v>0.99999963973165962</v>
      </c>
      <c r="J79" s="31">
        <v>0.99999963973165962</v>
      </c>
    </row>
    <row r="80" spans="1:10" ht="28.8" x14ac:dyDescent="0.3">
      <c r="A80" s="19" t="s">
        <v>1277</v>
      </c>
      <c r="B80" s="38">
        <v>213729577</v>
      </c>
      <c r="C80" s="38">
        <v>213729577</v>
      </c>
      <c r="D80" s="38">
        <v>213729500</v>
      </c>
      <c r="E80" s="38">
        <v>213729500</v>
      </c>
      <c r="F80" s="38">
        <v>213729500</v>
      </c>
      <c r="G80" s="38">
        <v>77</v>
      </c>
      <c r="H80" s="38">
        <v>77</v>
      </c>
      <c r="I80" s="27">
        <v>0.99999963973165962</v>
      </c>
      <c r="J80" s="27">
        <v>0.99999963973165962</v>
      </c>
    </row>
    <row r="81" spans="1:10" x14ac:dyDescent="0.3">
      <c r="A81" s="17" t="s">
        <v>1024</v>
      </c>
      <c r="B81" s="36">
        <v>2756687322</v>
      </c>
      <c r="C81" s="36">
        <v>2506396729.5</v>
      </c>
      <c r="D81" s="36">
        <v>2044726721.03</v>
      </c>
      <c r="E81" s="36">
        <v>1764022996.3699999</v>
      </c>
      <c r="F81" s="36">
        <v>1245435009.7</v>
      </c>
      <c r="G81" s="36">
        <v>80549673.130000114</v>
      </c>
      <c r="H81" s="36">
        <v>461670008.47000003</v>
      </c>
      <c r="I81" s="30">
        <v>0.96786236106122392</v>
      </c>
      <c r="J81" s="30">
        <v>0.81580329919992423</v>
      </c>
    </row>
    <row r="82" spans="1:10" ht="28.8" x14ac:dyDescent="0.3">
      <c r="A82" s="18" t="s">
        <v>1131</v>
      </c>
      <c r="B82" s="37">
        <v>363729577</v>
      </c>
      <c r="C82" s="37">
        <v>309729577</v>
      </c>
      <c r="D82" s="37">
        <v>297075099.97000003</v>
      </c>
      <c r="E82" s="37">
        <v>231802666.63999999</v>
      </c>
      <c r="F82" s="37">
        <v>224945999.97</v>
      </c>
      <c r="G82" s="37">
        <v>71729</v>
      </c>
      <c r="H82" s="37">
        <v>12654477.029999971</v>
      </c>
      <c r="I82" s="31">
        <v>0.99976841410918915</v>
      </c>
      <c r="J82" s="31">
        <v>0.95914346588217514</v>
      </c>
    </row>
    <row r="83" spans="1:10" ht="43.2" x14ac:dyDescent="0.3">
      <c r="A83" s="19" t="s">
        <v>1278</v>
      </c>
      <c r="B83" s="38">
        <v>363729577</v>
      </c>
      <c r="C83" s="38">
        <v>309729577</v>
      </c>
      <c r="D83" s="38">
        <v>297075099.97000003</v>
      </c>
      <c r="E83" s="38">
        <v>231802666.63999999</v>
      </c>
      <c r="F83" s="38">
        <v>224945999.97</v>
      </c>
      <c r="G83" s="38">
        <v>71729</v>
      </c>
      <c r="H83" s="38">
        <v>12654477.029999971</v>
      </c>
      <c r="I83" s="27">
        <v>0.99976841410918915</v>
      </c>
      <c r="J83" s="27">
        <v>0.95914346588217514</v>
      </c>
    </row>
    <row r="84" spans="1:10" ht="28.8" x14ac:dyDescent="0.3">
      <c r="A84" s="18" t="s">
        <v>1025</v>
      </c>
      <c r="B84" s="37">
        <v>2392957745</v>
      </c>
      <c r="C84" s="37">
        <v>2196667152.5</v>
      </c>
      <c r="D84" s="37">
        <v>1747651621.0599999</v>
      </c>
      <c r="E84" s="37">
        <v>1532220329.73</v>
      </c>
      <c r="F84" s="37">
        <v>1020489009.73</v>
      </c>
      <c r="G84" s="37">
        <v>80477944.130000114</v>
      </c>
      <c r="H84" s="37">
        <v>449015531.44000006</v>
      </c>
      <c r="I84" s="31">
        <v>0.96336361472041443</v>
      </c>
      <c r="J84" s="31">
        <v>0.79559236776997322</v>
      </c>
    </row>
    <row r="85" spans="1:10" ht="28.8" x14ac:dyDescent="0.3">
      <c r="A85" s="19" t="s">
        <v>1279</v>
      </c>
      <c r="B85" s="38">
        <v>2392957745</v>
      </c>
      <c r="C85" s="38">
        <v>2196667152.5</v>
      </c>
      <c r="D85" s="38">
        <v>1747651621.0599999</v>
      </c>
      <c r="E85" s="38">
        <v>1532220329.73</v>
      </c>
      <c r="F85" s="38">
        <v>1020489009.73</v>
      </c>
      <c r="G85" s="38">
        <v>80477944.130000114</v>
      </c>
      <c r="H85" s="38">
        <v>449015531.44000006</v>
      </c>
      <c r="I85" s="27">
        <v>0.96336361472041443</v>
      </c>
      <c r="J85" s="27">
        <v>0.79559236776997322</v>
      </c>
    </row>
    <row r="86" spans="1:10" ht="28.8" x14ac:dyDescent="0.3">
      <c r="A86" s="17" t="s">
        <v>1044</v>
      </c>
      <c r="B86" s="36">
        <v>765746478</v>
      </c>
      <c r="C86" s="36">
        <v>996337944.67000008</v>
      </c>
      <c r="D86" s="36">
        <v>872963002.33000004</v>
      </c>
      <c r="E86" s="36">
        <v>787499668.88999999</v>
      </c>
      <c r="F86" s="36">
        <v>557430676.88999999</v>
      </c>
      <c r="G86" s="36">
        <v>6447438</v>
      </c>
      <c r="H86" s="36">
        <v>123374942.33999991</v>
      </c>
      <c r="I86" s="30">
        <v>0.99352886434317678</v>
      </c>
      <c r="J86" s="30">
        <v>0.87617159117545873</v>
      </c>
    </row>
    <row r="87" spans="1:10" x14ac:dyDescent="0.3">
      <c r="A87" s="18" t="s">
        <v>1045</v>
      </c>
      <c r="B87" s="37">
        <v>670028169</v>
      </c>
      <c r="C87" s="37">
        <v>823892969</v>
      </c>
      <c r="D87" s="37">
        <v>711121002.33000004</v>
      </c>
      <c r="E87" s="37">
        <v>696199668.88999999</v>
      </c>
      <c r="F87" s="37">
        <v>479630676.88999999</v>
      </c>
      <c r="G87" s="37">
        <v>663806.33000004292</v>
      </c>
      <c r="H87" s="37">
        <v>112771966.66999996</v>
      </c>
      <c r="I87" s="31">
        <v>0.99919430514038043</v>
      </c>
      <c r="J87" s="31">
        <v>0.8631230379270296</v>
      </c>
    </row>
    <row r="88" spans="1:10" ht="28.8" x14ac:dyDescent="0.3">
      <c r="A88" s="19" t="s">
        <v>1280</v>
      </c>
      <c r="B88" s="38">
        <v>670028169</v>
      </c>
      <c r="C88" s="38">
        <v>823892969</v>
      </c>
      <c r="D88" s="38">
        <v>711121002.33000004</v>
      </c>
      <c r="E88" s="38">
        <v>696199668.88999999</v>
      </c>
      <c r="F88" s="38">
        <v>479630676.88999999</v>
      </c>
      <c r="G88" s="38">
        <v>663806.33000004292</v>
      </c>
      <c r="H88" s="38">
        <v>112771966.66999996</v>
      </c>
      <c r="I88" s="27">
        <v>0.99919430514038043</v>
      </c>
      <c r="J88" s="27">
        <v>0.8631230379270296</v>
      </c>
    </row>
    <row r="89" spans="1:10" x14ac:dyDescent="0.3">
      <c r="A89" s="18" t="s">
        <v>1089</v>
      </c>
      <c r="B89" s="37">
        <v>95718309</v>
      </c>
      <c r="C89" s="37">
        <v>172444975.67000002</v>
      </c>
      <c r="D89" s="37">
        <v>161842000</v>
      </c>
      <c r="E89" s="37">
        <v>91300000</v>
      </c>
      <c r="F89" s="37">
        <v>77800000</v>
      </c>
      <c r="G89" s="37">
        <v>5783631.6700000167</v>
      </c>
      <c r="H89" s="37">
        <v>10602975.670000017</v>
      </c>
      <c r="I89" s="31">
        <v>0.96646100213979047</v>
      </c>
      <c r="J89" s="31">
        <v>0.93851386142852644</v>
      </c>
    </row>
    <row r="90" spans="1:10" ht="28.8" x14ac:dyDescent="0.3">
      <c r="A90" s="19" t="s">
        <v>1281</v>
      </c>
      <c r="B90" s="38">
        <v>95718309</v>
      </c>
      <c r="C90" s="38">
        <v>172444975.67000002</v>
      </c>
      <c r="D90" s="38">
        <v>161842000</v>
      </c>
      <c r="E90" s="38">
        <v>91300000</v>
      </c>
      <c r="F90" s="38">
        <v>77800000</v>
      </c>
      <c r="G90" s="38">
        <v>5783631.6700000167</v>
      </c>
      <c r="H90" s="38">
        <v>10602975.670000017</v>
      </c>
      <c r="I90" s="27">
        <v>0.96646100213979047</v>
      </c>
      <c r="J90" s="27">
        <v>0.93851386142852644</v>
      </c>
    </row>
    <row r="91" spans="1:10" ht="28.8" x14ac:dyDescent="0.3">
      <c r="A91" s="16" t="s">
        <v>1060</v>
      </c>
      <c r="B91" s="35">
        <v>440304228</v>
      </c>
      <c r="C91" s="35">
        <v>1040304228</v>
      </c>
      <c r="D91" s="35">
        <v>355804077</v>
      </c>
      <c r="E91" s="35">
        <v>239876077</v>
      </c>
      <c r="F91" s="35">
        <v>195076077</v>
      </c>
      <c r="G91" s="35">
        <v>660545151</v>
      </c>
      <c r="H91" s="35">
        <v>684500151</v>
      </c>
      <c r="I91" s="29">
        <v>0.36504617282013008</v>
      </c>
      <c r="J91" s="29">
        <v>0.34201925496740365</v>
      </c>
    </row>
    <row r="92" spans="1:10" ht="28.8" x14ac:dyDescent="0.3">
      <c r="A92" s="17" t="s">
        <v>1127</v>
      </c>
      <c r="B92" s="36">
        <v>440304228</v>
      </c>
      <c r="C92" s="36">
        <v>1040304228</v>
      </c>
      <c r="D92" s="36">
        <v>355804077</v>
      </c>
      <c r="E92" s="36">
        <v>239876077</v>
      </c>
      <c r="F92" s="36">
        <v>195076077</v>
      </c>
      <c r="G92" s="36">
        <v>660545151</v>
      </c>
      <c r="H92" s="36">
        <v>684500151</v>
      </c>
      <c r="I92" s="30">
        <v>0.36504617282013008</v>
      </c>
      <c r="J92" s="30">
        <v>0.34201925496740365</v>
      </c>
    </row>
    <row r="93" spans="1:10" ht="28.8" x14ac:dyDescent="0.3">
      <c r="A93" s="18" t="s">
        <v>1136</v>
      </c>
      <c r="B93" s="37">
        <v>210580286</v>
      </c>
      <c r="C93" s="37">
        <v>210580286</v>
      </c>
      <c r="D93" s="37">
        <v>202100000</v>
      </c>
      <c r="E93" s="37">
        <v>173300000</v>
      </c>
      <c r="F93" s="37">
        <v>134500000</v>
      </c>
      <c r="G93" s="37">
        <v>80286</v>
      </c>
      <c r="H93" s="37">
        <v>8480286</v>
      </c>
      <c r="I93" s="31">
        <v>0.99961873923943667</v>
      </c>
      <c r="J93" s="31">
        <v>0.95972896532204344</v>
      </c>
    </row>
    <row r="94" spans="1:10" ht="43.2" x14ac:dyDescent="0.3">
      <c r="A94" s="19" t="s">
        <v>1282</v>
      </c>
      <c r="B94" s="38">
        <v>210580286</v>
      </c>
      <c r="C94" s="38">
        <v>210580286</v>
      </c>
      <c r="D94" s="38">
        <v>202100000</v>
      </c>
      <c r="E94" s="38">
        <v>173300000</v>
      </c>
      <c r="F94" s="38">
        <v>134500000</v>
      </c>
      <c r="G94" s="38">
        <v>80286</v>
      </c>
      <c r="H94" s="38">
        <v>8480286</v>
      </c>
      <c r="I94" s="27">
        <v>0.99961873923943667</v>
      </c>
      <c r="J94" s="27">
        <v>0.95972896532204344</v>
      </c>
    </row>
    <row r="95" spans="1:10" ht="28.8" x14ac:dyDescent="0.3">
      <c r="A95" s="18" t="s">
        <v>1208</v>
      </c>
      <c r="B95" s="37">
        <v>57430985</v>
      </c>
      <c r="C95" s="37">
        <v>57430985</v>
      </c>
      <c r="D95" s="37">
        <v>57420000</v>
      </c>
      <c r="E95" s="37">
        <v>0</v>
      </c>
      <c r="F95" s="37">
        <v>0</v>
      </c>
      <c r="G95" s="37">
        <v>10985</v>
      </c>
      <c r="H95" s="37">
        <v>10985</v>
      </c>
      <c r="I95" s="31">
        <v>0.99980872694417477</v>
      </c>
      <c r="J95" s="31">
        <v>0.99980872694417477</v>
      </c>
    </row>
    <row r="96" spans="1:10" ht="28.8" x14ac:dyDescent="0.3">
      <c r="A96" s="19" t="s">
        <v>1283</v>
      </c>
      <c r="B96" s="38">
        <v>57430985</v>
      </c>
      <c r="C96" s="38">
        <v>57430985</v>
      </c>
      <c r="D96" s="38">
        <v>57420000</v>
      </c>
      <c r="E96" s="38">
        <v>0</v>
      </c>
      <c r="F96" s="38">
        <v>0</v>
      </c>
      <c r="G96" s="38">
        <v>10985</v>
      </c>
      <c r="H96" s="38">
        <v>10985</v>
      </c>
      <c r="I96" s="27">
        <v>0.99980872694417477</v>
      </c>
      <c r="J96" s="27">
        <v>0.99980872694417477</v>
      </c>
    </row>
    <row r="97" spans="1:10" ht="28.8" x14ac:dyDescent="0.3">
      <c r="A97" s="18" t="s">
        <v>1132</v>
      </c>
      <c r="B97" s="37">
        <v>172292957</v>
      </c>
      <c r="C97" s="37">
        <v>772292957</v>
      </c>
      <c r="D97" s="37">
        <v>96284077</v>
      </c>
      <c r="E97" s="37">
        <v>66576077</v>
      </c>
      <c r="F97" s="37">
        <v>60576077</v>
      </c>
      <c r="G97" s="37">
        <v>660453880</v>
      </c>
      <c r="H97" s="37">
        <v>676008880</v>
      </c>
      <c r="I97" s="31">
        <v>0.14481431688104854</v>
      </c>
      <c r="J97" s="31">
        <v>0.12467299633809815</v>
      </c>
    </row>
    <row r="98" spans="1:10" ht="43.2" x14ac:dyDescent="0.3">
      <c r="A98" s="19" t="s">
        <v>1284</v>
      </c>
      <c r="B98" s="38">
        <v>172292957</v>
      </c>
      <c r="C98" s="38">
        <v>172292957</v>
      </c>
      <c r="D98" s="38">
        <v>96284077</v>
      </c>
      <c r="E98" s="38">
        <v>66576077</v>
      </c>
      <c r="F98" s="38">
        <v>60576077</v>
      </c>
      <c r="G98" s="38">
        <v>60453880</v>
      </c>
      <c r="H98" s="38">
        <v>76008880</v>
      </c>
      <c r="I98" s="27">
        <v>0.64912158307202306</v>
      </c>
      <c r="J98" s="27">
        <v>0.55883930879426491</v>
      </c>
    </row>
    <row r="99" spans="1:10" ht="43.2" x14ac:dyDescent="0.3">
      <c r="A99" s="19" t="s">
        <v>1285</v>
      </c>
      <c r="B99" s="38">
        <v>0</v>
      </c>
      <c r="C99" s="38">
        <v>600000000</v>
      </c>
      <c r="D99" s="38">
        <v>0</v>
      </c>
      <c r="E99" s="38">
        <v>0</v>
      </c>
      <c r="F99" s="38">
        <v>0</v>
      </c>
      <c r="G99" s="38">
        <v>600000000</v>
      </c>
      <c r="H99" s="38">
        <v>600000000</v>
      </c>
      <c r="I99" s="27">
        <v>0</v>
      </c>
      <c r="J99" s="27">
        <v>0</v>
      </c>
    </row>
    <row r="100" spans="1:10" x14ac:dyDescent="0.3">
      <c r="A100" s="20" t="s">
        <v>1221</v>
      </c>
      <c r="B100" s="39">
        <v>42034103776</v>
      </c>
      <c r="C100" s="39">
        <v>61521935382.839996</v>
      </c>
      <c r="D100" s="39">
        <v>49618101063.800003</v>
      </c>
      <c r="E100" s="39">
        <v>44108752647.970001</v>
      </c>
      <c r="F100" s="39">
        <v>22329093690.09</v>
      </c>
      <c r="G100" s="39">
        <v>2983257052.8399963</v>
      </c>
      <c r="H100" s="39">
        <v>11903834319.039993</v>
      </c>
      <c r="I100" s="32">
        <v>0.95150905064550195</v>
      </c>
      <c r="J100" s="32">
        <v>0.80651073076676538</v>
      </c>
    </row>
    <row r="101" spans="1:10" x14ac:dyDescent="0.3">
      <c r="A101" s="16" t="s">
        <v>1055</v>
      </c>
      <c r="B101" s="35">
        <v>8641279223</v>
      </c>
      <c r="C101" s="35">
        <v>4441279223</v>
      </c>
      <c r="D101" s="35">
        <v>925414469</v>
      </c>
      <c r="E101" s="35">
        <v>826649049</v>
      </c>
      <c r="F101" s="35">
        <v>631912701</v>
      </c>
      <c r="G101" s="35">
        <v>1992360816</v>
      </c>
      <c r="H101" s="35">
        <v>3515864754</v>
      </c>
      <c r="I101" s="29">
        <v>0.55139933429940979</v>
      </c>
      <c r="J101" s="29">
        <v>0.20836664900679225</v>
      </c>
    </row>
    <row r="102" spans="1:10" x14ac:dyDescent="0.3">
      <c r="A102" s="17" t="s">
        <v>1056</v>
      </c>
      <c r="B102" s="36">
        <v>7688208082</v>
      </c>
      <c r="C102" s="36">
        <v>2888208082</v>
      </c>
      <c r="D102" s="36">
        <v>378519686</v>
      </c>
      <c r="E102" s="36">
        <v>328934266</v>
      </c>
      <c r="F102" s="36">
        <v>272234266</v>
      </c>
      <c r="G102" s="36">
        <v>993591125</v>
      </c>
      <c r="H102" s="36">
        <v>2509688396</v>
      </c>
      <c r="I102" s="30">
        <v>0.65598353830795764</v>
      </c>
      <c r="J102" s="30">
        <v>0.13105693054424464</v>
      </c>
    </row>
    <row r="103" spans="1:10" x14ac:dyDescent="0.3">
      <c r="A103" s="18" t="s">
        <v>1057</v>
      </c>
      <c r="B103" s="37">
        <v>102872690</v>
      </c>
      <c r="C103" s="37">
        <v>402872690</v>
      </c>
      <c r="D103" s="37">
        <v>0</v>
      </c>
      <c r="E103" s="37">
        <v>0</v>
      </c>
      <c r="F103" s="37">
        <v>0</v>
      </c>
      <c r="G103" s="37">
        <v>0</v>
      </c>
      <c r="H103" s="37">
        <v>402872690</v>
      </c>
      <c r="I103" s="31">
        <v>1</v>
      </c>
      <c r="J103" s="31">
        <v>0</v>
      </c>
    </row>
    <row r="104" spans="1:10" ht="43.2" x14ac:dyDescent="0.3">
      <c r="A104" s="19" t="s">
        <v>1286</v>
      </c>
      <c r="B104" s="38">
        <v>102872690</v>
      </c>
      <c r="C104" s="38">
        <v>402872690</v>
      </c>
      <c r="D104" s="38">
        <v>0</v>
      </c>
      <c r="E104" s="38">
        <v>0</v>
      </c>
      <c r="F104" s="38">
        <v>0</v>
      </c>
      <c r="G104" s="38">
        <v>0</v>
      </c>
      <c r="H104" s="38">
        <v>402872690</v>
      </c>
      <c r="I104" s="27">
        <v>1</v>
      </c>
      <c r="J104" s="27">
        <v>0</v>
      </c>
    </row>
    <row r="105" spans="1:10" x14ac:dyDescent="0.3">
      <c r="A105" s="18" t="s">
        <v>1117</v>
      </c>
      <c r="B105" s="37">
        <v>476577126</v>
      </c>
      <c r="C105" s="37">
        <v>276577126</v>
      </c>
      <c r="D105" s="37">
        <v>34320000</v>
      </c>
      <c r="E105" s="37">
        <v>34320000</v>
      </c>
      <c r="F105" s="37">
        <v>34320000</v>
      </c>
      <c r="G105" s="37">
        <v>230257126</v>
      </c>
      <c r="H105" s="37">
        <v>242257126</v>
      </c>
      <c r="I105" s="31">
        <v>0.16747588880506337</v>
      </c>
      <c r="J105" s="31">
        <v>0.12408835284520239</v>
      </c>
    </row>
    <row r="106" spans="1:10" ht="43.2" x14ac:dyDescent="0.3">
      <c r="A106" s="19" t="s">
        <v>1287</v>
      </c>
      <c r="B106" s="38">
        <v>476577126</v>
      </c>
      <c r="C106" s="38">
        <v>276577126</v>
      </c>
      <c r="D106" s="38">
        <v>34320000</v>
      </c>
      <c r="E106" s="38">
        <v>34320000</v>
      </c>
      <c r="F106" s="38">
        <v>34320000</v>
      </c>
      <c r="G106" s="38">
        <v>230257126</v>
      </c>
      <c r="H106" s="38">
        <v>242257126</v>
      </c>
      <c r="I106" s="27">
        <v>0.16747588880506337</v>
      </c>
      <c r="J106" s="27">
        <v>0.12408835284520239</v>
      </c>
    </row>
    <row r="107" spans="1:10" x14ac:dyDescent="0.3">
      <c r="A107" s="18" t="s">
        <v>1108</v>
      </c>
      <c r="B107" s="37">
        <v>4902189566</v>
      </c>
      <c r="C107" s="37">
        <v>702189566</v>
      </c>
      <c r="D107" s="37">
        <v>47208000</v>
      </c>
      <c r="E107" s="37">
        <v>47148000</v>
      </c>
      <c r="F107" s="37">
        <v>47148000</v>
      </c>
      <c r="G107" s="37">
        <v>5566</v>
      </c>
      <c r="H107" s="37">
        <v>654981566</v>
      </c>
      <c r="I107" s="31">
        <v>0.99999207336555607</v>
      </c>
      <c r="J107" s="31">
        <v>6.7229708736515181E-2</v>
      </c>
    </row>
    <row r="108" spans="1:10" ht="43.2" x14ac:dyDescent="0.3">
      <c r="A108" s="19" t="s">
        <v>1288</v>
      </c>
      <c r="B108" s="38">
        <v>4902189566</v>
      </c>
      <c r="C108" s="38">
        <v>702189566</v>
      </c>
      <c r="D108" s="38">
        <v>47208000</v>
      </c>
      <c r="E108" s="38">
        <v>47148000</v>
      </c>
      <c r="F108" s="38">
        <v>47148000</v>
      </c>
      <c r="G108" s="38">
        <v>5566</v>
      </c>
      <c r="H108" s="38">
        <v>654981566</v>
      </c>
      <c r="I108" s="27">
        <v>0.99999207336555607</v>
      </c>
      <c r="J108" s="27">
        <v>6.7229708736515181E-2</v>
      </c>
    </row>
    <row r="109" spans="1:10" x14ac:dyDescent="0.3">
      <c r="A109" s="18" t="s">
        <v>1120</v>
      </c>
      <c r="B109" s="37">
        <v>402189566</v>
      </c>
      <c r="C109" s="37">
        <v>402189566</v>
      </c>
      <c r="D109" s="37">
        <v>41808000</v>
      </c>
      <c r="E109" s="37">
        <v>41808000</v>
      </c>
      <c r="F109" s="37">
        <v>41808000</v>
      </c>
      <c r="G109" s="37">
        <v>160381566</v>
      </c>
      <c r="H109" s="37">
        <v>360381566</v>
      </c>
      <c r="I109" s="31">
        <v>0.60122892397462147</v>
      </c>
      <c r="J109" s="31">
        <v>0.10395098116493653</v>
      </c>
    </row>
    <row r="110" spans="1:10" ht="28.8" x14ac:dyDescent="0.3">
      <c r="A110" s="19" t="s">
        <v>1289</v>
      </c>
      <c r="B110" s="38">
        <v>402189566</v>
      </c>
      <c r="C110" s="38">
        <v>402189566</v>
      </c>
      <c r="D110" s="38">
        <v>41808000</v>
      </c>
      <c r="E110" s="38">
        <v>41808000</v>
      </c>
      <c r="F110" s="38">
        <v>41808000</v>
      </c>
      <c r="G110" s="38">
        <v>160381566</v>
      </c>
      <c r="H110" s="38">
        <v>360381566</v>
      </c>
      <c r="I110" s="27">
        <v>0.60122892397462147</v>
      </c>
      <c r="J110" s="27">
        <v>0.10395098116493653</v>
      </c>
    </row>
    <row r="111" spans="1:10" x14ac:dyDescent="0.3">
      <c r="A111" s="18" t="s">
        <v>1118</v>
      </c>
      <c r="B111" s="37">
        <v>902189567</v>
      </c>
      <c r="C111" s="37">
        <v>702189567</v>
      </c>
      <c r="D111" s="37">
        <v>142257820</v>
      </c>
      <c r="E111" s="37">
        <v>92732400</v>
      </c>
      <c r="F111" s="37">
        <v>92732400</v>
      </c>
      <c r="G111" s="37">
        <v>509343167</v>
      </c>
      <c r="H111" s="37">
        <v>559931747</v>
      </c>
      <c r="I111" s="31">
        <v>0.27463580927855058</v>
      </c>
      <c r="J111" s="31">
        <v>0.20259175966936574</v>
      </c>
    </row>
    <row r="112" spans="1:10" ht="43.2" x14ac:dyDescent="0.3">
      <c r="A112" s="19" t="s">
        <v>1290</v>
      </c>
      <c r="B112" s="38">
        <v>902189567</v>
      </c>
      <c r="C112" s="38">
        <v>702189567</v>
      </c>
      <c r="D112" s="38">
        <v>142257820</v>
      </c>
      <c r="E112" s="38">
        <v>92732400</v>
      </c>
      <c r="F112" s="38">
        <v>92732400</v>
      </c>
      <c r="G112" s="38">
        <v>509343167</v>
      </c>
      <c r="H112" s="38">
        <v>559931747</v>
      </c>
      <c r="I112" s="27">
        <v>0.27463580927855058</v>
      </c>
      <c r="J112" s="27">
        <v>0.20259175966936574</v>
      </c>
    </row>
    <row r="113" spans="1:10" x14ac:dyDescent="0.3">
      <c r="A113" s="18" t="s">
        <v>1122</v>
      </c>
      <c r="B113" s="37">
        <v>902189567</v>
      </c>
      <c r="C113" s="37">
        <v>402189567</v>
      </c>
      <c r="D113" s="37">
        <v>112925866</v>
      </c>
      <c r="E113" s="37">
        <v>112925866</v>
      </c>
      <c r="F113" s="37">
        <v>56225866</v>
      </c>
      <c r="G113" s="37">
        <v>93603700</v>
      </c>
      <c r="H113" s="37">
        <v>289263701</v>
      </c>
      <c r="I113" s="31">
        <v>0.7672647237017961</v>
      </c>
      <c r="J113" s="31">
        <v>0.28077771097428789</v>
      </c>
    </row>
    <row r="114" spans="1:10" ht="43.2" x14ac:dyDescent="0.3">
      <c r="A114" s="19" t="s">
        <v>1291</v>
      </c>
      <c r="B114" s="38">
        <v>902189567</v>
      </c>
      <c r="C114" s="38">
        <v>402189567</v>
      </c>
      <c r="D114" s="38">
        <v>112925866</v>
      </c>
      <c r="E114" s="38">
        <v>112925866</v>
      </c>
      <c r="F114" s="38">
        <v>56225866</v>
      </c>
      <c r="G114" s="38">
        <v>93603700</v>
      </c>
      <c r="H114" s="38">
        <v>289263701</v>
      </c>
      <c r="I114" s="27">
        <v>0.7672647237017961</v>
      </c>
      <c r="J114" s="27">
        <v>0.28077771097428789</v>
      </c>
    </row>
    <row r="115" spans="1:10" x14ac:dyDescent="0.3">
      <c r="A115" s="17" t="s">
        <v>1109</v>
      </c>
      <c r="B115" s="36">
        <v>953071141</v>
      </c>
      <c r="C115" s="36">
        <v>1553071141</v>
      </c>
      <c r="D115" s="36">
        <v>546894783</v>
      </c>
      <c r="E115" s="36">
        <v>497714783</v>
      </c>
      <c r="F115" s="36">
        <v>359678435</v>
      </c>
      <c r="G115" s="36">
        <v>998769691</v>
      </c>
      <c r="H115" s="36">
        <v>1006176358</v>
      </c>
      <c r="I115" s="30">
        <v>0.35690667051033692</v>
      </c>
      <c r="J115" s="30">
        <v>0.35213762496923506</v>
      </c>
    </row>
    <row r="116" spans="1:10" x14ac:dyDescent="0.3">
      <c r="A116" s="18" t="s">
        <v>1110</v>
      </c>
      <c r="B116" s="37">
        <v>451094783</v>
      </c>
      <c r="C116" s="37">
        <v>1251094783</v>
      </c>
      <c r="D116" s="37">
        <v>244994783</v>
      </c>
      <c r="E116" s="37">
        <v>244994783</v>
      </c>
      <c r="F116" s="37">
        <v>106958435</v>
      </c>
      <c r="G116" s="37">
        <v>998693333</v>
      </c>
      <c r="H116" s="37">
        <v>1006100000</v>
      </c>
      <c r="I116" s="31">
        <v>0.20174446686986144</v>
      </c>
      <c r="J116" s="31">
        <v>0.19582431829227762</v>
      </c>
    </row>
    <row r="117" spans="1:10" ht="43.2" x14ac:dyDescent="0.3">
      <c r="A117" s="19" t="s">
        <v>1292</v>
      </c>
      <c r="B117" s="38">
        <v>451094783</v>
      </c>
      <c r="C117" s="38">
        <v>251094783</v>
      </c>
      <c r="D117" s="38">
        <v>244994783</v>
      </c>
      <c r="E117" s="38">
        <v>244994783</v>
      </c>
      <c r="F117" s="38">
        <v>106958435</v>
      </c>
      <c r="G117" s="38">
        <v>4900000</v>
      </c>
      <c r="H117" s="38">
        <v>6100000</v>
      </c>
      <c r="I117" s="27">
        <v>0.98048545676076437</v>
      </c>
      <c r="J117" s="27">
        <v>0.97570638494707396</v>
      </c>
    </row>
    <row r="118" spans="1:10" ht="43.2" x14ac:dyDescent="0.3">
      <c r="A118" s="19" t="s">
        <v>1293</v>
      </c>
      <c r="B118" s="38">
        <v>0</v>
      </c>
      <c r="C118" s="38">
        <v>1000000000</v>
      </c>
      <c r="D118" s="38">
        <v>0</v>
      </c>
      <c r="E118" s="38">
        <v>0</v>
      </c>
      <c r="F118" s="38">
        <v>0</v>
      </c>
      <c r="G118" s="38">
        <v>993793333</v>
      </c>
      <c r="H118" s="38">
        <v>1000000000</v>
      </c>
      <c r="I118" s="27">
        <v>6.2066669999999999E-3</v>
      </c>
      <c r="J118" s="27">
        <v>0</v>
      </c>
    </row>
    <row r="119" spans="1:10" x14ac:dyDescent="0.3">
      <c r="A119" s="18" t="s">
        <v>1119</v>
      </c>
      <c r="B119" s="37">
        <v>501976358</v>
      </c>
      <c r="C119" s="37">
        <v>301976358</v>
      </c>
      <c r="D119" s="37">
        <v>301900000</v>
      </c>
      <c r="E119" s="37">
        <v>252720000</v>
      </c>
      <c r="F119" s="37">
        <v>252720000</v>
      </c>
      <c r="G119" s="37">
        <v>76358</v>
      </c>
      <c r="H119" s="37">
        <v>76358</v>
      </c>
      <c r="I119" s="31">
        <v>0.99974713914524393</v>
      </c>
      <c r="J119" s="31">
        <v>0.99974713914524393</v>
      </c>
    </row>
    <row r="120" spans="1:10" ht="43.2" x14ac:dyDescent="0.3">
      <c r="A120" s="19" t="s">
        <v>1294</v>
      </c>
      <c r="B120" s="38">
        <v>501976358</v>
      </c>
      <c r="C120" s="38">
        <v>301976358</v>
      </c>
      <c r="D120" s="38">
        <v>301900000</v>
      </c>
      <c r="E120" s="38">
        <v>252720000</v>
      </c>
      <c r="F120" s="38">
        <v>252720000</v>
      </c>
      <c r="G120" s="38">
        <v>76358</v>
      </c>
      <c r="H120" s="38">
        <v>76358</v>
      </c>
      <c r="I120" s="27">
        <v>0.99974713914524393</v>
      </c>
      <c r="J120" s="27">
        <v>0.99974713914524393</v>
      </c>
    </row>
    <row r="121" spans="1:10" x14ac:dyDescent="0.3">
      <c r="A121" s="16" t="s">
        <v>1018</v>
      </c>
      <c r="B121" s="35">
        <v>32892824553</v>
      </c>
      <c r="C121" s="35">
        <v>56080656159.839996</v>
      </c>
      <c r="D121" s="35">
        <v>48564789474.800003</v>
      </c>
      <c r="E121" s="35">
        <v>43197431478.970001</v>
      </c>
      <c r="F121" s="35">
        <v>21655733869.09</v>
      </c>
      <c r="G121" s="35">
        <v>552543356.83999634</v>
      </c>
      <c r="H121" s="35">
        <v>7515866685.0399933</v>
      </c>
      <c r="I121" s="29">
        <v>0.99014734500849721</v>
      </c>
      <c r="J121" s="29">
        <v>0.86598112076972822</v>
      </c>
    </row>
    <row r="122" spans="1:10" x14ac:dyDescent="0.3">
      <c r="A122" s="17" t="s">
        <v>1187</v>
      </c>
      <c r="B122" s="36">
        <v>0</v>
      </c>
      <c r="C122" s="36">
        <v>0</v>
      </c>
      <c r="D122" s="36">
        <v>0</v>
      </c>
      <c r="E122" s="36">
        <v>0</v>
      </c>
      <c r="F122" s="36">
        <v>0</v>
      </c>
      <c r="G122" s="36">
        <v>0</v>
      </c>
      <c r="H122" s="36">
        <v>0</v>
      </c>
      <c r="I122" s="30" t="e">
        <v>#DIV/0!</v>
      </c>
      <c r="J122" s="30" t="e">
        <v>#DIV/0!</v>
      </c>
    </row>
    <row r="123" spans="1:10" ht="28.8" x14ac:dyDescent="0.3">
      <c r="A123" s="18" t="s">
        <v>1194</v>
      </c>
      <c r="B123" s="37">
        <v>0</v>
      </c>
      <c r="C123" s="37">
        <v>0</v>
      </c>
      <c r="D123" s="37">
        <v>0</v>
      </c>
      <c r="E123" s="37">
        <v>0</v>
      </c>
      <c r="F123" s="37">
        <v>0</v>
      </c>
      <c r="G123" s="37">
        <v>0</v>
      </c>
      <c r="H123" s="37">
        <v>0</v>
      </c>
      <c r="I123" s="31" t="e">
        <v>#DIV/0!</v>
      </c>
      <c r="J123" s="31" t="e">
        <v>#DIV/0!</v>
      </c>
    </row>
    <row r="124" spans="1:10" ht="28.8" x14ac:dyDescent="0.3">
      <c r="A124" s="19" t="s">
        <v>1295</v>
      </c>
      <c r="B124" s="38">
        <v>0</v>
      </c>
      <c r="C124" s="38">
        <v>0</v>
      </c>
      <c r="D124" s="38">
        <v>0</v>
      </c>
      <c r="E124" s="38">
        <v>0</v>
      </c>
      <c r="F124" s="38">
        <v>0</v>
      </c>
      <c r="G124" s="38">
        <v>0</v>
      </c>
      <c r="H124" s="38">
        <v>0</v>
      </c>
      <c r="I124" s="27" t="e">
        <v>#DIV/0!</v>
      </c>
      <c r="J124" s="27" t="e">
        <v>#DIV/0!</v>
      </c>
    </row>
    <row r="125" spans="1:10" x14ac:dyDescent="0.3">
      <c r="A125" s="17" t="s">
        <v>1205</v>
      </c>
      <c r="B125" s="36">
        <v>32892824553</v>
      </c>
      <c r="C125" s="36">
        <v>56080656159.839996</v>
      </c>
      <c r="D125" s="36">
        <v>48564789474.800003</v>
      </c>
      <c r="E125" s="36">
        <v>43197431478.970001</v>
      </c>
      <c r="F125" s="36">
        <v>21655733869.09</v>
      </c>
      <c r="G125" s="36">
        <v>552543356.83999634</v>
      </c>
      <c r="H125" s="36">
        <v>7515866685.0399933</v>
      </c>
      <c r="I125" s="30">
        <v>0.99014734500849721</v>
      </c>
      <c r="J125" s="30">
        <v>0.86598112076972822</v>
      </c>
    </row>
    <row r="126" spans="1:10" x14ac:dyDescent="0.3">
      <c r="A126" s="18" t="s">
        <v>1215</v>
      </c>
      <c r="B126" s="37">
        <v>12892824553</v>
      </c>
      <c r="C126" s="37">
        <v>27470705877.84</v>
      </c>
      <c r="D126" s="37">
        <v>19956250368.799999</v>
      </c>
      <c r="E126" s="37">
        <v>15568179955.040001</v>
      </c>
      <c r="F126" s="37">
        <v>15336084700</v>
      </c>
      <c r="G126" s="37">
        <v>552543356.84000015</v>
      </c>
      <c r="H126" s="37">
        <v>7514455509.0400009</v>
      </c>
      <c r="I126" s="31">
        <v>0.97988608813704625</v>
      </c>
      <c r="J126" s="31">
        <v>0.72645568182862952</v>
      </c>
    </row>
    <row r="127" spans="1:10" ht="43.2" x14ac:dyDescent="0.3">
      <c r="A127" s="19" t="s">
        <v>1296</v>
      </c>
      <c r="B127" s="38">
        <v>12892824553</v>
      </c>
      <c r="C127" s="38">
        <v>23630414947.529999</v>
      </c>
      <c r="D127" s="38">
        <v>17581232908</v>
      </c>
      <c r="E127" s="38">
        <v>13477554990.040001</v>
      </c>
      <c r="F127" s="38">
        <v>13410976110</v>
      </c>
      <c r="G127" s="38">
        <v>243513171.52999878</v>
      </c>
      <c r="H127" s="38">
        <v>6049182039.5299988</v>
      </c>
      <c r="I127" s="27">
        <v>0.98969492613351451</v>
      </c>
      <c r="J127" s="27">
        <v>0.74400864085705365</v>
      </c>
    </row>
    <row r="128" spans="1:10" ht="43.2" x14ac:dyDescent="0.3">
      <c r="A128" s="19" t="s">
        <v>1297</v>
      </c>
      <c r="B128" s="38">
        <v>0</v>
      </c>
      <c r="C128" s="38">
        <v>3840290930.3099999</v>
      </c>
      <c r="D128" s="38">
        <v>2375017460.8000002</v>
      </c>
      <c r="E128" s="38">
        <v>2090624965</v>
      </c>
      <c r="F128" s="38">
        <v>1925108590</v>
      </c>
      <c r="G128" s="38">
        <v>309030185.30999994</v>
      </c>
      <c r="H128" s="38">
        <v>1465273469.5099998</v>
      </c>
      <c r="I128" s="27">
        <v>0.91952948593791717</v>
      </c>
      <c r="J128" s="27">
        <v>0.61844727493296492</v>
      </c>
    </row>
    <row r="129" spans="1:10" x14ac:dyDescent="0.3">
      <c r="A129" s="18" t="s">
        <v>1206</v>
      </c>
      <c r="B129" s="37">
        <v>20000000000</v>
      </c>
      <c r="C129" s="37">
        <v>28609950282</v>
      </c>
      <c r="D129" s="37">
        <v>28608539106</v>
      </c>
      <c r="E129" s="37">
        <v>27629251523.93</v>
      </c>
      <c r="F129" s="37">
        <v>6319649169.0900002</v>
      </c>
      <c r="G129" s="37">
        <v>0</v>
      </c>
      <c r="H129" s="37">
        <v>1411176</v>
      </c>
      <c r="I129" s="31">
        <v>1</v>
      </c>
      <c r="J129" s="31">
        <v>0.99995067534245641</v>
      </c>
    </row>
    <row r="130" spans="1:10" ht="28.8" x14ac:dyDescent="0.3">
      <c r="A130" s="19" t="s">
        <v>1298</v>
      </c>
      <c r="B130" s="38">
        <v>20000000000</v>
      </c>
      <c r="C130" s="38">
        <v>28609950282</v>
      </c>
      <c r="D130" s="38">
        <v>28608539106</v>
      </c>
      <c r="E130" s="38">
        <v>27629251523.93</v>
      </c>
      <c r="F130" s="38">
        <v>6319649169.0900002</v>
      </c>
      <c r="G130" s="38">
        <v>0</v>
      </c>
      <c r="H130" s="38">
        <v>1411176</v>
      </c>
      <c r="I130" s="27">
        <v>1</v>
      </c>
      <c r="J130" s="27">
        <v>0.99995067534245641</v>
      </c>
    </row>
    <row r="131" spans="1:10" ht="28.8" x14ac:dyDescent="0.3">
      <c r="A131" s="16" t="s">
        <v>1060</v>
      </c>
      <c r="B131" s="35">
        <v>500000000</v>
      </c>
      <c r="C131" s="35">
        <v>1000000000</v>
      </c>
      <c r="D131" s="35">
        <v>127897120</v>
      </c>
      <c r="E131" s="35">
        <v>84672120</v>
      </c>
      <c r="F131" s="35">
        <v>41447120</v>
      </c>
      <c r="G131" s="35">
        <v>438352880</v>
      </c>
      <c r="H131" s="35">
        <v>872102880</v>
      </c>
      <c r="I131" s="29">
        <v>0.56164712000000006</v>
      </c>
      <c r="J131" s="29">
        <v>0.12789712</v>
      </c>
    </row>
    <row r="132" spans="1:10" ht="28.8" x14ac:dyDescent="0.3">
      <c r="A132" s="17" t="s">
        <v>1127</v>
      </c>
      <c r="B132" s="36">
        <v>500000000</v>
      </c>
      <c r="C132" s="36">
        <v>1000000000</v>
      </c>
      <c r="D132" s="36">
        <v>127897120</v>
      </c>
      <c r="E132" s="36">
        <v>84672120</v>
      </c>
      <c r="F132" s="36">
        <v>41447120</v>
      </c>
      <c r="G132" s="36">
        <v>438352880</v>
      </c>
      <c r="H132" s="36">
        <v>872102880</v>
      </c>
      <c r="I132" s="30">
        <v>0.56164712000000006</v>
      </c>
      <c r="J132" s="30">
        <v>0.12789712</v>
      </c>
    </row>
    <row r="133" spans="1:10" ht="28.8" x14ac:dyDescent="0.3">
      <c r="A133" s="18" t="s">
        <v>1160</v>
      </c>
      <c r="B133" s="37">
        <v>400000000</v>
      </c>
      <c r="C133" s="37">
        <v>700000000</v>
      </c>
      <c r="D133" s="37">
        <v>0</v>
      </c>
      <c r="E133" s="37">
        <v>0</v>
      </c>
      <c r="F133" s="37">
        <v>0</v>
      </c>
      <c r="G133" s="37">
        <v>291000000</v>
      </c>
      <c r="H133" s="37">
        <v>700000000</v>
      </c>
      <c r="I133" s="31">
        <v>0.5842857142857143</v>
      </c>
      <c r="J133" s="31">
        <v>0</v>
      </c>
    </row>
    <row r="134" spans="1:10" ht="43.2" x14ac:dyDescent="0.3">
      <c r="A134" s="19" t="s">
        <v>1299</v>
      </c>
      <c r="B134" s="38">
        <v>400000000</v>
      </c>
      <c r="C134" s="38">
        <v>700000000</v>
      </c>
      <c r="D134" s="38">
        <v>0</v>
      </c>
      <c r="E134" s="38">
        <v>0</v>
      </c>
      <c r="F134" s="38">
        <v>0</v>
      </c>
      <c r="G134" s="38">
        <v>291000000</v>
      </c>
      <c r="H134" s="38">
        <v>700000000</v>
      </c>
      <c r="I134" s="27">
        <v>0.5842857142857143</v>
      </c>
      <c r="J134" s="27">
        <v>0</v>
      </c>
    </row>
    <row r="135" spans="1:10" ht="28.8" x14ac:dyDescent="0.3">
      <c r="A135" s="18" t="s">
        <v>1132</v>
      </c>
      <c r="B135" s="37">
        <v>100000000</v>
      </c>
      <c r="C135" s="37">
        <v>300000000</v>
      </c>
      <c r="D135" s="37">
        <v>127897120</v>
      </c>
      <c r="E135" s="37">
        <v>84672120</v>
      </c>
      <c r="F135" s="37">
        <v>41447120</v>
      </c>
      <c r="G135" s="37">
        <v>147352880</v>
      </c>
      <c r="H135" s="37">
        <v>172102880</v>
      </c>
      <c r="I135" s="31">
        <v>0.50882373333333331</v>
      </c>
      <c r="J135" s="31">
        <v>0.42632373333333334</v>
      </c>
    </row>
    <row r="136" spans="1:10" ht="28.8" x14ac:dyDescent="0.3">
      <c r="A136" s="19" t="s">
        <v>1300</v>
      </c>
      <c r="B136" s="38">
        <v>100000000</v>
      </c>
      <c r="C136" s="38">
        <v>300000000</v>
      </c>
      <c r="D136" s="38">
        <v>127897120</v>
      </c>
      <c r="E136" s="38">
        <v>84672120</v>
      </c>
      <c r="F136" s="38">
        <v>41447120</v>
      </c>
      <c r="G136" s="38">
        <v>147352880</v>
      </c>
      <c r="H136" s="38">
        <v>172102880</v>
      </c>
      <c r="I136" s="27">
        <v>0.50882373333333331</v>
      </c>
      <c r="J136" s="27">
        <v>0.42632373333333334</v>
      </c>
    </row>
    <row r="137" spans="1:10" x14ac:dyDescent="0.3">
      <c r="A137" s="20" t="s">
        <v>1222</v>
      </c>
      <c r="B137" s="39">
        <v>12614180235.58</v>
      </c>
      <c r="C137" s="39">
        <v>15903154206.6</v>
      </c>
      <c r="D137" s="39">
        <v>4541557790</v>
      </c>
      <c r="E137" s="39">
        <v>2499271323</v>
      </c>
      <c r="F137" s="39">
        <v>1040466571</v>
      </c>
      <c r="G137" s="39">
        <v>11154847120.6</v>
      </c>
      <c r="H137" s="39">
        <v>11361596416.6</v>
      </c>
      <c r="I137" s="32">
        <v>0.29857643485777152</v>
      </c>
      <c r="J137" s="32">
        <v>0.28557591349489642</v>
      </c>
    </row>
    <row r="138" spans="1:10" x14ac:dyDescent="0.3">
      <c r="A138" s="16" t="s">
        <v>1018</v>
      </c>
      <c r="B138" s="35">
        <v>12614180235.58</v>
      </c>
      <c r="C138" s="35">
        <v>15903154206.6</v>
      </c>
      <c r="D138" s="35">
        <v>4541557790</v>
      </c>
      <c r="E138" s="35">
        <v>2499271323</v>
      </c>
      <c r="F138" s="35">
        <v>1040466571</v>
      </c>
      <c r="G138" s="35">
        <v>11154847120.6</v>
      </c>
      <c r="H138" s="35">
        <v>11361596416.6</v>
      </c>
      <c r="I138" s="29">
        <v>0.29857643485777152</v>
      </c>
      <c r="J138" s="29">
        <v>0.28557591349489642</v>
      </c>
    </row>
    <row r="139" spans="1:10" x14ac:dyDescent="0.3">
      <c r="A139" s="17" t="s">
        <v>1019</v>
      </c>
      <c r="B139" s="36">
        <v>12614180235.58</v>
      </c>
      <c r="C139" s="36">
        <v>15903154206.6</v>
      </c>
      <c r="D139" s="36">
        <v>4541557790</v>
      </c>
      <c r="E139" s="36">
        <v>2499271323</v>
      </c>
      <c r="F139" s="36">
        <v>1040466571</v>
      </c>
      <c r="G139" s="36">
        <v>11154847120.6</v>
      </c>
      <c r="H139" s="36">
        <v>11361596416.6</v>
      </c>
      <c r="I139" s="30">
        <v>0.29857643485777152</v>
      </c>
      <c r="J139" s="30">
        <v>0.28557591349489642</v>
      </c>
    </row>
    <row r="140" spans="1:10" ht="28.8" x14ac:dyDescent="0.3">
      <c r="A140" s="18" t="s">
        <v>1020</v>
      </c>
      <c r="B140" s="37">
        <v>12614180235.58</v>
      </c>
      <c r="C140" s="37">
        <v>15903154206.6</v>
      </c>
      <c r="D140" s="37">
        <v>4541557790</v>
      </c>
      <c r="E140" s="37">
        <v>2499271323</v>
      </c>
      <c r="F140" s="37">
        <v>1040466571</v>
      </c>
      <c r="G140" s="37">
        <v>11154847120.6</v>
      </c>
      <c r="H140" s="37">
        <v>11361596416.6</v>
      </c>
      <c r="I140" s="31">
        <v>0.29857643485777152</v>
      </c>
      <c r="J140" s="31">
        <v>0.28557591349489642</v>
      </c>
    </row>
    <row r="141" spans="1:10" ht="28.8" x14ac:dyDescent="0.3">
      <c r="A141" s="19" t="s">
        <v>1301</v>
      </c>
      <c r="B141" s="38">
        <v>1300000000</v>
      </c>
      <c r="C141" s="38">
        <v>4583301428.6300001</v>
      </c>
      <c r="D141" s="38">
        <v>1040466571</v>
      </c>
      <c r="E141" s="38">
        <v>1040466571</v>
      </c>
      <c r="F141" s="38">
        <v>1040466571</v>
      </c>
      <c r="G141" s="38">
        <v>3338301428.6300001</v>
      </c>
      <c r="H141" s="38">
        <v>3542834857.6300001</v>
      </c>
      <c r="I141" s="27">
        <v>0.27163825451736529</v>
      </c>
      <c r="J141" s="27">
        <v>0.22701246845791834</v>
      </c>
    </row>
    <row r="142" spans="1:10" x14ac:dyDescent="0.3">
      <c r="A142" s="19" t="s">
        <v>1302</v>
      </c>
      <c r="B142" s="38">
        <v>0</v>
      </c>
      <c r="C142" s="38">
        <v>5672542.3899999997</v>
      </c>
      <c r="D142" s="38">
        <v>0</v>
      </c>
      <c r="E142" s="38">
        <v>0</v>
      </c>
      <c r="F142" s="38">
        <v>0</v>
      </c>
      <c r="G142" s="38">
        <v>5672542.3899999997</v>
      </c>
      <c r="H142" s="38">
        <v>5672542.3899999997</v>
      </c>
      <c r="I142" s="27">
        <v>0</v>
      </c>
      <c r="J142" s="27">
        <v>0</v>
      </c>
    </row>
    <row r="143" spans="1:10" ht="57.6" x14ac:dyDescent="0.3">
      <c r="A143" s="19" t="s">
        <v>1303</v>
      </c>
      <c r="B143" s="38">
        <v>200000000</v>
      </c>
      <c r="C143" s="38">
        <v>0</v>
      </c>
      <c r="D143" s="38">
        <v>0</v>
      </c>
      <c r="E143" s="38">
        <v>0</v>
      </c>
      <c r="F143" s="38">
        <v>0</v>
      </c>
      <c r="G143" s="38">
        <v>0</v>
      </c>
      <c r="H143" s="38">
        <v>0</v>
      </c>
      <c r="I143" s="27" t="e">
        <v>#DIV/0!</v>
      </c>
      <c r="J143" s="27" t="e">
        <v>#DIV/0!</v>
      </c>
    </row>
    <row r="144" spans="1:10" ht="43.2" x14ac:dyDescent="0.3">
      <c r="A144" s="19" t="s">
        <v>1304</v>
      </c>
      <c r="B144" s="38">
        <v>200000000</v>
      </c>
      <c r="C144" s="38">
        <v>0</v>
      </c>
      <c r="D144" s="38">
        <v>0</v>
      </c>
      <c r="E144" s="38">
        <v>0</v>
      </c>
      <c r="F144" s="38">
        <v>0</v>
      </c>
      <c r="G144" s="38">
        <v>0</v>
      </c>
      <c r="H144" s="38">
        <v>0</v>
      </c>
      <c r="I144" s="27" t="e">
        <v>#DIV/0!</v>
      </c>
      <c r="J144" s="27" t="e">
        <v>#DIV/0!</v>
      </c>
    </row>
    <row r="145" spans="1:10" ht="43.2" x14ac:dyDescent="0.3">
      <c r="A145" s="19" t="s">
        <v>1305</v>
      </c>
      <c r="B145" s="38">
        <v>300000000</v>
      </c>
      <c r="C145" s="38">
        <v>0</v>
      </c>
      <c r="D145" s="38">
        <v>0</v>
      </c>
      <c r="E145" s="38">
        <v>0</v>
      </c>
      <c r="F145" s="38">
        <v>0</v>
      </c>
      <c r="G145" s="38">
        <v>0</v>
      </c>
      <c r="H145" s="38">
        <v>0</v>
      </c>
      <c r="I145" s="27" t="e">
        <v>#DIV/0!</v>
      </c>
      <c r="J145" s="27" t="e">
        <v>#DIV/0!</v>
      </c>
    </row>
    <row r="146" spans="1:10" ht="28.8" x14ac:dyDescent="0.3">
      <c r="A146" s="19" t="s">
        <v>1306</v>
      </c>
      <c r="B146" s="38">
        <v>250000000</v>
      </c>
      <c r="C146" s="38">
        <v>0</v>
      </c>
      <c r="D146" s="38">
        <v>0</v>
      </c>
      <c r="E146" s="38">
        <v>0</v>
      </c>
      <c r="F146" s="38">
        <v>0</v>
      </c>
      <c r="G146" s="38">
        <v>0</v>
      </c>
      <c r="H146" s="38">
        <v>0</v>
      </c>
      <c r="I146" s="27" t="e">
        <v>#DIV/0!</v>
      </c>
      <c r="J146" s="27" t="e">
        <v>#DIV/0!</v>
      </c>
    </row>
    <row r="147" spans="1:10" ht="43.2" x14ac:dyDescent="0.3">
      <c r="A147" s="19" t="s">
        <v>1307</v>
      </c>
      <c r="B147" s="38">
        <v>1000000000</v>
      </c>
      <c r="C147" s="38">
        <v>0</v>
      </c>
      <c r="D147" s="38">
        <v>0</v>
      </c>
      <c r="E147" s="38">
        <v>0</v>
      </c>
      <c r="F147" s="38">
        <v>0</v>
      </c>
      <c r="G147" s="38">
        <v>0</v>
      </c>
      <c r="H147" s="38">
        <v>0</v>
      </c>
      <c r="I147" s="27" t="e">
        <v>#DIV/0!</v>
      </c>
      <c r="J147" s="27" t="e">
        <v>#DIV/0!</v>
      </c>
    </row>
    <row r="148" spans="1:10" ht="43.2" x14ac:dyDescent="0.3">
      <c r="A148" s="19" t="s">
        <v>1308</v>
      </c>
      <c r="B148" s="38">
        <v>200000000</v>
      </c>
      <c r="C148" s="38">
        <v>0</v>
      </c>
      <c r="D148" s="38">
        <v>0</v>
      </c>
      <c r="E148" s="38">
        <v>0</v>
      </c>
      <c r="F148" s="38">
        <v>0</v>
      </c>
      <c r="G148" s="38">
        <v>0</v>
      </c>
      <c r="H148" s="38">
        <v>0</v>
      </c>
      <c r="I148" s="27" t="e">
        <v>#DIV/0!</v>
      </c>
      <c r="J148" s="27" t="e">
        <v>#DIV/0!</v>
      </c>
    </row>
    <row r="149" spans="1:10" ht="43.2" x14ac:dyDescent="0.3">
      <c r="A149" s="19" t="s">
        <v>1309</v>
      </c>
      <c r="B149" s="38">
        <v>800000000</v>
      </c>
      <c r="C149" s="38">
        <v>0</v>
      </c>
      <c r="D149" s="38">
        <v>0</v>
      </c>
      <c r="E149" s="38">
        <v>0</v>
      </c>
      <c r="F149" s="38">
        <v>0</v>
      </c>
      <c r="G149" s="38">
        <v>0</v>
      </c>
      <c r="H149" s="38">
        <v>0</v>
      </c>
      <c r="I149" s="27" t="e">
        <v>#DIV/0!</v>
      </c>
      <c r="J149" s="27" t="e">
        <v>#DIV/0!</v>
      </c>
    </row>
    <row r="150" spans="1:10" ht="28.8" x14ac:dyDescent="0.3">
      <c r="A150" s="19" t="s">
        <v>1310</v>
      </c>
      <c r="B150" s="38">
        <v>100000000</v>
      </c>
      <c r="C150" s="38">
        <v>0</v>
      </c>
      <c r="D150" s="38">
        <v>0</v>
      </c>
      <c r="E150" s="38">
        <v>0</v>
      </c>
      <c r="F150" s="38">
        <v>0</v>
      </c>
      <c r="G150" s="38">
        <v>0</v>
      </c>
      <c r="H150" s="38">
        <v>0</v>
      </c>
      <c r="I150" s="27" t="e">
        <v>#DIV/0!</v>
      </c>
      <c r="J150" s="27" t="e">
        <v>#DIV/0!</v>
      </c>
    </row>
    <row r="151" spans="1:10" ht="57.6" x14ac:dyDescent="0.3">
      <c r="A151" s="19" t="s">
        <v>1311</v>
      </c>
      <c r="B151" s="38">
        <v>0</v>
      </c>
      <c r="C151" s="38">
        <v>0</v>
      </c>
      <c r="D151" s="38">
        <v>0</v>
      </c>
      <c r="E151" s="38">
        <v>0</v>
      </c>
      <c r="F151" s="38">
        <v>0</v>
      </c>
      <c r="G151" s="38">
        <v>0</v>
      </c>
      <c r="H151" s="38">
        <v>0</v>
      </c>
      <c r="I151" s="27" t="e">
        <v>#DIV/0!</v>
      </c>
      <c r="J151" s="27" t="e">
        <v>#DIV/0!</v>
      </c>
    </row>
    <row r="152" spans="1:10" ht="28.8" x14ac:dyDescent="0.3">
      <c r="A152" s="19" t="s">
        <v>1312</v>
      </c>
      <c r="B152" s="38">
        <v>200000000</v>
      </c>
      <c r="C152" s="38">
        <v>200000000</v>
      </c>
      <c r="D152" s="38">
        <v>0</v>
      </c>
      <c r="E152" s="38">
        <v>0</v>
      </c>
      <c r="F152" s="38">
        <v>0</v>
      </c>
      <c r="G152" s="38">
        <v>200000000</v>
      </c>
      <c r="H152" s="38">
        <v>200000000</v>
      </c>
      <c r="I152" s="27">
        <v>0</v>
      </c>
      <c r="J152" s="27">
        <v>0</v>
      </c>
    </row>
    <row r="153" spans="1:10" x14ac:dyDescent="0.3">
      <c r="A153" s="19" t="s">
        <v>1313</v>
      </c>
      <c r="B153" s="38">
        <v>250000000</v>
      </c>
      <c r="C153" s="38">
        <v>0</v>
      </c>
      <c r="D153" s="38">
        <v>0</v>
      </c>
      <c r="E153" s="38">
        <v>0</v>
      </c>
      <c r="F153" s="38">
        <v>0</v>
      </c>
      <c r="G153" s="38">
        <v>0</v>
      </c>
      <c r="H153" s="38">
        <v>0</v>
      </c>
      <c r="I153" s="27" t="e">
        <v>#DIV/0!</v>
      </c>
      <c r="J153" s="27" t="e">
        <v>#DIV/0!</v>
      </c>
    </row>
    <row r="154" spans="1:10" ht="28.8" x14ac:dyDescent="0.3">
      <c r="A154" s="19" t="s">
        <v>1314</v>
      </c>
      <c r="B154" s="38">
        <v>200000000</v>
      </c>
      <c r="C154" s="38">
        <v>2803305147</v>
      </c>
      <c r="D154" s="38">
        <v>2003191219</v>
      </c>
      <c r="E154" s="38">
        <v>300478682</v>
      </c>
      <c r="F154" s="38">
        <v>0</v>
      </c>
      <c r="G154" s="38">
        <v>799998061</v>
      </c>
      <c r="H154" s="38">
        <v>800113928</v>
      </c>
      <c r="I154" s="27">
        <v>0.7146232682317406</v>
      </c>
      <c r="J154" s="27">
        <v>0.71458193594933672</v>
      </c>
    </row>
    <row r="155" spans="1:10" ht="43.2" x14ac:dyDescent="0.3">
      <c r="A155" s="19" t="s">
        <v>1315</v>
      </c>
      <c r="B155" s="38">
        <v>0</v>
      </c>
      <c r="C155" s="38">
        <v>0</v>
      </c>
      <c r="D155" s="38">
        <v>0</v>
      </c>
      <c r="E155" s="38">
        <v>0</v>
      </c>
      <c r="F155" s="38">
        <v>0</v>
      </c>
      <c r="G155" s="38">
        <v>0</v>
      </c>
      <c r="H155" s="38">
        <v>0</v>
      </c>
      <c r="I155" s="27" t="e">
        <v>#DIV/0!</v>
      </c>
      <c r="J155" s="27" t="e">
        <v>#DIV/0!</v>
      </c>
    </row>
    <row r="156" spans="1:10" ht="28.8" x14ac:dyDescent="0.3">
      <c r="A156" s="19" t="s">
        <v>1316</v>
      </c>
      <c r="B156" s="38">
        <v>0</v>
      </c>
      <c r="C156" s="38">
        <v>1500000000</v>
      </c>
      <c r="D156" s="38">
        <v>1497900000</v>
      </c>
      <c r="E156" s="38">
        <v>1158326070</v>
      </c>
      <c r="F156" s="38">
        <v>0</v>
      </c>
      <c r="G156" s="38">
        <v>0</v>
      </c>
      <c r="H156" s="38">
        <v>2100000</v>
      </c>
      <c r="I156" s="27">
        <v>1</v>
      </c>
      <c r="J156" s="27">
        <v>0.99860000000000004</v>
      </c>
    </row>
    <row r="157" spans="1:10" ht="28.8" x14ac:dyDescent="0.3">
      <c r="A157" s="19" t="s">
        <v>1317</v>
      </c>
      <c r="B157" s="38">
        <v>0</v>
      </c>
      <c r="C157" s="38">
        <v>0</v>
      </c>
      <c r="D157" s="38">
        <v>0</v>
      </c>
      <c r="E157" s="38">
        <v>0</v>
      </c>
      <c r="F157" s="38">
        <v>0</v>
      </c>
      <c r="G157" s="38">
        <v>0</v>
      </c>
      <c r="H157" s="38">
        <v>0</v>
      </c>
      <c r="I157" s="27" t="e">
        <v>#DIV/0!</v>
      </c>
      <c r="J157" s="27" t="e">
        <v>#DIV/0!</v>
      </c>
    </row>
    <row r="158" spans="1:10" ht="28.8" x14ac:dyDescent="0.3">
      <c r="A158" s="19" t="s">
        <v>1318</v>
      </c>
      <c r="B158" s="38">
        <v>300000000</v>
      </c>
      <c r="C158" s="38">
        <v>0</v>
      </c>
      <c r="D158" s="38">
        <v>0</v>
      </c>
      <c r="E158" s="38">
        <v>0</v>
      </c>
      <c r="F158" s="38">
        <v>0</v>
      </c>
      <c r="G158" s="38">
        <v>0</v>
      </c>
      <c r="H158" s="38">
        <v>0</v>
      </c>
      <c r="I158" s="27" t="e">
        <v>#DIV/0!</v>
      </c>
      <c r="J158" s="27" t="e">
        <v>#DIV/0!</v>
      </c>
    </row>
    <row r="159" spans="1:10" ht="28.8" x14ac:dyDescent="0.3">
      <c r="A159" s="19" t="s">
        <v>1319</v>
      </c>
      <c r="B159" s="38">
        <v>200000000</v>
      </c>
      <c r="C159" s="38">
        <v>0</v>
      </c>
      <c r="D159" s="38">
        <v>0</v>
      </c>
      <c r="E159" s="38">
        <v>0</v>
      </c>
      <c r="F159" s="38">
        <v>0</v>
      </c>
      <c r="G159" s="38">
        <v>0</v>
      </c>
      <c r="H159" s="38">
        <v>0</v>
      </c>
      <c r="I159" s="27" t="e">
        <v>#DIV/0!</v>
      </c>
      <c r="J159" s="27" t="e">
        <v>#DIV/0!</v>
      </c>
    </row>
    <row r="160" spans="1:10" ht="43.2" x14ac:dyDescent="0.3">
      <c r="A160" s="19" t="s">
        <v>1320</v>
      </c>
      <c r="B160" s="38">
        <v>200000000</v>
      </c>
      <c r="C160" s="38">
        <v>0</v>
      </c>
      <c r="D160" s="38">
        <v>0</v>
      </c>
      <c r="E160" s="38">
        <v>0</v>
      </c>
      <c r="F160" s="38">
        <v>0</v>
      </c>
      <c r="G160" s="38">
        <v>0</v>
      </c>
      <c r="H160" s="38">
        <v>0</v>
      </c>
      <c r="I160" s="27" t="e">
        <v>#DIV/0!</v>
      </c>
      <c r="J160" s="27" t="e">
        <v>#DIV/0!</v>
      </c>
    </row>
    <row r="161" spans="1:10" ht="28.8" x14ac:dyDescent="0.3">
      <c r="A161" s="19" t="s">
        <v>1321</v>
      </c>
      <c r="B161" s="38">
        <v>300000000</v>
      </c>
      <c r="C161" s="38">
        <v>0</v>
      </c>
      <c r="D161" s="38">
        <v>0</v>
      </c>
      <c r="E161" s="38">
        <v>0</v>
      </c>
      <c r="F161" s="38">
        <v>0</v>
      </c>
      <c r="G161" s="38">
        <v>0</v>
      </c>
      <c r="H161" s="38">
        <v>0</v>
      </c>
      <c r="I161" s="27" t="e">
        <v>#DIV/0!</v>
      </c>
      <c r="J161" s="27" t="e">
        <v>#DIV/0!</v>
      </c>
    </row>
    <row r="162" spans="1:10" ht="28.8" x14ac:dyDescent="0.3">
      <c r="A162" s="19" t="s">
        <v>1322</v>
      </c>
      <c r="B162" s="38">
        <v>300000000</v>
      </c>
      <c r="C162" s="38">
        <v>0</v>
      </c>
      <c r="D162" s="38">
        <v>0</v>
      </c>
      <c r="E162" s="38">
        <v>0</v>
      </c>
      <c r="F162" s="38">
        <v>0</v>
      </c>
      <c r="G162" s="38">
        <v>0</v>
      </c>
      <c r="H162" s="38">
        <v>0</v>
      </c>
      <c r="I162" s="27" t="e">
        <v>#DIV/0!</v>
      </c>
      <c r="J162" s="27" t="e">
        <v>#DIV/0!</v>
      </c>
    </row>
    <row r="163" spans="1:10" ht="43.2" x14ac:dyDescent="0.3">
      <c r="A163" s="19" t="s">
        <v>1323</v>
      </c>
      <c r="B163" s="38">
        <v>200000000</v>
      </c>
      <c r="C163" s="38">
        <v>0</v>
      </c>
      <c r="D163" s="38">
        <v>0</v>
      </c>
      <c r="E163" s="38">
        <v>0</v>
      </c>
      <c r="F163" s="38">
        <v>0</v>
      </c>
      <c r="G163" s="38">
        <v>0</v>
      </c>
      <c r="H163" s="38">
        <v>0</v>
      </c>
      <c r="I163" s="27" t="e">
        <v>#DIV/0!</v>
      </c>
      <c r="J163" s="27" t="e">
        <v>#DIV/0!</v>
      </c>
    </row>
    <row r="164" spans="1:10" ht="28.8" x14ac:dyDescent="0.3">
      <c r="A164" s="19" t="s">
        <v>1324</v>
      </c>
      <c r="B164" s="38">
        <v>200000000</v>
      </c>
      <c r="C164" s="38">
        <v>0</v>
      </c>
      <c r="D164" s="38">
        <v>0</v>
      </c>
      <c r="E164" s="38">
        <v>0</v>
      </c>
      <c r="F164" s="38">
        <v>0</v>
      </c>
      <c r="G164" s="38">
        <v>0</v>
      </c>
      <c r="H164" s="38">
        <v>0</v>
      </c>
      <c r="I164" s="27" t="e">
        <v>#DIV/0!</v>
      </c>
      <c r="J164" s="27" t="e">
        <v>#DIV/0!</v>
      </c>
    </row>
    <row r="165" spans="1:10" ht="43.2" x14ac:dyDescent="0.3">
      <c r="A165" s="19" t="s">
        <v>1325</v>
      </c>
      <c r="B165" s="38">
        <v>200000000</v>
      </c>
      <c r="C165" s="38">
        <v>0</v>
      </c>
      <c r="D165" s="38">
        <v>0</v>
      </c>
      <c r="E165" s="38">
        <v>0</v>
      </c>
      <c r="F165" s="38">
        <v>0</v>
      </c>
      <c r="G165" s="38">
        <v>0</v>
      </c>
      <c r="H165" s="38">
        <v>0</v>
      </c>
      <c r="I165" s="27" t="e">
        <v>#DIV/0!</v>
      </c>
      <c r="J165" s="27" t="e">
        <v>#DIV/0!</v>
      </c>
    </row>
    <row r="166" spans="1:10" ht="28.8" x14ac:dyDescent="0.3">
      <c r="A166" s="19" t="s">
        <v>1326</v>
      </c>
      <c r="B166" s="38">
        <v>200000000</v>
      </c>
      <c r="C166" s="38">
        <v>0</v>
      </c>
      <c r="D166" s="38">
        <v>0</v>
      </c>
      <c r="E166" s="38">
        <v>0</v>
      </c>
      <c r="F166" s="38">
        <v>0</v>
      </c>
      <c r="G166" s="38">
        <v>0</v>
      </c>
      <c r="H166" s="38">
        <v>0</v>
      </c>
      <c r="I166" s="27" t="e">
        <v>#DIV/0!</v>
      </c>
      <c r="J166" s="27" t="e">
        <v>#DIV/0!</v>
      </c>
    </row>
    <row r="167" spans="1:10" ht="28.8" x14ac:dyDescent="0.3">
      <c r="A167" s="19" t="s">
        <v>1327</v>
      </c>
      <c r="B167" s="38">
        <v>1425000000</v>
      </c>
      <c r="C167" s="38">
        <v>1425000000</v>
      </c>
      <c r="D167" s="38">
        <v>0</v>
      </c>
      <c r="E167" s="38">
        <v>0</v>
      </c>
      <c r="F167" s="38">
        <v>0</v>
      </c>
      <c r="G167" s="38">
        <v>1425000000</v>
      </c>
      <c r="H167" s="38">
        <v>1425000000</v>
      </c>
      <c r="I167" s="27">
        <v>0</v>
      </c>
      <c r="J167" s="27">
        <v>0</v>
      </c>
    </row>
    <row r="168" spans="1:10" ht="28.8" x14ac:dyDescent="0.3">
      <c r="A168" s="19" t="s">
        <v>1328</v>
      </c>
      <c r="B168" s="38">
        <v>200000000</v>
      </c>
      <c r="C168" s="38">
        <v>0</v>
      </c>
      <c r="D168" s="38">
        <v>0</v>
      </c>
      <c r="E168" s="38">
        <v>0</v>
      </c>
      <c r="F168" s="38">
        <v>0</v>
      </c>
      <c r="G168" s="38">
        <v>0</v>
      </c>
      <c r="H168" s="38">
        <v>0</v>
      </c>
      <c r="I168" s="27" t="e">
        <v>#DIV/0!</v>
      </c>
      <c r="J168" s="27" t="e">
        <v>#DIV/0!</v>
      </c>
    </row>
    <row r="169" spans="1:10" ht="28.8" x14ac:dyDescent="0.3">
      <c r="A169" s="19" t="s">
        <v>1329</v>
      </c>
      <c r="B169" s="38">
        <v>300000000</v>
      </c>
      <c r="C169" s="38">
        <v>0</v>
      </c>
      <c r="D169" s="38">
        <v>0</v>
      </c>
      <c r="E169" s="38">
        <v>0</v>
      </c>
      <c r="F169" s="38">
        <v>0</v>
      </c>
      <c r="G169" s="38">
        <v>0</v>
      </c>
      <c r="H169" s="38">
        <v>0</v>
      </c>
      <c r="I169" s="27" t="e">
        <v>#DIV/0!</v>
      </c>
      <c r="J169" s="27" t="e">
        <v>#DIV/0!</v>
      </c>
    </row>
    <row r="170" spans="1:10" ht="28.8" x14ac:dyDescent="0.3">
      <c r="A170" s="19" t="s">
        <v>1330</v>
      </c>
      <c r="B170" s="38">
        <v>200000000</v>
      </c>
      <c r="C170" s="38">
        <v>0</v>
      </c>
      <c r="D170" s="38">
        <v>0</v>
      </c>
      <c r="E170" s="38">
        <v>0</v>
      </c>
      <c r="F170" s="38">
        <v>0</v>
      </c>
      <c r="G170" s="38">
        <v>0</v>
      </c>
      <c r="H170" s="38">
        <v>0</v>
      </c>
      <c r="I170" s="27" t="e">
        <v>#DIV/0!</v>
      </c>
      <c r="J170" s="27" t="e">
        <v>#DIV/0!</v>
      </c>
    </row>
    <row r="171" spans="1:10" x14ac:dyDescent="0.3">
      <c r="A171" s="19" t="s">
        <v>1331</v>
      </c>
      <c r="B171" s="38">
        <v>100000000</v>
      </c>
      <c r="C171" s="38">
        <v>0</v>
      </c>
      <c r="D171" s="38">
        <v>0</v>
      </c>
      <c r="E171" s="38">
        <v>0</v>
      </c>
      <c r="F171" s="38">
        <v>0</v>
      </c>
      <c r="G171" s="38">
        <v>0</v>
      </c>
      <c r="H171" s="38">
        <v>0</v>
      </c>
      <c r="I171" s="27" t="e">
        <v>#DIV/0!</v>
      </c>
      <c r="J171" s="27" t="e">
        <v>#DIV/0!</v>
      </c>
    </row>
    <row r="172" spans="1:10" ht="28.8" x14ac:dyDescent="0.3">
      <c r="A172" s="19" t="s">
        <v>1332</v>
      </c>
      <c r="B172" s="38">
        <v>100000000</v>
      </c>
      <c r="C172" s="38">
        <v>100000000</v>
      </c>
      <c r="D172" s="38">
        <v>0</v>
      </c>
      <c r="E172" s="38">
        <v>0</v>
      </c>
      <c r="F172" s="38">
        <v>0</v>
      </c>
      <c r="G172" s="38">
        <v>100000000</v>
      </c>
      <c r="H172" s="38">
        <v>100000000</v>
      </c>
      <c r="I172" s="27">
        <v>0</v>
      </c>
      <c r="J172" s="27">
        <v>0</v>
      </c>
    </row>
    <row r="173" spans="1:10" ht="28.8" x14ac:dyDescent="0.3">
      <c r="A173" s="19" t="s">
        <v>1333</v>
      </c>
      <c r="B173" s="38">
        <v>100000000</v>
      </c>
      <c r="C173" s="38">
        <v>100000000</v>
      </c>
      <c r="D173" s="38">
        <v>0</v>
      </c>
      <c r="E173" s="38">
        <v>0</v>
      </c>
      <c r="F173" s="38">
        <v>0</v>
      </c>
      <c r="G173" s="38">
        <v>100000000</v>
      </c>
      <c r="H173" s="38">
        <v>100000000</v>
      </c>
      <c r="I173" s="27">
        <v>0</v>
      </c>
      <c r="J173" s="27">
        <v>0</v>
      </c>
    </row>
    <row r="174" spans="1:10" ht="28.8" x14ac:dyDescent="0.3">
      <c r="A174" s="19" t="s">
        <v>1334</v>
      </c>
      <c r="B174" s="38">
        <v>100000000</v>
      </c>
      <c r="C174" s="38">
        <v>0</v>
      </c>
      <c r="D174" s="38">
        <v>0</v>
      </c>
      <c r="E174" s="38">
        <v>0</v>
      </c>
      <c r="F174" s="38">
        <v>0</v>
      </c>
      <c r="G174" s="38">
        <v>0</v>
      </c>
      <c r="H174" s="38">
        <v>0</v>
      </c>
      <c r="I174" s="27" t="e">
        <v>#DIV/0!</v>
      </c>
      <c r="J174" s="27" t="e">
        <v>#DIV/0!</v>
      </c>
    </row>
    <row r="175" spans="1:10" ht="43.2" x14ac:dyDescent="0.3">
      <c r="A175" s="19" t="s">
        <v>1335</v>
      </c>
      <c r="B175" s="38">
        <v>300000000</v>
      </c>
      <c r="C175" s="38">
        <v>0</v>
      </c>
      <c r="D175" s="38">
        <v>0</v>
      </c>
      <c r="E175" s="38">
        <v>0</v>
      </c>
      <c r="F175" s="38">
        <v>0</v>
      </c>
      <c r="G175" s="38">
        <v>0</v>
      </c>
      <c r="H175" s="38">
        <v>0</v>
      </c>
      <c r="I175" s="27" t="e">
        <v>#DIV/0!</v>
      </c>
      <c r="J175" s="27" t="e">
        <v>#DIV/0!</v>
      </c>
    </row>
    <row r="176" spans="1:10" ht="28.8" x14ac:dyDescent="0.3">
      <c r="A176" s="19" t="s">
        <v>1336</v>
      </c>
      <c r="B176" s="38">
        <v>1000000000</v>
      </c>
      <c r="C176" s="38">
        <v>4225437500</v>
      </c>
      <c r="D176" s="38">
        <v>0</v>
      </c>
      <c r="E176" s="38">
        <v>0</v>
      </c>
      <c r="F176" s="38">
        <v>0</v>
      </c>
      <c r="G176" s="38">
        <v>4225437500</v>
      </c>
      <c r="H176" s="38">
        <v>4225437500</v>
      </c>
      <c r="I176" s="27">
        <v>0</v>
      </c>
      <c r="J176" s="27">
        <v>0</v>
      </c>
    </row>
    <row r="177" spans="1:10" ht="28.8" x14ac:dyDescent="0.3">
      <c r="A177" s="19" t="s">
        <v>1337</v>
      </c>
      <c r="B177" s="38">
        <v>899980235.58000004</v>
      </c>
      <c r="C177" s="38">
        <v>899980235.58000004</v>
      </c>
      <c r="D177" s="38">
        <v>0</v>
      </c>
      <c r="E177" s="38">
        <v>0</v>
      </c>
      <c r="F177" s="38">
        <v>0</v>
      </c>
      <c r="G177" s="38">
        <v>899980235.58000004</v>
      </c>
      <c r="H177" s="38">
        <v>899980235.58000004</v>
      </c>
      <c r="I177" s="27">
        <v>0</v>
      </c>
      <c r="J177" s="27">
        <v>0</v>
      </c>
    </row>
    <row r="178" spans="1:10" ht="28.8" x14ac:dyDescent="0.3">
      <c r="A178" s="19" t="s">
        <v>1338</v>
      </c>
      <c r="B178" s="38">
        <v>189200000</v>
      </c>
      <c r="C178" s="38">
        <v>60457353</v>
      </c>
      <c r="D178" s="38">
        <v>0</v>
      </c>
      <c r="E178" s="38">
        <v>0</v>
      </c>
      <c r="F178" s="38">
        <v>0</v>
      </c>
      <c r="G178" s="38">
        <v>60457353</v>
      </c>
      <c r="H178" s="38">
        <v>60457353</v>
      </c>
      <c r="I178" s="27">
        <v>0</v>
      </c>
      <c r="J178" s="27">
        <v>0</v>
      </c>
    </row>
    <row r="179" spans="1:10" x14ac:dyDescent="0.3">
      <c r="A179" s="19" t="s">
        <v>1339</v>
      </c>
      <c r="B179" s="38">
        <v>300000000</v>
      </c>
      <c r="C179" s="38">
        <v>0</v>
      </c>
      <c r="D179" s="38">
        <v>0</v>
      </c>
      <c r="E179" s="38">
        <v>0</v>
      </c>
      <c r="F179" s="38">
        <v>0</v>
      </c>
      <c r="G179" s="38">
        <v>0</v>
      </c>
      <c r="H179" s="38">
        <v>0</v>
      </c>
      <c r="I179" s="27" t="e">
        <v>#DIV/0!</v>
      </c>
      <c r="J179" s="27" t="e">
        <v>#DIV/0!</v>
      </c>
    </row>
    <row r="180" spans="1:10" ht="43.2" x14ac:dyDescent="0.3">
      <c r="A180" s="19" t="s">
        <v>1340</v>
      </c>
      <c r="B180" s="38">
        <v>300000000</v>
      </c>
      <c r="C180" s="38">
        <v>0</v>
      </c>
      <c r="D180" s="38">
        <v>0</v>
      </c>
      <c r="E180" s="38">
        <v>0</v>
      </c>
      <c r="F180" s="38">
        <v>0</v>
      </c>
      <c r="G180" s="38">
        <v>0</v>
      </c>
      <c r="H180" s="38">
        <v>0</v>
      </c>
      <c r="I180" s="27" t="e">
        <v>#DIV/0!</v>
      </c>
      <c r="J180" s="27" t="e">
        <v>#DIV/0!</v>
      </c>
    </row>
    <row r="181" spans="1:10" ht="43.2" x14ac:dyDescent="0.3">
      <c r="A181" s="19" t="s">
        <v>1341</v>
      </c>
      <c r="B181" s="38">
        <v>0</v>
      </c>
      <c r="C181" s="38">
        <v>0</v>
      </c>
      <c r="D181" s="38">
        <v>0</v>
      </c>
      <c r="E181" s="38">
        <v>0</v>
      </c>
      <c r="F181" s="38">
        <v>0</v>
      </c>
      <c r="G181" s="38">
        <v>0</v>
      </c>
      <c r="H181" s="38">
        <v>0</v>
      </c>
      <c r="I181" s="27" t="e">
        <v>#DIV/0!</v>
      </c>
      <c r="J181" s="27" t="e">
        <v>#DIV/0!</v>
      </c>
    </row>
    <row r="182" spans="1:10" x14ac:dyDescent="0.3">
      <c r="A182" s="20" t="s">
        <v>1223</v>
      </c>
      <c r="B182" s="39">
        <v>185090029794</v>
      </c>
      <c r="C182" s="39">
        <v>251895221219.91998</v>
      </c>
      <c r="D182" s="39">
        <v>230776651963.20001</v>
      </c>
      <c r="E182" s="39">
        <v>187617744194.54004</v>
      </c>
      <c r="F182" s="39">
        <v>179378169093.01001</v>
      </c>
      <c r="G182" s="39">
        <v>19981953193.959991</v>
      </c>
      <c r="H182" s="39">
        <v>21118569256.719971</v>
      </c>
      <c r="I182" s="32">
        <v>0.92067355189515676</v>
      </c>
      <c r="J182" s="32">
        <v>0.91616129454761608</v>
      </c>
    </row>
    <row r="183" spans="1:10" x14ac:dyDescent="0.3">
      <c r="A183" s="16" t="s">
        <v>1026</v>
      </c>
      <c r="B183" s="35">
        <v>170759915455</v>
      </c>
      <c r="C183" s="35">
        <v>238167672065.62997</v>
      </c>
      <c r="D183" s="35">
        <v>217701903404.42999</v>
      </c>
      <c r="E183" s="35">
        <v>182464510049.53003</v>
      </c>
      <c r="F183" s="35">
        <v>174569455811.67001</v>
      </c>
      <c r="G183" s="35">
        <v>19671086530.069977</v>
      </c>
      <c r="H183" s="35">
        <v>20465768661.199982</v>
      </c>
      <c r="I183" s="29">
        <v>0.91740656336998849</v>
      </c>
      <c r="J183" s="29">
        <v>0.91406991350379241</v>
      </c>
    </row>
    <row r="184" spans="1:10" ht="28.8" x14ac:dyDescent="0.3">
      <c r="A184" s="17" t="s">
        <v>1106</v>
      </c>
      <c r="B184" s="36">
        <v>170759915455</v>
      </c>
      <c r="C184" s="36">
        <v>238167672065.62997</v>
      </c>
      <c r="D184" s="36">
        <v>217701903404.42999</v>
      </c>
      <c r="E184" s="36">
        <v>182464510049.53003</v>
      </c>
      <c r="F184" s="36">
        <v>174569455811.67001</v>
      </c>
      <c r="G184" s="36">
        <v>19671086530.069977</v>
      </c>
      <c r="H184" s="36">
        <v>20465768661.199982</v>
      </c>
      <c r="I184" s="30">
        <v>0.91740656336998849</v>
      </c>
      <c r="J184" s="30">
        <v>0.91406991350379241</v>
      </c>
    </row>
    <row r="185" spans="1:10" ht="28.8" x14ac:dyDescent="0.3">
      <c r="A185" s="18" t="s">
        <v>1107</v>
      </c>
      <c r="B185" s="37">
        <v>126152245876</v>
      </c>
      <c r="C185" s="37">
        <v>158217128360.10999</v>
      </c>
      <c r="D185" s="37">
        <v>150571497636.42999</v>
      </c>
      <c r="E185" s="37">
        <v>130289858050.67</v>
      </c>
      <c r="F185" s="37">
        <v>128137843244.67</v>
      </c>
      <c r="G185" s="37">
        <v>6950532618.769989</v>
      </c>
      <c r="H185" s="37">
        <v>7645630723.6799927</v>
      </c>
      <c r="I185" s="31">
        <v>0.95606965762297091</v>
      </c>
      <c r="J185" s="31">
        <v>0.95167633995809753</v>
      </c>
    </row>
    <row r="186" spans="1:10" ht="28.8" x14ac:dyDescent="0.3">
      <c r="A186" s="19" t="s">
        <v>1342</v>
      </c>
      <c r="B186" s="38">
        <v>1</v>
      </c>
      <c r="C186" s="38">
        <v>1</v>
      </c>
      <c r="D186" s="38">
        <v>0</v>
      </c>
      <c r="E186" s="38">
        <v>0</v>
      </c>
      <c r="F186" s="38">
        <v>0</v>
      </c>
      <c r="G186" s="38">
        <v>1</v>
      </c>
      <c r="H186" s="38">
        <v>1</v>
      </c>
      <c r="I186" s="27">
        <v>0</v>
      </c>
      <c r="J186" s="27">
        <v>0</v>
      </c>
    </row>
    <row r="187" spans="1:10" ht="43.2" x14ac:dyDescent="0.3">
      <c r="A187" s="19" t="s">
        <v>1343</v>
      </c>
      <c r="B187" s="38">
        <v>115406493904</v>
      </c>
      <c r="C187" s="38">
        <v>149324795844.10999</v>
      </c>
      <c r="D187" s="38">
        <v>145670655503.42999</v>
      </c>
      <c r="E187" s="38">
        <v>127157840781.67</v>
      </c>
      <c r="F187" s="38">
        <v>125251937725.67</v>
      </c>
      <c r="G187" s="38">
        <v>2966542235.769989</v>
      </c>
      <c r="H187" s="38">
        <v>3654140340.6799927</v>
      </c>
      <c r="I187" s="27">
        <v>0.98013362603979748</v>
      </c>
      <c r="J187" s="27">
        <v>0.97552891118970764</v>
      </c>
    </row>
    <row r="188" spans="1:10" ht="28.8" x14ac:dyDescent="0.3">
      <c r="A188" s="19" t="s">
        <v>1344</v>
      </c>
      <c r="B188" s="38">
        <v>0</v>
      </c>
      <c r="C188" s="38">
        <v>250000000</v>
      </c>
      <c r="D188" s="38">
        <v>0</v>
      </c>
      <c r="E188" s="38">
        <v>0</v>
      </c>
      <c r="F188" s="38">
        <v>0</v>
      </c>
      <c r="G188" s="38">
        <v>250000000</v>
      </c>
      <c r="H188" s="38">
        <v>250000000</v>
      </c>
      <c r="I188" s="27">
        <v>0</v>
      </c>
      <c r="J188" s="27">
        <v>0</v>
      </c>
    </row>
    <row r="189" spans="1:10" ht="28.8" x14ac:dyDescent="0.3">
      <c r="A189" s="19" t="s">
        <v>1345</v>
      </c>
      <c r="B189" s="38">
        <v>567275082</v>
      </c>
      <c r="C189" s="38">
        <v>100000000</v>
      </c>
      <c r="D189" s="38">
        <v>0</v>
      </c>
      <c r="E189" s="38">
        <v>0</v>
      </c>
      <c r="F189" s="38">
        <v>0</v>
      </c>
      <c r="G189" s="38">
        <v>100000000</v>
      </c>
      <c r="H189" s="38">
        <v>100000000</v>
      </c>
      <c r="I189" s="27">
        <v>0</v>
      </c>
      <c r="J189" s="27">
        <v>0</v>
      </c>
    </row>
    <row r="190" spans="1:10" ht="43.2" x14ac:dyDescent="0.3">
      <c r="A190" s="19" t="s">
        <v>1346</v>
      </c>
      <c r="B190" s="38">
        <v>6020741727</v>
      </c>
      <c r="C190" s="38">
        <v>6995313882</v>
      </c>
      <c r="D190" s="38">
        <v>3353823500</v>
      </c>
      <c r="E190" s="38">
        <v>1992690166</v>
      </c>
      <c r="F190" s="38">
        <v>1746578416</v>
      </c>
      <c r="G190" s="38">
        <v>3633990382</v>
      </c>
      <c r="H190" s="38">
        <v>3641490382</v>
      </c>
      <c r="I190" s="27">
        <v>0.48051074715163156</v>
      </c>
      <c r="J190" s="27">
        <v>0.47943860083675371</v>
      </c>
    </row>
    <row r="191" spans="1:10" ht="43.2" x14ac:dyDescent="0.3">
      <c r="A191" s="19" t="s">
        <v>1347</v>
      </c>
      <c r="B191" s="38">
        <v>0</v>
      </c>
      <c r="C191" s="38">
        <v>407691530</v>
      </c>
      <c r="D191" s="38">
        <v>407691530</v>
      </c>
      <c r="E191" s="38">
        <v>0</v>
      </c>
      <c r="F191" s="38">
        <v>0</v>
      </c>
      <c r="G191" s="38">
        <v>0</v>
      </c>
      <c r="H191" s="38">
        <v>0</v>
      </c>
      <c r="I191" s="27">
        <v>1</v>
      </c>
      <c r="J191" s="27">
        <v>1</v>
      </c>
    </row>
    <row r="192" spans="1:10" ht="43.2" x14ac:dyDescent="0.3">
      <c r="A192" s="19" t="s">
        <v>1348</v>
      </c>
      <c r="B192" s="38">
        <v>1114827103</v>
      </c>
      <c r="C192" s="38">
        <v>1114827103</v>
      </c>
      <c r="D192" s="38">
        <v>1114827103</v>
      </c>
      <c r="E192" s="38">
        <v>1114827103</v>
      </c>
      <c r="F192" s="38">
        <v>1114827103</v>
      </c>
      <c r="G192" s="38">
        <v>0</v>
      </c>
      <c r="H192" s="38">
        <v>0</v>
      </c>
      <c r="I192" s="27">
        <v>1</v>
      </c>
      <c r="J192" s="27">
        <v>1</v>
      </c>
    </row>
    <row r="193" spans="1:10" ht="28.8" x14ac:dyDescent="0.3">
      <c r="A193" s="19" t="s">
        <v>1349</v>
      </c>
      <c r="B193" s="38">
        <v>3042908059</v>
      </c>
      <c r="C193" s="38">
        <v>24500000</v>
      </c>
      <c r="D193" s="38">
        <v>24500000</v>
      </c>
      <c r="E193" s="38">
        <v>24500000</v>
      </c>
      <c r="F193" s="38">
        <v>24500000</v>
      </c>
      <c r="G193" s="38">
        <v>0</v>
      </c>
      <c r="H193" s="38">
        <v>0</v>
      </c>
      <c r="I193" s="27">
        <v>1</v>
      </c>
      <c r="J193" s="27">
        <v>1</v>
      </c>
    </row>
    <row r="194" spans="1:10" x14ac:dyDescent="0.3">
      <c r="A194" s="18" t="s">
        <v>1167</v>
      </c>
      <c r="B194" s="37">
        <v>43138198437</v>
      </c>
      <c r="C194" s="37">
        <v>74207860925.429993</v>
      </c>
      <c r="D194" s="37">
        <v>61425135213</v>
      </c>
      <c r="E194" s="37">
        <v>50521209860</v>
      </c>
      <c r="F194" s="37">
        <v>45372717567</v>
      </c>
      <c r="G194" s="37">
        <v>12718531341.169991</v>
      </c>
      <c r="H194" s="37">
        <v>12782725712.429993</v>
      </c>
      <c r="I194" s="31">
        <v>0.82860937934930379</v>
      </c>
      <c r="J194" s="31">
        <v>0.82774431774451629</v>
      </c>
    </row>
    <row r="195" spans="1:10" ht="43.2" x14ac:dyDescent="0.3">
      <c r="A195" s="19" t="s">
        <v>1350</v>
      </c>
      <c r="B195" s="38">
        <v>42938198437</v>
      </c>
      <c r="C195" s="38">
        <v>65579468217</v>
      </c>
      <c r="D195" s="38">
        <v>52796742504.739998</v>
      </c>
      <c r="E195" s="38">
        <v>45448250211.739998</v>
      </c>
      <c r="F195" s="38">
        <v>40299757918.739998</v>
      </c>
      <c r="G195" s="38">
        <v>12718531341</v>
      </c>
      <c r="H195" s="38">
        <v>12782725712.260002</v>
      </c>
      <c r="I195" s="27">
        <v>0.80605924862161349</v>
      </c>
      <c r="J195" s="27">
        <v>0.80508036951500672</v>
      </c>
    </row>
    <row r="196" spans="1:10" ht="43.2" x14ac:dyDescent="0.3">
      <c r="A196" s="19" t="s">
        <v>1351</v>
      </c>
      <c r="B196" s="38">
        <v>0</v>
      </c>
      <c r="C196" s="38">
        <v>8628392708.4300003</v>
      </c>
      <c r="D196" s="38">
        <v>8628392708.2600002</v>
      </c>
      <c r="E196" s="38">
        <v>5072959648.2600002</v>
      </c>
      <c r="F196" s="38">
        <v>5072959648.2600002</v>
      </c>
      <c r="G196" s="38">
        <v>0.17000007629394531</v>
      </c>
      <c r="H196" s="38">
        <v>0.17000007629394531</v>
      </c>
      <c r="I196" s="27">
        <v>0.99999999998029765</v>
      </c>
      <c r="J196" s="27">
        <v>0.99999999998029765</v>
      </c>
    </row>
    <row r="197" spans="1:10" ht="43.2" x14ac:dyDescent="0.3">
      <c r="A197" s="19" t="s">
        <v>1352</v>
      </c>
      <c r="B197" s="38">
        <v>200000000</v>
      </c>
      <c r="C197" s="38">
        <v>0</v>
      </c>
      <c r="D197" s="38">
        <v>0</v>
      </c>
      <c r="E197" s="38">
        <v>0</v>
      </c>
      <c r="F197" s="38">
        <v>0</v>
      </c>
      <c r="G197" s="38">
        <v>0</v>
      </c>
      <c r="H197" s="38">
        <v>0</v>
      </c>
      <c r="I197" s="27" t="e">
        <v>#DIV/0!</v>
      </c>
      <c r="J197" s="27" t="e">
        <v>#DIV/0!</v>
      </c>
    </row>
    <row r="198" spans="1:10" ht="28.8" x14ac:dyDescent="0.3">
      <c r="A198" s="18" t="s">
        <v>1177</v>
      </c>
      <c r="B198" s="37">
        <v>1000000000</v>
      </c>
      <c r="C198" s="37">
        <v>4761322438.1299992</v>
      </c>
      <c r="D198" s="37">
        <v>4757299868</v>
      </c>
      <c r="E198" s="37">
        <v>963500000</v>
      </c>
      <c r="F198" s="37">
        <v>963500000</v>
      </c>
      <c r="G198" s="37">
        <v>1322570.1299991608</v>
      </c>
      <c r="H198" s="37">
        <v>4022570.1299991608</v>
      </c>
      <c r="I198" s="31">
        <v>0.99972222630431251</v>
      </c>
      <c r="J198" s="31">
        <v>0.99915515695854051</v>
      </c>
    </row>
    <row r="199" spans="1:10" ht="28.8" x14ac:dyDescent="0.3">
      <c r="A199" s="19" t="s">
        <v>1353</v>
      </c>
      <c r="B199" s="38">
        <v>1000000000</v>
      </c>
      <c r="C199" s="38">
        <v>4761322438.1299992</v>
      </c>
      <c r="D199" s="38">
        <v>4757299868</v>
      </c>
      <c r="E199" s="38">
        <v>963500000</v>
      </c>
      <c r="F199" s="38">
        <v>963500000</v>
      </c>
      <c r="G199" s="38">
        <v>1322570.1299991608</v>
      </c>
      <c r="H199" s="38">
        <v>4022570.1299991608</v>
      </c>
      <c r="I199" s="27">
        <v>0.99972222630431251</v>
      </c>
      <c r="J199" s="27">
        <v>0.99915515695854051</v>
      </c>
    </row>
    <row r="200" spans="1:10" x14ac:dyDescent="0.3">
      <c r="A200" s="18" t="s">
        <v>1213</v>
      </c>
      <c r="B200" s="37">
        <v>150000000</v>
      </c>
      <c r="C200" s="37">
        <v>150000000</v>
      </c>
      <c r="D200" s="37">
        <v>140733333</v>
      </c>
      <c r="E200" s="37">
        <v>129933333</v>
      </c>
      <c r="F200" s="37">
        <v>54800000</v>
      </c>
      <c r="G200" s="37">
        <v>700000</v>
      </c>
      <c r="H200" s="37">
        <v>9266667</v>
      </c>
      <c r="I200" s="31">
        <v>0.99533333333333329</v>
      </c>
      <c r="J200" s="31">
        <v>0.93822222</v>
      </c>
    </row>
    <row r="201" spans="1:10" ht="28.8" x14ac:dyDescent="0.3">
      <c r="A201" s="19" t="s">
        <v>1354</v>
      </c>
      <c r="B201" s="38">
        <v>150000000</v>
      </c>
      <c r="C201" s="38">
        <v>150000000</v>
      </c>
      <c r="D201" s="38">
        <v>140733333</v>
      </c>
      <c r="E201" s="38">
        <v>129933333</v>
      </c>
      <c r="F201" s="38">
        <v>54800000</v>
      </c>
      <c r="G201" s="38">
        <v>700000</v>
      </c>
      <c r="H201" s="38">
        <v>9266667</v>
      </c>
      <c r="I201" s="27">
        <v>0.99533333333333329</v>
      </c>
      <c r="J201" s="27">
        <v>0.93822222</v>
      </c>
    </row>
    <row r="202" spans="1:10" x14ac:dyDescent="0.3">
      <c r="A202" s="18" t="s">
        <v>1151</v>
      </c>
      <c r="B202" s="37">
        <v>319471142</v>
      </c>
      <c r="C202" s="37">
        <v>831360341.96000004</v>
      </c>
      <c r="D202" s="37">
        <v>807237354</v>
      </c>
      <c r="E202" s="37">
        <v>560008805.86000001</v>
      </c>
      <c r="F202" s="37">
        <v>40595000</v>
      </c>
      <c r="G202" s="37">
        <v>0</v>
      </c>
      <c r="H202" s="37">
        <v>24122987.960000038</v>
      </c>
      <c r="I202" s="31">
        <v>1</v>
      </c>
      <c r="J202" s="31">
        <v>0.97098371579389009</v>
      </c>
    </row>
    <row r="203" spans="1:10" ht="28.8" x14ac:dyDescent="0.3">
      <c r="A203" s="19" t="s">
        <v>1355</v>
      </c>
      <c r="B203" s="38">
        <v>0</v>
      </c>
      <c r="C203" s="38">
        <v>511889199.95999998</v>
      </c>
      <c r="D203" s="38">
        <v>511889199.95999998</v>
      </c>
      <c r="E203" s="38">
        <v>306656941.60000002</v>
      </c>
      <c r="F203" s="38">
        <v>0</v>
      </c>
      <c r="G203" s="38">
        <v>0</v>
      </c>
      <c r="H203" s="38">
        <v>0</v>
      </c>
      <c r="I203" s="27">
        <v>1</v>
      </c>
      <c r="J203" s="27">
        <v>1</v>
      </c>
    </row>
    <row r="204" spans="1:10" ht="28.8" x14ac:dyDescent="0.3">
      <c r="A204" s="19" t="s">
        <v>1356</v>
      </c>
      <c r="B204" s="38">
        <v>319471142</v>
      </c>
      <c r="C204" s="38">
        <v>319471142</v>
      </c>
      <c r="D204" s="38">
        <v>295348154.04000002</v>
      </c>
      <c r="E204" s="38">
        <v>253351864.25999999</v>
      </c>
      <c r="F204" s="38">
        <v>40595000</v>
      </c>
      <c r="G204" s="38">
        <v>0</v>
      </c>
      <c r="H204" s="38">
        <v>24122987.959999979</v>
      </c>
      <c r="I204" s="27">
        <v>1</v>
      </c>
      <c r="J204" s="27">
        <v>0.92449087010181352</v>
      </c>
    </row>
    <row r="205" spans="1:10" x14ac:dyDescent="0.3">
      <c r="A205" s="16" t="s">
        <v>1030</v>
      </c>
      <c r="B205" s="35">
        <v>1000000000</v>
      </c>
      <c r="C205" s="35">
        <v>1000000000</v>
      </c>
      <c r="D205" s="35">
        <v>1000000000</v>
      </c>
      <c r="E205" s="35">
        <v>900000000</v>
      </c>
      <c r="F205" s="35">
        <v>900000000</v>
      </c>
      <c r="G205" s="35">
        <v>0</v>
      </c>
      <c r="H205" s="35">
        <v>0</v>
      </c>
      <c r="I205" s="29">
        <v>1</v>
      </c>
      <c r="J205" s="29">
        <v>1</v>
      </c>
    </row>
    <row r="206" spans="1:10" ht="28.8" x14ac:dyDescent="0.3">
      <c r="A206" s="17" t="s">
        <v>1038</v>
      </c>
      <c r="B206" s="36">
        <v>1000000000</v>
      </c>
      <c r="C206" s="36">
        <v>1000000000</v>
      </c>
      <c r="D206" s="36">
        <v>1000000000</v>
      </c>
      <c r="E206" s="36">
        <v>900000000</v>
      </c>
      <c r="F206" s="36">
        <v>900000000</v>
      </c>
      <c r="G206" s="36">
        <v>0</v>
      </c>
      <c r="H206" s="36">
        <v>0</v>
      </c>
      <c r="I206" s="30">
        <v>1</v>
      </c>
      <c r="J206" s="30">
        <v>1</v>
      </c>
    </row>
    <row r="207" spans="1:10" x14ac:dyDescent="0.3">
      <c r="A207" s="18" t="s">
        <v>1150</v>
      </c>
      <c r="B207" s="37">
        <v>1000000000</v>
      </c>
      <c r="C207" s="37">
        <v>1000000000</v>
      </c>
      <c r="D207" s="37">
        <v>1000000000</v>
      </c>
      <c r="E207" s="37">
        <v>900000000</v>
      </c>
      <c r="F207" s="37">
        <v>900000000</v>
      </c>
      <c r="G207" s="37">
        <v>0</v>
      </c>
      <c r="H207" s="37">
        <v>0</v>
      </c>
      <c r="I207" s="31">
        <v>1</v>
      </c>
      <c r="J207" s="31">
        <v>1</v>
      </c>
    </row>
    <row r="208" spans="1:10" ht="28.8" x14ac:dyDescent="0.3">
      <c r="A208" s="19" t="s">
        <v>1357</v>
      </c>
      <c r="B208" s="38">
        <v>1000000000</v>
      </c>
      <c r="C208" s="38">
        <v>1000000000</v>
      </c>
      <c r="D208" s="38">
        <v>1000000000</v>
      </c>
      <c r="E208" s="38">
        <v>900000000</v>
      </c>
      <c r="F208" s="38">
        <v>900000000</v>
      </c>
      <c r="G208" s="38">
        <v>0</v>
      </c>
      <c r="H208" s="38">
        <v>0</v>
      </c>
      <c r="I208" s="27">
        <v>1</v>
      </c>
      <c r="J208" s="27">
        <v>1</v>
      </c>
    </row>
    <row r="209" spans="1:10" x14ac:dyDescent="0.3">
      <c r="A209" s="16" t="s">
        <v>1055</v>
      </c>
      <c r="B209" s="35">
        <v>2647022339</v>
      </c>
      <c r="C209" s="35">
        <v>2603939807.8899999</v>
      </c>
      <c r="D209" s="35">
        <v>2346689138</v>
      </c>
      <c r="E209" s="35">
        <v>1804203183</v>
      </c>
      <c r="F209" s="35">
        <v>1718871198</v>
      </c>
      <c r="G209" s="35">
        <v>122302178.88999987</v>
      </c>
      <c r="H209" s="35">
        <v>257250669.88999987</v>
      </c>
      <c r="I209" s="29">
        <v>0.95303187173550585</v>
      </c>
      <c r="J209" s="29">
        <v>0.90120713654343154</v>
      </c>
    </row>
    <row r="210" spans="1:10" x14ac:dyDescent="0.3">
      <c r="A210" s="17" t="s">
        <v>1056</v>
      </c>
      <c r="B210" s="36">
        <v>2246974652</v>
      </c>
      <c r="C210" s="36">
        <v>2282529780.8899999</v>
      </c>
      <c r="D210" s="36">
        <v>2040189138</v>
      </c>
      <c r="E210" s="36">
        <v>1804203183</v>
      </c>
      <c r="F210" s="36">
        <v>1718871198</v>
      </c>
      <c r="G210" s="36">
        <v>107392151.88999987</v>
      </c>
      <c r="H210" s="36">
        <v>242340642.88999987</v>
      </c>
      <c r="I210" s="30">
        <v>0.95295038304029234</v>
      </c>
      <c r="J210" s="30">
        <v>0.8938280477569468</v>
      </c>
    </row>
    <row r="211" spans="1:10" x14ac:dyDescent="0.3">
      <c r="A211" s="18" t="s">
        <v>1164</v>
      </c>
      <c r="B211" s="37">
        <v>2126000000</v>
      </c>
      <c r="C211" s="37">
        <v>2161555128.8899999</v>
      </c>
      <c r="D211" s="37">
        <v>2025189138</v>
      </c>
      <c r="E211" s="37">
        <v>1789203183</v>
      </c>
      <c r="F211" s="37">
        <v>1703871198</v>
      </c>
      <c r="G211" s="37">
        <v>11417499.889999866</v>
      </c>
      <c r="H211" s="37">
        <v>136365990.88999987</v>
      </c>
      <c r="I211" s="31">
        <v>0.9947179233425969</v>
      </c>
      <c r="J211" s="31">
        <v>0.93691301736078025</v>
      </c>
    </row>
    <row r="212" spans="1:10" ht="57.6" x14ac:dyDescent="0.3">
      <c r="A212" s="19" t="s">
        <v>1358</v>
      </c>
      <c r="B212" s="38">
        <v>2126000000</v>
      </c>
      <c r="C212" s="38">
        <v>2161555128.8899999</v>
      </c>
      <c r="D212" s="38">
        <v>2025189138</v>
      </c>
      <c r="E212" s="38">
        <v>1789203183</v>
      </c>
      <c r="F212" s="38">
        <v>1703871198</v>
      </c>
      <c r="G212" s="38">
        <v>11417499.889999866</v>
      </c>
      <c r="H212" s="38">
        <v>136365990.88999987</v>
      </c>
      <c r="I212" s="27">
        <v>0.9947179233425969</v>
      </c>
      <c r="J212" s="27">
        <v>0.93691301736078025</v>
      </c>
    </row>
    <row r="213" spans="1:10" x14ac:dyDescent="0.3">
      <c r="A213" s="18" t="s">
        <v>1166</v>
      </c>
      <c r="B213" s="37">
        <v>120974651</v>
      </c>
      <c r="C213" s="37">
        <v>120974651</v>
      </c>
      <c r="D213" s="37">
        <v>15000000</v>
      </c>
      <c r="E213" s="37">
        <v>15000000</v>
      </c>
      <c r="F213" s="37">
        <v>15000000</v>
      </c>
      <c r="G213" s="37">
        <v>95974651</v>
      </c>
      <c r="H213" s="37">
        <v>105974651</v>
      </c>
      <c r="I213" s="31">
        <v>0.20665486358790983</v>
      </c>
      <c r="J213" s="31">
        <v>0.12399291815274591</v>
      </c>
    </row>
    <row r="214" spans="1:10" x14ac:dyDescent="0.3">
      <c r="A214" s="19" t="s">
        <v>1359</v>
      </c>
      <c r="B214" s="38">
        <v>11974651</v>
      </c>
      <c r="C214" s="38">
        <v>11974651</v>
      </c>
      <c r="D214" s="38">
        <v>0</v>
      </c>
      <c r="E214" s="38">
        <v>0</v>
      </c>
      <c r="F214" s="38">
        <v>0</v>
      </c>
      <c r="G214" s="38">
        <v>1974651</v>
      </c>
      <c r="H214" s="38">
        <v>11974651</v>
      </c>
      <c r="I214" s="27">
        <v>0.83509740701420021</v>
      </c>
      <c r="J214" s="27">
        <v>0</v>
      </c>
    </row>
    <row r="215" spans="1:10" ht="28.8" x14ac:dyDescent="0.3">
      <c r="A215" s="19" t="s">
        <v>1360</v>
      </c>
      <c r="B215" s="38">
        <v>109000000</v>
      </c>
      <c r="C215" s="38">
        <v>109000000</v>
      </c>
      <c r="D215" s="38">
        <v>15000000</v>
      </c>
      <c r="E215" s="38">
        <v>15000000</v>
      </c>
      <c r="F215" s="38">
        <v>15000000</v>
      </c>
      <c r="G215" s="38">
        <v>94000000</v>
      </c>
      <c r="H215" s="38">
        <v>94000000</v>
      </c>
      <c r="I215" s="27">
        <v>0.13761467889908258</v>
      </c>
      <c r="J215" s="27">
        <v>0.13761467889908258</v>
      </c>
    </row>
    <row r="216" spans="1:10" ht="28.8" x14ac:dyDescent="0.3">
      <c r="A216" s="18" t="s">
        <v>1214</v>
      </c>
      <c r="B216" s="37">
        <v>1</v>
      </c>
      <c r="C216" s="37">
        <v>1</v>
      </c>
      <c r="D216" s="37">
        <v>0</v>
      </c>
      <c r="E216" s="37">
        <v>0</v>
      </c>
      <c r="F216" s="37">
        <v>0</v>
      </c>
      <c r="G216" s="37">
        <v>1</v>
      </c>
      <c r="H216" s="37">
        <v>1</v>
      </c>
      <c r="I216" s="31">
        <v>0</v>
      </c>
      <c r="J216" s="31">
        <v>0</v>
      </c>
    </row>
    <row r="217" spans="1:10" ht="28.8" x14ac:dyDescent="0.3">
      <c r="A217" s="19" t="s">
        <v>1361</v>
      </c>
      <c r="B217" s="38">
        <v>1</v>
      </c>
      <c r="C217" s="38">
        <v>1</v>
      </c>
      <c r="D217" s="38">
        <v>0</v>
      </c>
      <c r="E217" s="38">
        <v>0</v>
      </c>
      <c r="F217" s="38">
        <v>0</v>
      </c>
      <c r="G217" s="38">
        <v>1</v>
      </c>
      <c r="H217" s="38">
        <v>1</v>
      </c>
      <c r="I217" s="27">
        <v>0</v>
      </c>
      <c r="J217" s="27">
        <v>0</v>
      </c>
    </row>
    <row r="218" spans="1:10" ht="28.8" x14ac:dyDescent="0.3">
      <c r="A218" s="17" t="s">
        <v>1133</v>
      </c>
      <c r="B218" s="36">
        <v>400047687</v>
      </c>
      <c r="C218" s="36">
        <v>321410027</v>
      </c>
      <c r="D218" s="36">
        <v>306500000</v>
      </c>
      <c r="E218" s="36">
        <v>0</v>
      </c>
      <c r="F218" s="36">
        <v>0</v>
      </c>
      <c r="G218" s="36">
        <v>14910027</v>
      </c>
      <c r="H218" s="36">
        <v>14910027</v>
      </c>
      <c r="I218" s="30">
        <v>0.95361057295203799</v>
      </c>
      <c r="J218" s="30">
        <v>0.95361057295203799</v>
      </c>
    </row>
    <row r="219" spans="1:10" x14ac:dyDescent="0.3">
      <c r="A219" s="18" t="s">
        <v>1134</v>
      </c>
      <c r="B219" s="37">
        <v>194847687</v>
      </c>
      <c r="C219" s="37">
        <v>116210027</v>
      </c>
      <c r="D219" s="37">
        <v>101300000</v>
      </c>
      <c r="E219" s="37">
        <v>0</v>
      </c>
      <c r="F219" s="37">
        <v>0</v>
      </c>
      <c r="G219" s="37">
        <v>14910027</v>
      </c>
      <c r="H219" s="37">
        <v>14910027</v>
      </c>
      <c r="I219" s="31">
        <v>0.87169758595787949</v>
      </c>
      <c r="J219" s="31">
        <v>0.87169758595787949</v>
      </c>
    </row>
    <row r="220" spans="1:10" ht="28.8" x14ac:dyDescent="0.3">
      <c r="A220" s="19" t="s">
        <v>1362</v>
      </c>
      <c r="B220" s="38">
        <v>66597687</v>
      </c>
      <c r="C220" s="38">
        <v>64910027</v>
      </c>
      <c r="D220" s="38">
        <v>50000000</v>
      </c>
      <c r="E220" s="38">
        <v>0</v>
      </c>
      <c r="F220" s="38">
        <v>0</v>
      </c>
      <c r="G220" s="38">
        <v>14910027</v>
      </c>
      <c r="H220" s="38">
        <v>14910027</v>
      </c>
      <c r="I220" s="27">
        <v>0.77029701435804365</v>
      </c>
      <c r="J220" s="27">
        <v>0.77029701435804365</v>
      </c>
    </row>
    <row r="221" spans="1:10" x14ac:dyDescent="0.3">
      <c r="A221" s="19" t="s">
        <v>1363</v>
      </c>
      <c r="B221" s="38">
        <v>51300000</v>
      </c>
      <c r="C221" s="38">
        <v>51300000</v>
      </c>
      <c r="D221" s="38">
        <v>51300000</v>
      </c>
      <c r="E221" s="38">
        <v>0</v>
      </c>
      <c r="F221" s="38">
        <v>0</v>
      </c>
      <c r="G221" s="38">
        <v>0</v>
      </c>
      <c r="H221" s="38">
        <v>0</v>
      </c>
      <c r="I221" s="27">
        <v>1</v>
      </c>
      <c r="J221" s="27">
        <v>1</v>
      </c>
    </row>
    <row r="222" spans="1:10" ht="28.8" x14ac:dyDescent="0.3">
      <c r="A222" s="19" t="s">
        <v>1364</v>
      </c>
      <c r="B222" s="38">
        <v>51300000</v>
      </c>
      <c r="C222" s="38">
        <v>0</v>
      </c>
      <c r="D222" s="38">
        <v>0</v>
      </c>
      <c r="E222" s="38">
        <v>0</v>
      </c>
      <c r="F222" s="38">
        <v>0</v>
      </c>
      <c r="G222" s="38">
        <v>0</v>
      </c>
      <c r="H222" s="38">
        <v>0</v>
      </c>
      <c r="I222" s="27" t="e">
        <v>#DIV/0!</v>
      </c>
      <c r="J222" s="27" t="e">
        <v>#DIV/0!</v>
      </c>
    </row>
    <row r="223" spans="1:10" ht="28.8" x14ac:dyDescent="0.3">
      <c r="A223" s="19" t="s">
        <v>1365</v>
      </c>
      <c r="B223" s="38">
        <v>25650000</v>
      </c>
      <c r="C223" s="38">
        <v>0</v>
      </c>
      <c r="D223" s="38">
        <v>0</v>
      </c>
      <c r="E223" s="38">
        <v>0</v>
      </c>
      <c r="F223" s="38">
        <v>0</v>
      </c>
      <c r="G223" s="38">
        <v>0</v>
      </c>
      <c r="H223" s="38">
        <v>0</v>
      </c>
      <c r="I223" s="27" t="e">
        <v>#DIV/0!</v>
      </c>
      <c r="J223" s="27" t="e">
        <v>#DIV/0!</v>
      </c>
    </row>
    <row r="224" spans="1:10" x14ac:dyDescent="0.3">
      <c r="A224" s="18" t="s">
        <v>1172</v>
      </c>
      <c r="B224" s="37">
        <v>102600000</v>
      </c>
      <c r="C224" s="37">
        <v>102600000</v>
      </c>
      <c r="D224" s="37">
        <v>102600000</v>
      </c>
      <c r="E224" s="37">
        <v>0</v>
      </c>
      <c r="F224" s="37">
        <v>0</v>
      </c>
      <c r="G224" s="37">
        <v>0</v>
      </c>
      <c r="H224" s="37">
        <v>0</v>
      </c>
      <c r="I224" s="31">
        <v>1</v>
      </c>
      <c r="J224" s="31">
        <v>1</v>
      </c>
    </row>
    <row r="225" spans="1:10" ht="28.8" x14ac:dyDescent="0.3">
      <c r="A225" s="19" t="s">
        <v>1366</v>
      </c>
      <c r="B225" s="38">
        <v>102600000</v>
      </c>
      <c r="C225" s="38">
        <v>102600000</v>
      </c>
      <c r="D225" s="38">
        <v>102600000</v>
      </c>
      <c r="E225" s="38">
        <v>0</v>
      </c>
      <c r="F225" s="38">
        <v>0</v>
      </c>
      <c r="G225" s="38">
        <v>0</v>
      </c>
      <c r="H225" s="38">
        <v>0</v>
      </c>
      <c r="I225" s="27">
        <v>1</v>
      </c>
      <c r="J225" s="27">
        <v>1</v>
      </c>
    </row>
    <row r="226" spans="1:10" x14ac:dyDescent="0.3">
      <c r="A226" s="18" t="s">
        <v>1171</v>
      </c>
      <c r="B226" s="37">
        <v>102600000</v>
      </c>
      <c r="C226" s="37">
        <v>102600000</v>
      </c>
      <c r="D226" s="37">
        <v>102600000</v>
      </c>
      <c r="E226" s="37">
        <v>0</v>
      </c>
      <c r="F226" s="37">
        <v>0</v>
      </c>
      <c r="G226" s="37">
        <v>0</v>
      </c>
      <c r="H226" s="37">
        <v>0</v>
      </c>
      <c r="I226" s="31">
        <v>1</v>
      </c>
      <c r="J226" s="31">
        <v>1</v>
      </c>
    </row>
    <row r="227" spans="1:10" ht="28.8" x14ac:dyDescent="0.3">
      <c r="A227" s="19" t="s">
        <v>1367</v>
      </c>
      <c r="B227" s="38">
        <v>102600000</v>
      </c>
      <c r="C227" s="38">
        <v>102600000</v>
      </c>
      <c r="D227" s="38">
        <v>102600000</v>
      </c>
      <c r="E227" s="38">
        <v>0</v>
      </c>
      <c r="F227" s="38">
        <v>0</v>
      </c>
      <c r="G227" s="38">
        <v>0</v>
      </c>
      <c r="H227" s="38">
        <v>0</v>
      </c>
      <c r="I227" s="27">
        <v>1</v>
      </c>
      <c r="J227" s="27">
        <v>1</v>
      </c>
    </row>
    <row r="228" spans="1:10" x14ac:dyDescent="0.3">
      <c r="A228" s="16" t="s">
        <v>1018</v>
      </c>
      <c r="B228" s="35">
        <v>10683092000</v>
      </c>
      <c r="C228" s="35">
        <v>10123609346.4</v>
      </c>
      <c r="D228" s="35">
        <v>9728059420.7700005</v>
      </c>
      <c r="E228" s="35">
        <v>2449030962.0100002</v>
      </c>
      <c r="F228" s="35">
        <v>2189842083.3400002</v>
      </c>
      <c r="G228" s="35">
        <v>188564485</v>
      </c>
      <c r="H228" s="35">
        <v>395549925.62999916</v>
      </c>
      <c r="I228" s="29">
        <v>0.98137378887826654</v>
      </c>
      <c r="J228" s="29">
        <v>0.96092797419423748</v>
      </c>
    </row>
    <row r="229" spans="1:10" x14ac:dyDescent="0.3">
      <c r="A229" s="17" t="s">
        <v>1104</v>
      </c>
      <c r="B229" s="36">
        <v>8443092000</v>
      </c>
      <c r="C229" s="36">
        <v>8143209346.3999996</v>
      </c>
      <c r="D229" s="36">
        <v>7979026726</v>
      </c>
      <c r="E229" s="36">
        <v>993726726</v>
      </c>
      <c r="F229" s="36">
        <v>879002960</v>
      </c>
      <c r="G229" s="36">
        <v>55092000</v>
      </c>
      <c r="H229" s="36">
        <v>164182620.39999962</v>
      </c>
      <c r="I229" s="30">
        <v>0.99323460841340705</v>
      </c>
      <c r="J229" s="30">
        <v>0.97983809412039957</v>
      </c>
    </row>
    <row r="230" spans="1:10" x14ac:dyDescent="0.3">
      <c r="A230" s="18" t="s">
        <v>1105</v>
      </c>
      <c r="B230" s="37">
        <v>8400000000</v>
      </c>
      <c r="C230" s="37">
        <v>8010117346.3999996</v>
      </c>
      <c r="D230" s="37">
        <v>7906169626</v>
      </c>
      <c r="E230" s="37">
        <v>920869626</v>
      </c>
      <c r="F230" s="37">
        <v>836002960</v>
      </c>
      <c r="G230" s="37">
        <v>0</v>
      </c>
      <c r="H230" s="37">
        <v>103947720.39999962</v>
      </c>
      <c r="I230" s="31">
        <v>1</v>
      </c>
      <c r="J230" s="31">
        <v>0.98702294661803958</v>
      </c>
    </row>
    <row r="231" spans="1:10" ht="43.2" x14ac:dyDescent="0.3">
      <c r="A231" s="19" t="s">
        <v>1368</v>
      </c>
      <c r="B231" s="38">
        <v>400000000</v>
      </c>
      <c r="C231" s="38">
        <v>241617346.40000001</v>
      </c>
      <c r="D231" s="38">
        <v>198516666</v>
      </c>
      <c r="E231" s="38">
        <v>198516666</v>
      </c>
      <c r="F231" s="38">
        <v>193150000</v>
      </c>
      <c r="G231" s="38">
        <v>0</v>
      </c>
      <c r="H231" s="38">
        <v>43100680.400000006</v>
      </c>
      <c r="I231" s="27">
        <v>1</v>
      </c>
      <c r="J231" s="27">
        <v>0.82161595166000045</v>
      </c>
    </row>
    <row r="232" spans="1:10" ht="43.2" x14ac:dyDescent="0.3">
      <c r="A232" s="19" t="s">
        <v>1369</v>
      </c>
      <c r="B232" s="38">
        <v>8000000000</v>
      </c>
      <c r="C232" s="38">
        <v>7768500000</v>
      </c>
      <c r="D232" s="38">
        <v>7707652960</v>
      </c>
      <c r="E232" s="38">
        <v>722352960</v>
      </c>
      <c r="F232" s="38">
        <v>642852960</v>
      </c>
      <c r="G232" s="38">
        <v>0</v>
      </c>
      <c r="H232" s="38">
        <v>60847040</v>
      </c>
      <c r="I232" s="27">
        <v>1</v>
      </c>
      <c r="J232" s="27">
        <v>0.99216746604878681</v>
      </c>
    </row>
    <row r="233" spans="1:10" ht="28.8" x14ac:dyDescent="0.3">
      <c r="A233" s="18" t="s">
        <v>1211</v>
      </c>
      <c r="B233" s="37">
        <v>43092000</v>
      </c>
      <c r="C233" s="37">
        <v>133092000</v>
      </c>
      <c r="D233" s="37">
        <v>72857100</v>
      </c>
      <c r="E233" s="37">
        <v>72857100</v>
      </c>
      <c r="F233" s="37">
        <v>43000000</v>
      </c>
      <c r="G233" s="37">
        <v>55092000</v>
      </c>
      <c r="H233" s="37">
        <v>60234900</v>
      </c>
      <c r="I233" s="31">
        <v>0.58606076999368861</v>
      </c>
      <c r="J233" s="31">
        <v>0.54741907853214322</v>
      </c>
    </row>
    <row r="234" spans="1:10" ht="57.6" x14ac:dyDescent="0.3">
      <c r="A234" s="19" t="s">
        <v>1370</v>
      </c>
      <c r="B234" s="38">
        <v>43092000</v>
      </c>
      <c r="C234" s="38">
        <v>133092000</v>
      </c>
      <c r="D234" s="38">
        <v>72857100</v>
      </c>
      <c r="E234" s="38">
        <v>72857100</v>
      </c>
      <c r="F234" s="38">
        <v>43000000</v>
      </c>
      <c r="G234" s="38">
        <v>55092000</v>
      </c>
      <c r="H234" s="38">
        <v>60234900</v>
      </c>
      <c r="I234" s="27">
        <v>0.58606076999368861</v>
      </c>
      <c r="J234" s="27">
        <v>0.54741907853214322</v>
      </c>
    </row>
    <row r="235" spans="1:10" x14ac:dyDescent="0.3">
      <c r="A235" s="17" t="s">
        <v>1162</v>
      </c>
      <c r="B235" s="36">
        <v>2240000000</v>
      </c>
      <c r="C235" s="36">
        <v>1980400000</v>
      </c>
      <c r="D235" s="36">
        <v>1749032694.77</v>
      </c>
      <c r="E235" s="36">
        <v>1455304236.01</v>
      </c>
      <c r="F235" s="36">
        <v>1310839123.3399999</v>
      </c>
      <c r="G235" s="36">
        <v>133472485</v>
      </c>
      <c r="H235" s="36">
        <v>231367305.23000002</v>
      </c>
      <c r="I235" s="30">
        <v>0.93260326954150674</v>
      </c>
      <c r="J235" s="30">
        <v>0.88317142737325793</v>
      </c>
    </row>
    <row r="236" spans="1:10" x14ac:dyDescent="0.3">
      <c r="A236" s="18" t="s">
        <v>1163</v>
      </c>
      <c r="B236" s="37">
        <v>615384616</v>
      </c>
      <c r="C236" s="37">
        <v>615384616</v>
      </c>
      <c r="D236" s="37">
        <v>538865005</v>
      </c>
      <c r="E236" s="37">
        <v>363166333</v>
      </c>
      <c r="F236" s="37">
        <v>325033000</v>
      </c>
      <c r="G236" s="37">
        <v>6466616</v>
      </c>
      <c r="H236" s="37">
        <v>76519611</v>
      </c>
      <c r="I236" s="31">
        <v>0.98949174901050829</v>
      </c>
      <c r="J236" s="31">
        <v>0.8756556322493444</v>
      </c>
    </row>
    <row r="237" spans="1:10" ht="28.8" x14ac:dyDescent="0.3">
      <c r="A237" s="19" t="s">
        <v>1371</v>
      </c>
      <c r="B237" s="38">
        <v>615384616</v>
      </c>
      <c r="C237" s="38">
        <v>615384616</v>
      </c>
      <c r="D237" s="38">
        <v>538865005</v>
      </c>
      <c r="E237" s="38">
        <v>363166333</v>
      </c>
      <c r="F237" s="38">
        <v>325033000</v>
      </c>
      <c r="G237" s="38">
        <v>6466616</v>
      </c>
      <c r="H237" s="38">
        <v>76519611</v>
      </c>
      <c r="I237" s="27">
        <v>0.98949174901050829</v>
      </c>
      <c r="J237" s="27">
        <v>0.8756556322493444</v>
      </c>
    </row>
    <row r="238" spans="1:10" x14ac:dyDescent="0.3">
      <c r="A238" s="18" t="s">
        <v>1212</v>
      </c>
      <c r="B238" s="37">
        <v>384615384</v>
      </c>
      <c r="C238" s="37">
        <v>384615384</v>
      </c>
      <c r="D238" s="37">
        <v>384147383.75999999</v>
      </c>
      <c r="E238" s="37">
        <v>266117597</v>
      </c>
      <c r="F238" s="37">
        <v>195722484</v>
      </c>
      <c r="G238" s="37">
        <v>0</v>
      </c>
      <c r="H238" s="37">
        <v>468000.24000000954</v>
      </c>
      <c r="I238" s="31">
        <v>1</v>
      </c>
      <c r="J238" s="31">
        <v>0.99878319937405313</v>
      </c>
    </row>
    <row r="239" spans="1:10" ht="28.8" x14ac:dyDescent="0.3">
      <c r="A239" s="19" t="s">
        <v>1372</v>
      </c>
      <c r="B239" s="38">
        <v>384615384</v>
      </c>
      <c r="C239" s="38">
        <v>384615384</v>
      </c>
      <c r="D239" s="38">
        <v>384147383.75999999</v>
      </c>
      <c r="E239" s="38">
        <v>266117597</v>
      </c>
      <c r="F239" s="38">
        <v>195722484</v>
      </c>
      <c r="G239" s="38">
        <v>0</v>
      </c>
      <c r="H239" s="38">
        <v>468000.24000000954</v>
      </c>
      <c r="I239" s="27">
        <v>1</v>
      </c>
      <c r="J239" s="27">
        <v>0.99878319937405313</v>
      </c>
    </row>
    <row r="240" spans="1:10" x14ac:dyDescent="0.3">
      <c r="A240" s="18" t="s">
        <v>1169</v>
      </c>
      <c r="B240" s="37">
        <v>640000000</v>
      </c>
      <c r="C240" s="37">
        <v>594000000</v>
      </c>
      <c r="D240" s="37">
        <v>593866668</v>
      </c>
      <c r="E240" s="37">
        <v>593866668</v>
      </c>
      <c r="F240" s="37">
        <v>575366668</v>
      </c>
      <c r="G240" s="37">
        <v>0</v>
      </c>
      <c r="H240" s="37">
        <v>133332</v>
      </c>
      <c r="I240" s="31">
        <v>1</v>
      </c>
      <c r="J240" s="31">
        <v>0.99977553535353536</v>
      </c>
    </row>
    <row r="241" spans="1:10" ht="28.8" x14ac:dyDescent="0.3">
      <c r="A241" s="19" t="s">
        <v>1373</v>
      </c>
      <c r="B241" s="38">
        <v>640000000</v>
      </c>
      <c r="C241" s="38">
        <v>594000000</v>
      </c>
      <c r="D241" s="38">
        <v>593866668</v>
      </c>
      <c r="E241" s="38">
        <v>593866668</v>
      </c>
      <c r="F241" s="38">
        <v>575366668</v>
      </c>
      <c r="G241" s="38">
        <v>0</v>
      </c>
      <c r="H241" s="38">
        <v>133332</v>
      </c>
      <c r="I241" s="27">
        <v>1</v>
      </c>
      <c r="J241" s="27">
        <v>0.99977553535353536</v>
      </c>
    </row>
    <row r="242" spans="1:10" ht="28.8" x14ac:dyDescent="0.3">
      <c r="A242" s="18" t="s">
        <v>1210</v>
      </c>
      <c r="B242" s="37">
        <v>600000000</v>
      </c>
      <c r="C242" s="37">
        <v>386400000</v>
      </c>
      <c r="D242" s="37">
        <v>232153638.00999999</v>
      </c>
      <c r="E242" s="37">
        <v>232153638.00999999</v>
      </c>
      <c r="F242" s="37">
        <v>214716971.34</v>
      </c>
      <c r="G242" s="37">
        <v>127005869</v>
      </c>
      <c r="H242" s="37">
        <v>154246361.99000001</v>
      </c>
      <c r="I242" s="31">
        <v>0.6713098628364389</v>
      </c>
      <c r="J242" s="31">
        <v>0.6008116925724637</v>
      </c>
    </row>
    <row r="243" spans="1:10" ht="28.8" x14ac:dyDescent="0.3">
      <c r="A243" s="19" t="s">
        <v>1374</v>
      </c>
      <c r="B243" s="38">
        <v>300000000</v>
      </c>
      <c r="C243" s="38">
        <v>300000000</v>
      </c>
      <c r="D243" s="38">
        <v>232153638.00999999</v>
      </c>
      <c r="E243" s="38">
        <v>232153638.00999999</v>
      </c>
      <c r="F243" s="38">
        <v>214716971.34</v>
      </c>
      <c r="G243" s="38">
        <v>40605869</v>
      </c>
      <c r="H243" s="38">
        <v>67846361.99000001</v>
      </c>
      <c r="I243" s="27">
        <v>0.86464710333333328</v>
      </c>
      <c r="J243" s="27">
        <v>0.77384546003333332</v>
      </c>
    </row>
    <row r="244" spans="1:10" ht="28.8" x14ac:dyDescent="0.3">
      <c r="A244" s="19" t="s">
        <v>1375</v>
      </c>
      <c r="B244" s="38">
        <v>300000000</v>
      </c>
      <c r="C244" s="38">
        <v>86400000</v>
      </c>
      <c r="D244" s="38">
        <v>0</v>
      </c>
      <c r="E244" s="38">
        <v>0</v>
      </c>
      <c r="F244" s="38">
        <v>0</v>
      </c>
      <c r="G244" s="38">
        <v>86400000</v>
      </c>
      <c r="H244" s="38">
        <v>86400000</v>
      </c>
      <c r="I244" s="27">
        <v>0</v>
      </c>
      <c r="J244" s="27">
        <v>0</v>
      </c>
    </row>
    <row r="245" spans="1:10" x14ac:dyDescent="0.3">
      <c r="A245" s="20" t="s">
        <v>1224</v>
      </c>
      <c r="B245" s="39">
        <v>17227928391</v>
      </c>
      <c r="C245" s="39">
        <v>56997881370.459999</v>
      </c>
      <c r="D245" s="39">
        <v>39752463553</v>
      </c>
      <c r="E245" s="39">
        <v>27291119425.27</v>
      </c>
      <c r="F245" s="39">
        <v>26658195474.779999</v>
      </c>
      <c r="G245" s="39">
        <v>13659510278.980003</v>
      </c>
      <c r="H245" s="39">
        <v>17245417817.460007</v>
      </c>
      <c r="I245" s="32">
        <v>0.76035056127438361</v>
      </c>
      <c r="J245" s="32">
        <v>0.69743756429519321</v>
      </c>
    </row>
    <row r="246" spans="1:10" x14ac:dyDescent="0.3">
      <c r="A246" s="16" t="s">
        <v>1026</v>
      </c>
      <c r="B246" s="35">
        <v>17077928391</v>
      </c>
      <c r="C246" s="35">
        <v>56847881370.459999</v>
      </c>
      <c r="D246" s="35">
        <v>39626205722</v>
      </c>
      <c r="E246" s="35">
        <v>27173090991.049999</v>
      </c>
      <c r="F246" s="35">
        <v>26540167040.559998</v>
      </c>
      <c r="G246" s="35">
        <v>13653430652.980003</v>
      </c>
      <c r="H246" s="35">
        <v>17221675648.460007</v>
      </c>
      <c r="I246" s="29">
        <v>0.7598251628058954</v>
      </c>
      <c r="J246" s="29">
        <v>0.69705686063774841</v>
      </c>
    </row>
    <row r="247" spans="1:10" x14ac:dyDescent="0.3">
      <c r="A247" s="17" t="s">
        <v>1098</v>
      </c>
      <c r="B247" s="36">
        <v>16277928391</v>
      </c>
      <c r="C247" s="36">
        <v>56688381370.459999</v>
      </c>
      <c r="D247" s="36">
        <v>39473700722</v>
      </c>
      <c r="E247" s="36">
        <v>27023390991.049999</v>
      </c>
      <c r="F247" s="36">
        <v>26392917040.559998</v>
      </c>
      <c r="G247" s="36">
        <v>13653430652.980003</v>
      </c>
      <c r="H247" s="36">
        <v>17214680648.460007</v>
      </c>
      <c r="I247" s="30">
        <v>0.75914940023151323</v>
      </c>
      <c r="J247" s="30">
        <v>0.69632788532165635</v>
      </c>
    </row>
    <row r="248" spans="1:10" x14ac:dyDescent="0.3">
      <c r="A248" s="18" t="s">
        <v>1139</v>
      </c>
      <c r="B248" s="37">
        <v>11816301750</v>
      </c>
      <c r="C248" s="37">
        <v>34287737554.039997</v>
      </c>
      <c r="D248" s="37">
        <v>20210930631.339996</v>
      </c>
      <c r="E248" s="37">
        <v>13225467525.889999</v>
      </c>
      <c r="F248" s="37">
        <v>12762834721.559998</v>
      </c>
      <c r="G248" s="37">
        <v>13653430651.029995</v>
      </c>
      <c r="H248" s="37">
        <v>14076806922.700001</v>
      </c>
      <c r="I248" s="31">
        <v>0.60179843801268063</v>
      </c>
      <c r="J248" s="31">
        <v>0.58945069208739953</v>
      </c>
    </row>
    <row r="249" spans="1:10" ht="28.8" x14ac:dyDescent="0.3">
      <c r="A249" s="19" t="s">
        <v>1376</v>
      </c>
      <c r="B249" s="38">
        <v>0</v>
      </c>
      <c r="C249" s="38">
        <v>774299317.32000005</v>
      </c>
      <c r="D249" s="38">
        <v>686586946</v>
      </c>
      <c r="E249" s="38">
        <v>78683160.450000003</v>
      </c>
      <c r="F249" s="38">
        <v>0</v>
      </c>
      <c r="G249" s="38">
        <v>0.69000005722045898</v>
      </c>
      <c r="H249" s="38">
        <v>87712371.320000052</v>
      </c>
      <c r="I249" s="27">
        <v>0.99999999910887172</v>
      </c>
      <c r="J249" s="27">
        <v>0.88672032977687543</v>
      </c>
    </row>
    <row r="250" spans="1:10" ht="28.8" x14ac:dyDescent="0.3">
      <c r="A250" s="19" t="s">
        <v>1377</v>
      </c>
      <c r="B250" s="38">
        <v>11816301750</v>
      </c>
      <c r="C250" s="38">
        <v>30832532005.439999</v>
      </c>
      <c r="D250" s="38">
        <v>16862028231.1</v>
      </c>
      <c r="E250" s="38">
        <v>10956256213.639999</v>
      </c>
      <c r="F250" s="38">
        <v>10572306569.759998</v>
      </c>
      <c r="G250" s="38">
        <v>13653430649.299997</v>
      </c>
      <c r="H250" s="38">
        <v>13970503774.339998</v>
      </c>
      <c r="I250" s="27">
        <v>0.55717452439874138</v>
      </c>
      <c r="J250" s="27">
        <v>0.5468908044310119</v>
      </c>
    </row>
    <row r="251" spans="1:10" ht="43.2" x14ac:dyDescent="0.3">
      <c r="A251" s="19" t="s">
        <v>1378</v>
      </c>
      <c r="B251" s="38">
        <v>0</v>
      </c>
      <c r="C251" s="38">
        <v>2680906231.2800002</v>
      </c>
      <c r="D251" s="38">
        <v>2662315454.2399998</v>
      </c>
      <c r="E251" s="38">
        <v>2190528151.8000002</v>
      </c>
      <c r="F251" s="38">
        <v>2190528151.8000002</v>
      </c>
      <c r="G251" s="38">
        <v>1.0400004386901855</v>
      </c>
      <c r="H251" s="38">
        <v>18590777.040000439</v>
      </c>
      <c r="I251" s="27">
        <v>0.99999999961207131</v>
      </c>
      <c r="J251" s="27">
        <v>0.99306548777309367</v>
      </c>
    </row>
    <row r="252" spans="1:10" ht="28.8" x14ac:dyDescent="0.3">
      <c r="A252" s="18" t="s">
        <v>1099</v>
      </c>
      <c r="B252" s="37">
        <v>2461626641</v>
      </c>
      <c r="C252" s="37">
        <v>4416227511.8099995</v>
      </c>
      <c r="D252" s="37">
        <v>3398601313.6499996</v>
      </c>
      <c r="E252" s="37">
        <v>3358974266.1499996</v>
      </c>
      <c r="F252" s="37">
        <v>3199083119.9900002</v>
      </c>
      <c r="G252" s="37">
        <v>0.67999935150146484</v>
      </c>
      <c r="H252" s="37">
        <v>1017626198.1599998</v>
      </c>
      <c r="I252" s="31">
        <v>0.99999999984602261</v>
      </c>
      <c r="J252" s="31">
        <v>0.76957115650436136</v>
      </c>
    </row>
    <row r="253" spans="1:10" ht="43.2" x14ac:dyDescent="0.3">
      <c r="A253" s="19" t="s">
        <v>1379</v>
      </c>
      <c r="B253" s="38">
        <v>2461626641</v>
      </c>
      <c r="C253" s="38">
        <v>4416227511.8099995</v>
      </c>
      <c r="D253" s="38">
        <v>3398601313.6499996</v>
      </c>
      <c r="E253" s="38">
        <v>3358974266.1499996</v>
      </c>
      <c r="F253" s="38">
        <v>3199083119.9900002</v>
      </c>
      <c r="G253" s="38">
        <v>0.67999935150146484</v>
      </c>
      <c r="H253" s="38">
        <v>1017626198.1599998</v>
      </c>
      <c r="I253" s="27">
        <v>0.99999999984602261</v>
      </c>
      <c r="J253" s="27">
        <v>0.76957115650436136</v>
      </c>
    </row>
    <row r="254" spans="1:10" x14ac:dyDescent="0.3">
      <c r="A254" s="18" t="s">
        <v>1158</v>
      </c>
      <c r="B254" s="37">
        <v>2000000000</v>
      </c>
      <c r="C254" s="37">
        <v>17984416304.610001</v>
      </c>
      <c r="D254" s="37">
        <v>15864168777.01</v>
      </c>
      <c r="E254" s="37">
        <v>10438949199.01</v>
      </c>
      <c r="F254" s="37">
        <v>10430999199.01</v>
      </c>
      <c r="G254" s="37">
        <v>1.2700004577636719</v>
      </c>
      <c r="H254" s="37">
        <v>2120247527.6000004</v>
      </c>
      <c r="I254" s="31">
        <v>0.99999999992938327</v>
      </c>
      <c r="J254" s="31">
        <v>0.88210640302757504</v>
      </c>
    </row>
    <row r="255" spans="1:10" ht="28.8" x14ac:dyDescent="0.3">
      <c r="A255" s="19" t="s">
        <v>1380</v>
      </c>
      <c r="B255" s="38">
        <v>0</v>
      </c>
      <c r="C255" s="38">
        <v>644031299</v>
      </c>
      <c r="D255" s="38">
        <v>0</v>
      </c>
      <c r="E255" s="38">
        <v>0</v>
      </c>
      <c r="F255" s="38">
        <v>0</v>
      </c>
      <c r="G255" s="38">
        <v>0</v>
      </c>
      <c r="H255" s="38">
        <v>644031299</v>
      </c>
      <c r="I255" s="27">
        <v>1</v>
      </c>
      <c r="J255" s="27">
        <v>0</v>
      </c>
    </row>
    <row r="256" spans="1:10" ht="28.8" x14ac:dyDescent="0.3">
      <c r="A256" s="19" t="s">
        <v>1381</v>
      </c>
      <c r="B256" s="38">
        <v>2000000000</v>
      </c>
      <c r="C256" s="38">
        <v>17340385005.610001</v>
      </c>
      <c r="D256" s="38">
        <v>15864168777.01</v>
      </c>
      <c r="E256" s="38">
        <v>10438949199.01</v>
      </c>
      <c r="F256" s="38">
        <v>10430999199.01</v>
      </c>
      <c r="G256" s="38">
        <v>1.2700004577636719</v>
      </c>
      <c r="H256" s="38">
        <v>1476216228.6000004</v>
      </c>
      <c r="I256" s="27">
        <v>0.99999999992676059</v>
      </c>
      <c r="J256" s="27">
        <v>0.9148683130090588</v>
      </c>
    </row>
    <row r="257" spans="1:10" x14ac:dyDescent="0.3">
      <c r="A257" s="17" t="s">
        <v>1091</v>
      </c>
      <c r="B257" s="36">
        <v>800000000</v>
      </c>
      <c r="C257" s="36">
        <v>159500000</v>
      </c>
      <c r="D257" s="36">
        <v>152505000</v>
      </c>
      <c r="E257" s="36">
        <v>149700000</v>
      </c>
      <c r="F257" s="36">
        <v>147250000</v>
      </c>
      <c r="G257" s="36">
        <v>0</v>
      </c>
      <c r="H257" s="36">
        <v>6995000</v>
      </c>
      <c r="I257" s="30">
        <v>1</v>
      </c>
      <c r="J257" s="30">
        <v>0.95614420062695926</v>
      </c>
    </row>
    <row r="258" spans="1:10" ht="28.8" x14ac:dyDescent="0.3">
      <c r="A258" s="18" t="s">
        <v>1092</v>
      </c>
      <c r="B258" s="37">
        <v>800000000</v>
      </c>
      <c r="C258" s="37">
        <v>159500000</v>
      </c>
      <c r="D258" s="37">
        <v>152505000</v>
      </c>
      <c r="E258" s="37">
        <v>149700000</v>
      </c>
      <c r="F258" s="37">
        <v>147250000</v>
      </c>
      <c r="G258" s="37">
        <v>0</v>
      </c>
      <c r="H258" s="37">
        <v>6995000</v>
      </c>
      <c r="I258" s="31">
        <v>1</v>
      </c>
      <c r="J258" s="31">
        <v>0.95614420062695926</v>
      </c>
    </row>
    <row r="259" spans="1:10" ht="57.6" x14ac:dyDescent="0.3">
      <c r="A259" s="19" t="s">
        <v>1382</v>
      </c>
      <c r="B259" s="38">
        <v>800000000</v>
      </c>
      <c r="C259" s="38">
        <v>159500000</v>
      </c>
      <c r="D259" s="38">
        <v>152505000</v>
      </c>
      <c r="E259" s="38">
        <v>149700000</v>
      </c>
      <c r="F259" s="38">
        <v>147250000</v>
      </c>
      <c r="G259" s="38">
        <v>0</v>
      </c>
      <c r="H259" s="38">
        <v>6995000</v>
      </c>
      <c r="I259" s="27">
        <v>1</v>
      </c>
      <c r="J259" s="27">
        <v>0.95614420062695926</v>
      </c>
    </row>
    <row r="260" spans="1:10" ht="28.8" x14ac:dyDescent="0.3">
      <c r="A260" s="16" t="s">
        <v>1060</v>
      </c>
      <c r="B260" s="35">
        <v>150000000</v>
      </c>
      <c r="C260" s="35">
        <v>150000000</v>
      </c>
      <c r="D260" s="35">
        <v>126257831</v>
      </c>
      <c r="E260" s="35">
        <v>118028434.22</v>
      </c>
      <c r="F260" s="35">
        <v>118028434.22</v>
      </c>
      <c r="G260" s="35">
        <v>6079626</v>
      </c>
      <c r="H260" s="35">
        <v>23742169</v>
      </c>
      <c r="I260" s="29">
        <v>0.95946916000000004</v>
      </c>
      <c r="J260" s="29">
        <v>0.84171887333333328</v>
      </c>
    </row>
    <row r="261" spans="1:10" ht="28.8" x14ac:dyDescent="0.3">
      <c r="A261" s="17" t="s">
        <v>1127</v>
      </c>
      <c r="B261" s="36">
        <v>150000000</v>
      </c>
      <c r="C261" s="36">
        <v>150000000</v>
      </c>
      <c r="D261" s="36">
        <v>126257831</v>
      </c>
      <c r="E261" s="36">
        <v>118028434.22</v>
      </c>
      <c r="F261" s="36">
        <v>118028434.22</v>
      </c>
      <c r="G261" s="36">
        <v>6079626</v>
      </c>
      <c r="H261" s="36">
        <v>23742169</v>
      </c>
      <c r="I261" s="30">
        <v>0.95946916000000004</v>
      </c>
      <c r="J261" s="30">
        <v>0.84171887333333328</v>
      </c>
    </row>
    <row r="262" spans="1:10" ht="43.2" x14ac:dyDescent="0.3">
      <c r="A262" s="18" t="s">
        <v>1128</v>
      </c>
      <c r="B262" s="37">
        <v>150000000</v>
      </c>
      <c r="C262" s="37">
        <v>150000000</v>
      </c>
      <c r="D262" s="37">
        <v>126257831</v>
      </c>
      <c r="E262" s="37">
        <v>118028434.22</v>
      </c>
      <c r="F262" s="37">
        <v>118028434.22</v>
      </c>
      <c r="G262" s="37">
        <v>6079626</v>
      </c>
      <c r="H262" s="37">
        <v>23742169</v>
      </c>
      <c r="I262" s="31">
        <v>0.95946916000000004</v>
      </c>
      <c r="J262" s="31">
        <v>0.84171887333333328</v>
      </c>
    </row>
    <row r="263" spans="1:10" ht="28.8" x14ac:dyDescent="0.3">
      <c r="A263" s="19" t="s">
        <v>1383</v>
      </c>
      <c r="B263" s="38">
        <v>150000000</v>
      </c>
      <c r="C263" s="38">
        <v>150000000</v>
      </c>
      <c r="D263" s="38">
        <v>126257831</v>
      </c>
      <c r="E263" s="38">
        <v>118028434.22</v>
      </c>
      <c r="F263" s="38">
        <v>118028434.22</v>
      </c>
      <c r="G263" s="38">
        <v>6079626</v>
      </c>
      <c r="H263" s="38">
        <v>23742169</v>
      </c>
      <c r="I263" s="27">
        <v>0.95946916000000004</v>
      </c>
      <c r="J263" s="27">
        <v>0.84171887333333328</v>
      </c>
    </row>
    <row r="264" spans="1:10" x14ac:dyDescent="0.3">
      <c r="A264" s="20" t="s">
        <v>1225</v>
      </c>
      <c r="B264" s="39">
        <v>597002921974</v>
      </c>
      <c r="C264" s="39">
        <v>646499184912.19995</v>
      </c>
      <c r="D264" s="39">
        <v>639891862677.09973</v>
      </c>
      <c r="E264" s="39">
        <v>605113042558.24988</v>
      </c>
      <c r="F264" s="39">
        <v>583976950493.16992</v>
      </c>
      <c r="G264" s="39">
        <v>2356764964.8997803</v>
      </c>
      <c r="H264" s="39">
        <v>6607322235.1002197</v>
      </c>
      <c r="I264" s="32">
        <v>0.9963545739578622</v>
      </c>
      <c r="J264" s="32">
        <v>0.98977984444636613</v>
      </c>
    </row>
    <row r="265" spans="1:10" x14ac:dyDescent="0.3">
      <c r="A265" s="16" t="s">
        <v>1030</v>
      </c>
      <c r="B265" s="35">
        <v>597002921974</v>
      </c>
      <c r="C265" s="35">
        <v>646499184912.19995</v>
      </c>
      <c r="D265" s="35">
        <v>639891862677.09973</v>
      </c>
      <c r="E265" s="35">
        <v>605113042558.24988</v>
      </c>
      <c r="F265" s="35">
        <v>583976950493.16992</v>
      </c>
      <c r="G265" s="35">
        <v>2356764964.8997803</v>
      </c>
      <c r="H265" s="35">
        <v>6607322235.1002197</v>
      </c>
      <c r="I265" s="29">
        <v>0.9963545739578622</v>
      </c>
      <c r="J265" s="29">
        <v>0.98977984444636613</v>
      </c>
    </row>
    <row r="266" spans="1:10" ht="28.8" x14ac:dyDescent="0.3">
      <c r="A266" s="17" t="s">
        <v>1038</v>
      </c>
      <c r="B266" s="36">
        <v>597002921974</v>
      </c>
      <c r="C266" s="36">
        <v>646499184912.19995</v>
      </c>
      <c r="D266" s="36">
        <v>639891862677.09973</v>
      </c>
      <c r="E266" s="36">
        <v>605113042558.24988</v>
      </c>
      <c r="F266" s="36">
        <v>583976950493.16992</v>
      </c>
      <c r="G266" s="36">
        <v>2356764964.8997803</v>
      </c>
      <c r="H266" s="36">
        <v>6607322235.1002197</v>
      </c>
      <c r="I266" s="30">
        <v>0.9963545739578622</v>
      </c>
      <c r="J266" s="30">
        <v>0.98977984444636613</v>
      </c>
    </row>
    <row r="267" spans="1:10" ht="28.8" x14ac:dyDescent="0.3">
      <c r="A267" s="18" t="s">
        <v>1039</v>
      </c>
      <c r="B267" s="37">
        <v>573948704969</v>
      </c>
      <c r="C267" s="37">
        <v>616655764785.44995</v>
      </c>
      <c r="D267" s="37">
        <v>614636275986.30981</v>
      </c>
      <c r="E267" s="37">
        <v>593370039902.62988</v>
      </c>
      <c r="F267" s="37">
        <v>573442272062.29993</v>
      </c>
      <c r="G267" s="37">
        <v>1763351218.3098145</v>
      </c>
      <c r="H267" s="37">
        <v>2019488799.1401367</v>
      </c>
      <c r="I267" s="31">
        <v>0.99714046098486842</v>
      </c>
      <c r="J267" s="31">
        <v>0.99672509540254961</v>
      </c>
    </row>
    <row r="268" spans="1:10" ht="43.2" x14ac:dyDescent="0.3">
      <c r="A268" s="19" t="s">
        <v>1384</v>
      </c>
      <c r="B268" s="38">
        <v>410194887080</v>
      </c>
      <c r="C268" s="38">
        <v>417988242761.20001</v>
      </c>
      <c r="D268" s="38">
        <v>417988242761</v>
      </c>
      <c r="E268" s="38">
        <v>417885866046</v>
      </c>
      <c r="F268" s="38">
        <v>408368980533</v>
      </c>
      <c r="G268" s="38">
        <v>0.20001220703125</v>
      </c>
      <c r="H268" s="38">
        <v>0.20001220703125</v>
      </c>
      <c r="I268" s="27">
        <v>0.99999999999952149</v>
      </c>
      <c r="J268" s="27">
        <v>0.99999999999952149</v>
      </c>
    </row>
    <row r="269" spans="1:10" ht="43.2" x14ac:dyDescent="0.3">
      <c r="A269" s="19" t="s">
        <v>1385</v>
      </c>
      <c r="B269" s="38">
        <v>0</v>
      </c>
      <c r="C269" s="38">
        <v>5580627174.8000002</v>
      </c>
      <c r="D269" s="38">
        <v>5580627174</v>
      </c>
      <c r="E269" s="38">
        <v>5580627174</v>
      </c>
      <c r="F269" s="38">
        <v>5580627174</v>
      </c>
      <c r="G269" s="38">
        <v>0.80000019073486328</v>
      </c>
      <c r="H269" s="38">
        <v>0.80000019073486328</v>
      </c>
      <c r="I269" s="27">
        <v>0.99999999985664689</v>
      </c>
      <c r="J269" s="27">
        <v>0.99999999985664689</v>
      </c>
    </row>
    <row r="270" spans="1:10" ht="28.8" x14ac:dyDescent="0.3">
      <c r="A270" s="19" t="s">
        <v>1386</v>
      </c>
      <c r="B270" s="38">
        <v>54998764487</v>
      </c>
      <c r="C270" s="38">
        <v>64932777750.880005</v>
      </c>
      <c r="D270" s="38">
        <v>64673223341.429993</v>
      </c>
      <c r="E270" s="38">
        <v>62492913530.130005</v>
      </c>
      <c r="F270" s="38">
        <v>57866128564.130005</v>
      </c>
      <c r="G270" s="38">
        <v>216200065.38999939</v>
      </c>
      <c r="H270" s="38">
        <v>259554409.45001221</v>
      </c>
      <c r="I270" s="27">
        <v>0.99667040171576415</v>
      </c>
      <c r="J270" s="27">
        <v>0.99600272129977541</v>
      </c>
    </row>
    <row r="271" spans="1:10" ht="28.8" x14ac:dyDescent="0.3">
      <c r="A271" s="19" t="s">
        <v>1387</v>
      </c>
      <c r="B271" s="38">
        <v>73826478309</v>
      </c>
      <c r="C271" s="38">
        <v>73156012422.020004</v>
      </c>
      <c r="D271" s="38">
        <v>72957530308.320007</v>
      </c>
      <c r="E271" s="38">
        <v>72919945657.020004</v>
      </c>
      <c r="F271" s="38">
        <v>71562919761.020004</v>
      </c>
      <c r="G271" s="38">
        <v>15544430</v>
      </c>
      <c r="H271" s="38">
        <v>198482113.69999695</v>
      </c>
      <c r="I271" s="27">
        <v>0.999787516712771</v>
      </c>
      <c r="J271" s="27">
        <v>0.99728686532892197</v>
      </c>
    </row>
    <row r="272" spans="1:10" ht="28.8" x14ac:dyDescent="0.3">
      <c r="A272" s="19" t="s">
        <v>1388</v>
      </c>
      <c r="B272" s="38">
        <v>0</v>
      </c>
      <c r="C272" s="38">
        <v>2429850000</v>
      </c>
      <c r="D272" s="38">
        <v>1838295951.6500001</v>
      </c>
      <c r="E272" s="38">
        <v>1744635616.6700001</v>
      </c>
      <c r="F272" s="38">
        <v>0</v>
      </c>
      <c r="G272" s="38">
        <v>591554003.95000005</v>
      </c>
      <c r="H272" s="38">
        <v>591554048.3499999</v>
      </c>
      <c r="I272" s="27">
        <v>0.75654711033602895</v>
      </c>
      <c r="J272" s="27">
        <v>0.75654709206329618</v>
      </c>
    </row>
    <row r="273" spans="1:10" ht="43.2" x14ac:dyDescent="0.3">
      <c r="A273" s="19" t="s">
        <v>1389</v>
      </c>
      <c r="B273" s="38">
        <v>3853744496</v>
      </c>
      <c r="C273" s="38">
        <v>4551179315.4799995</v>
      </c>
      <c r="D273" s="38">
        <v>4551179271.0799999</v>
      </c>
      <c r="E273" s="38">
        <v>3848801767.3299999</v>
      </c>
      <c r="F273" s="38">
        <v>3519283701</v>
      </c>
      <c r="G273" s="38">
        <v>0</v>
      </c>
      <c r="H273" s="38">
        <v>44.399999618530273</v>
      </c>
      <c r="I273" s="27">
        <v>1</v>
      </c>
      <c r="J273" s="27">
        <v>0.99999999024428687</v>
      </c>
    </row>
    <row r="274" spans="1:10" ht="28.8" x14ac:dyDescent="0.3">
      <c r="A274" s="19" t="s">
        <v>1390</v>
      </c>
      <c r="B274" s="38">
        <v>0</v>
      </c>
      <c r="C274" s="38">
        <v>9734352</v>
      </c>
      <c r="D274" s="38">
        <v>6057084</v>
      </c>
      <c r="E274" s="38">
        <v>6057084</v>
      </c>
      <c r="F274" s="38">
        <v>6057084</v>
      </c>
      <c r="G274" s="38">
        <v>3677268</v>
      </c>
      <c r="H274" s="38">
        <v>3677268</v>
      </c>
      <c r="I274" s="27">
        <v>0.6222380287871242</v>
      </c>
      <c r="J274" s="27">
        <v>0.6222380287871242</v>
      </c>
    </row>
    <row r="275" spans="1:10" ht="28.8" x14ac:dyDescent="0.3">
      <c r="A275" s="19" t="s">
        <v>1391</v>
      </c>
      <c r="B275" s="38">
        <v>1638009053</v>
      </c>
      <c r="C275" s="38">
        <v>1638009053</v>
      </c>
      <c r="D275" s="38">
        <v>1479631323.48</v>
      </c>
      <c r="E275" s="38">
        <v>1466858649.48</v>
      </c>
      <c r="F275" s="38">
        <v>1466814449.48</v>
      </c>
      <c r="G275" s="38">
        <v>158377729.51999998</v>
      </c>
      <c r="H275" s="38">
        <v>158377729.51999998</v>
      </c>
      <c r="I275" s="27">
        <v>0.9033108338260204</v>
      </c>
      <c r="J275" s="27">
        <v>0.9033108338260204</v>
      </c>
    </row>
    <row r="276" spans="1:10" ht="28.8" x14ac:dyDescent="0.3">
      <c r="A276" s="19" t="s">
        <v>1392</v>
      </c>
      <c r="B276" s="38">
        <v>6061600000</v>
      </c>
      <c r="C276" s="38">
        <v>6839435621.1000004</v>
      </c>
      <c r="D276" s="38">
        <v>6761255595.8799992</v>
      </c>
      <c r="E276" s="38">
        <v>4889352933.9899998</v>
      </c>
      <c r="F276" s="38">
        <v>4011003909.2699995</v>
      </c>
      <c r="G276" s="38">
        <v>78180023.989999771</v>
      </c>
      <c r="H276" s="38">
        <v>78180025.220001221</v>
      </c>
      <c r="I276" s="27">
        <v>0.98856922876080444</v>
      </c>
      <c r="J276" s="27">
        <v>0.98856922858096474</v>
      </c>
    </row>
    <row r="277" spans="1:10" ht="43.2" x14ac:dyDescent="0.3">
      <c r="A277" s="19" t="s">
        <v>1393</v>
      </c>
      <c r="B277" s="38">
        <v>2841232833</v>
      </c>
      <c r="C277" s="38">
        <v>1700325168.8</v>
      </c>
      <c r="D277" s="38">
        <v>1700325167.99</v>
      </c>
      <c r="E277" s="38">
        <v>1684475842.99</v>
      </c>
      <c r="F277" s="38">
        <v>1654358929.6600001</v>
      </c>
      <c r="G277" s="38">
        <v>0</v>
      </c>
      <c r="H277" s="38">
        <v>0.80999994277954102</v>
      </c>
      <c r="I277" s="27">
        <v>1</v>
      </c>
      <c r="J277" s="27">
        <v>0.99999999952362062</v>
      </c>
    </row>
    <row r="278" spans="1:10" ht="28.8" x14ac:dyDescent="0.3">
      <c r="A278" s="19" t="s">
        <v>1394</v>
      </c>
      <c r="B278" s="38">
        <v>905827769</v>
      </c>
      <c r="C278" s="38">
        <v>868296649.33000004</v>
      </c>
      <c r="D278" s="38">
        <v>868296649.33000004</v>
      </c>
      <c r="E278" s="38">
        <v>864821225.33000004</v>
      </c>
      <c r="F278" s="38">
        <v>859473218.33000004</v>
      </c>
      <c r="G278" s="38">
        <v>0</v>
      </c>
      <c r="H278" s="38">
        <v>0</v>
      </c>
      <c r="I278" s="27">
        <v>1</v>
      </c>
      <c r="J278" s="27">
        <v>1</v>
      </c>
    </row>
    <row r="279" spans="1:10" ht="28.8" x14ac:dyDescent="0.3">
      <c r="A279" s="19" t="s">
        <v>1395</v>
      </c>
      <c r="B279" s="38">
        <v>19628160942</v>
      </c>
      <c r="C279" s="38">
        <v>19745100026</v>
      </c>
      <c r="D279" s="38">
        <v>19015444692.200001</v>
      </c>
      <c r="E279" s="38">
        <v>12197097187.35</v>
      </c>
      <c r="F279" s="38">
        <v>10758037550.07</v>
      </c>
      <c r="G279" s="38">
        <v>699817696.45999908</v>
      </c>
      <c r="H279" s="38">
        <v>729655333.79999924</v>
      </c>
      <c r="I279" s="27">
        <v>0.96455739927685902</v>
      </c>
      <c r="J279" s="27">
        <v>0.96304625791516874</v>
      </c>
    </row>
    <row r="280" spans="1:10" ht="28.8" x14ac:dyDescent="0.3">
      <c r="A280" s="19" t="s">
        <v>1396</v>
      </c>
      <c r="B280" s="38">
        <v>0</v>
      </c>
      <c r="C280" s="38">
        <v>17216174490.84</v>
      </c>
      <c r="D280" s="38">
        <v>17216166665.950001</v>
      </c>
      <c r="E280" s="38">
        <v>7788587188.3400002</v>
      </c>
      <c r="F280" s="38">
        <v>7788587188.3400002</v>
      </c>
      <c r="G280" s="38">
        <v>0</v>
      </c>
      <c r="H280" s="38">
        <v>7824.8899993896484</v>
      </c>
      <c r="I280" s="27">
        <v>1</v>
      </c>
      <c r="J280" s="27">
        <v>0.99999954549194403</v>
      </c>
    </row>
    <row r="281" spans="1:10" ht="28.8" x14ac:dyDescent="0.3">
      <c r="A281" s="18" t="s">
        <v>1103</v>
      </c>
      <c r="B281" s="37">
        <v>631022404</v>
      </c>
      <c r="C281" s="37">
        <v>631022404</v>
      </c>
      <c r="D281" s="37">
        <v>598607935.83999991</v>
      </c>
      <c r="E281" s="37">
        <v>455760325</v>
      </c>
      <c r="F281" s="37">
        <v>455760325</v>
      </c>
      <c r="G281" s="37">
        <v>29720911</v>
      </c>
      <c r="H281" s="37">
        <v>32414468.160000086</v>
      </c>
      <c r="I281" s="31">
        <v>0.95290038703602031</v>
      </c>
      <c r="J281" s="31">
        <v>0.94863182677108226</v>
      </c>
    </row>
    <row r="282" spans="1:10" ht="43.2" x14ac:dyDescent="0.3">
      <c r="A282" s="19" t="s">
        <v>1397</v>
      </c>
      <c r="B282" s="38">
        <v>176686273.12</v>
      </c>
      <c r="C282" s="38">
        <v>165773623.12</v>
      </c>
      <c r="D282" s="38">
        <v>163672541</v>
      </c>
      <c r="E282" s="38">
        <v>162130800</v>
      </c>
      <c r="F282" s="38">
        <v>162130800</v>
      </c>
      <c r="G282" s="38">
        <v>2101082.1200000048</v>
      </c>
      <c r="H282" s="38">
        <v>2101082.1200000048</v>
      </c>
      <c r="I282" s="27">
        <v>0.98732559450378254</v>
      </c>
      <c r="J282" s="27">
        <v>0.98732559450378254</v>
      </c>
    </row>
    <row r="283" spans="1:10" ht="43.2" x14ac:dyDescent="0.3">
      <c r="A283" s="19" t="s">
        <v>1398</v>
      </c>
      <c r="B283" s="38">
        <v>315511202</v>
      </c>
      <c r="C283" s="38">
        <v>315511202</v>
      </c>
      <c r="D283" s="38">
        <v>312817644.83999997</v>
      </c>
      <c r="E283" s="38">
        <v>171511775</v>
      </c>
      <c r="F283" s="38">
        <v>171511775</v>
      </c>
      <c r="G283" s="38">
        <v>0</v>
      </c>
      <c r="H283" s="38">
        <v>2693557.1600000262</v>
      </c>
      <c r="I283" s="27">
        <v>1</v>
      </c>
      <c r="J283" s="27">
        <v>0.99146287947012413</v>
      </c>
    </row>
    <row r="284" spans="1:10" ht="43.2" x14ac:dyDescent="0.3">
      <c r="A284" s="19" t="s">
        <v>1399</v>
      </c>
      <c r="B284" s="38">
        <v>138824928.88</v>
      </c>
      <c r="C284" s="38">
        <v>149737578.88</v>
      </c>
      <c r="D284" s="38">
        <v>122117750</v>
      </c>
      <c r="E284" s="38">
        <v>122117750</v>
      </c>
      <c r="F284" s="38">
        <v>122117750</v>
      </c>
      <c r="G284" s="38">
        <v>27619828.879999995</v>
      </c>
      <c r="H284" s="38">
        <v>27619828.879999995</v>
      </c>
      <c r="I284" s="27">
        <v>0.81554510840505456</v>
      </c>
      <c r="J284" s="27">
        <v>0.81554510840505456</v>
      </c>
    </row>
    <row r="285" spans="1:10" x14ac:dyDescent="0.3">
      <c r="A285" s="18" t="s">
        <v>1088</v>
      </c>
      <c r="B285" s="37">
        <v>1413376000</v>
      </c>
      <c r="C285" s="37">
        <v>1011981000.12</v>
      </c>
      <c r="D285" s="37">
        <v>907862692</v>
      </c>
      <c r="E285" s="37">
        <v>904062692</v>
      </c>
      <c r="F285" s="37">
        <v>864062692</v>
      </c>
      <c r="G285" s="37">
        <v>2019180.1200000048</v>
      </c>
      <c r="H285" s="37">
        <v>104118308.12</v>
      </c>
      <c r="I285" s="31">
        <v>0.99800472526681772</v>
      </c>
      <c r="J285" s="31">
        <v>0.89711436468900729</v>
      </c>
    </row>
    <row r="286" spans="1:10" ht="28.8" x14ac:dyDescent="0.3">
      <c r="A286" s="19" t="s">
        <v>1400</v>
      </c>
      <c r="B286" s="38">
        <v>1330876000</v>
      </c>
      <c r="C286" s="38">
        <v>929481000.12</v>
      </c>
      <c r="D286" s="38">
        <v>826062692</v>
      </c>
      <c r="E286" s="38">
        <v>826062692</v>
      </c>
      <c r="F286" s="38">
        <v>786062692</v>
      </c>
      <c r="G286" s="38">
        <v>1319180.1200000048</v>
      </c>
      <c r="H286" s="38">
        <v>103418308.12</v>
      </c>
      <c r="I286" s="27">
        <v>0.99858073471127473</v>
      </c>
      <c r="J286" s="27">
        <v>0.88873542535388217</v>
      </c>
    </row>
    <row r="287" spans="1:10" ht="28.8" x14ac:dyDescent="0.3">
      <c r="A287" s="19" t="s">
        <v>1401</v>
      </c>
      <c r="B287" s="38">
        <v>82500000</v>
      </c>
      <c r="C287" s="38">
        <v>82500000</v>
      </c>
      <c r="D287" s="38">
        <v>81800000</v>
      </c>
      <c r="E287" s="38">
        <v>78000000</v>
      </c>
      <c r="F287" s="38">
        <v>78000000</v>
      </c>
      <c r="G287" s="38">
        <v>700000</v>
      </c>
      <c r="H287" s="38">
        <v>700000</v>
      </c>
      <c r="I287" s="27">
        <v>0.99151515151515146</v>
      </c>
      <c r="J287" s="27">
        <v>0.99151515151515146</v>
      </c>
    </row>
    <row r="288" spans="1:10" x14ac:dyDescent="0.3">
      <c r="A288" s="18" t="s">
        <v>1087</v>
      </c>
      <c r="B288" s="37">
        <v>4858785746</v>
      </c>
      <c r="C288" s="37">
        <v>1602684158</v>
      </c>
      <c r="D288" s="37">
        <v>1251795119</v>
      </c>
      <c r="E288" s="37">
        <v>1251795119</v>
      </c>
      <c r="F288" s="37">
        <v>639424000</v>
      </c>
      <c r="G288" s="37">
        <v>10715704</v>
      </c>
      <c r="H288" s="37">
        <v>350889039</v>
      </c>
      <c r="I288" s="31">
        <v>0.99331390159033439</v>
      </c>
      <c r="J288" s="31">
        <v>0.781061641341812</v>
      </c>
    </row>
    <row r="289" spans="1:10" ht="28.8" x14ac:dyDescent="0.3">
      <c r="A289" s="19" t="s">
        <v>1402</v>
      </c>
      <c r="B289" s="38">
        <v>750785746</v>
      </c>
      <c r="C289" s="38">
        <v>589099714</v>
      </c>
      <c r="D289" s="38">
        <v>384912000</v>
      </c>
      <c r="E289" s="38">
        <v>384912000</v>
      </c>
      <c r="F289" s="38">
        <v>340424000</v>
      </c>
      <c r="G289" s="38">
        <v>2012</v>
      </c>
      <c r="H289" s="38">
        <v>204187714</v>
      </c>
      <c r="I289" s="27">
        <v>0.99999658461894958</v>
      </c>
      <c r="J289" s="27">
        <v>0.65339023403430141</v>
      </c>
    </row>
    <row r="290" spans="1:10" ht="28.8" x14ac:dyDescent="0.3">
      <c r="A290" s="19" t="s">
        <v>1403</v>
      </c>
      <c r="B290" s="38">
        <v>4108000000</v>
      </c>
      <c r="C290" s="38">
        <v>1013584444</v>
      </c>
      <c r="D290" s="38">
        <v>866883119</v>
      </c>
      <c r="E290" s="38">
        <v>866883119</v>
      </c>
      <c r="F290" s="38">
        <v>299000000</v>
      </c>
      <c r="G290" s="38">
        <v>10713692</v>
      </c>
      <c r="H290" s="38">
        <v>146701325</v>
      </c>
      <c r="I290" s="27">
        <v>0.98942989697264927</v>
      </c>
      <c r="J290" s="27">
        <v>0.85526482192143827</v>
      </c>
    </row>
    <row r="291" spans="1:10" x14ac:dyDescent="0.3">
      <c r="A291" s="18" t="s">
        <v>1100</v>
      </c>
      <c r="B291" s="37">
        <v>1185693727</v>
      </c>
      <c r="C291" s="37">
        <v>1748693727</v>
      </c>
      <c r="D291" s="37">
        <v>1738817734</v>
      </c>
      <c r="E291" s="37">
        <v>1583524401</v>
      </c>
      <c r="F291" s="37">
        <v>1553547080.7</v>
      </c>
      <c r="G291" s="37">
        <v>5275993</v>
      </c>
      <c r="H291" s="37">
        <v>9875993</v>
      </c>
      <c r="I291" s="31">
        <v>0.99698289476393831</v>
      </c>
      <c r="J291" s="31">
        <v>0.99435235979433467</v>
      </c>
    </row>
    <row r="292" spans="1:10" ht="43.2" x14ac:dyDescent="0.3">
      <c r="A292" s="19" t="s">
        <v>1404</v>
      </c>
      <c r="B292" s="38">
        <v>240000000</v>
      </c>
      <c r="C292" s="38">
        <v>240000000</v>
      </c>
      <c r="D292" s="38">
        <v>230661110</v>
      </c>
      <c r="E292" s="38">
        <v>108511110</v>
      </c>
      <c r="F292" s="38">
        <v>108511110</v>
      </c>
      <c r="G292" s="38">
        <v>4738890</v>
      </c>
      <c r="H292" s="38">
        <v>9338890</v>
      </c>
      <c r="I292" s="27">
        <v>0.98025462500000005</v>
      </c>
      <c r="J292" s="27">
        <v>0.96108795833333338</v>
      </c>
    </row>
    <row r="293" spans="1:10" ht="43.2" x14ac:dyDescent="0.3">
      <c r="A293" s="19" t="s">
        <v>1405</v>
      </c>
      <c r="B293" s="38">
        <v>945693727</v>
      </c>
      <c r="C293" s="38">
        <v>1508693727</v>
      </c>
      <c r="D293" s="38">
        <v>1508156624</v>
      </c>
      <c r="E293" s="38">
        <v>1475013291</v>
      </c>
      <c r="F293" s="38">
        <v>1445035970.7</v>
      </c>
      <c r="G293" s="38">
        <v>537103</v>
      </c>
      <c r="H293" s="38">
        <v>537103</v>
      </c>
      <c r="I293" s="27">
        <v>0.99964399467540177</v>
      </c>
      <c r="J293" s="27">
        <v>0.99964399467540177</v>
      </c>
    </row>
    <row r="294" spans="1:10" ht="28.8" x14ac:dyDescent="0.3">
      <c r="A294" s="18" t="s">
        <v>1183</v>
      </c>
      <c r="B294" s="37">
        <v>3170451700</v>
      </c>
      <c r="C294" s="37">
        <v>4258570030</v>
      </c>
      <c r="D294" s="37">
        <v>1260512001</v>
      </c>
      <c r="E294" s="37">
        <v>1018445221</v>
      </c>
      <c r="F294" s="37">
        <v>753355960</v>
      </c>
      <c r="G294" s="37">
        <v>22386239.369999886</v>
      </c>
      <c r="H294" s="37">
        <v>2998058029</v>
      </c>
      <c r="I294" s="31">
        <v>0.99474324967951744</v>
      </c>
      <c r="J294" s="31">
        <v>0.29599419338420507</v>
      </c>
    </row>
    <row r="295" spans="1:10" ht="43.2" x14ac:dyDescent="0.3">
      <c r="A295" s="19" t="s">
        <v>1406</v>
      </c>
      <c r="B295" s="38">
        <v>3170451700</v>
      </c>
      <c r="C295" s="38">
        <v>4258570030</v>
      </c>
      <c r="D295" s="38">
        <v>1260512001</v>
      </c>
      <c r="E295" s="38">
        <v>1018445221</v>
      </c>
      <c r="F295" s="38">
        <v>753355960</v>
      </c>
      <c r="G295" s="38">
        <v>22386239.369999886</v>
      </c>
      <c r="H295" s="38">
        <v>2998058029</v>
      </c>
      <c r="I295" s="27">
        <v>0.99474324967951744</v>
      </c>
      <c r="J295" s="27">
        <v>0.29599419338420507</v>
      </c>
    </row>
    <row r="296" spans="1:10" ht="28.8" x14ac:dyDescent="0.3">
      <c r="A296" s="18" t="s">
        <v>1077</v>
      </c>
      <c r="B296" s="37">
        <v>10045087428</v>
      </c>
      <c r="C296" s="37">
        <v>18321163040.630001</v>
      </c>
      <c r="D296" s="37">
        <v>17699080871.629997</v>
      </c>
      <c r="E296" s="37">
        <v>5197830004</v>
      </c>
      <c r="F296" s="37">
        <v>5066096812</v>
      </c>
      <c r="G296" s="37">
        <v>496268002.00000381</v>
      </c>
      <c r="H296" s="37">
        <v>622082169.00000381</v>
      </c>
      <c r="I296" s="31">
        <v>0.97291285488265933</v>
      </c>
      <c r="J296" s="31">
        <v>0.96604570530700262</v>
      </c>
    </row>
    <row r="297" spans="1:10" ht="43.2" x14ac:dyDescent="0.3">
      <c r="A297" s="19" t="s">
        <v>1407</v>
      </c>
      <c r="B297" s="38">
        <v>432000000</v>
      </c>
      <c r="C297" s="38">
        <v>1122298651</v>
      </c>
      <c r="D297" s="38">
        <v>500216483</v>
      </c>
      <c r="E297" s="38">
        <v>497683150</v>
      </c>
      <c r="F297" s="38">
        <v>365949958</v>
      </c>
      <c r="G297" s="38">
        <v>496268001</v>
      </c>
      <c r="H297" s="38">
        <v>622082168</v>
      </c>
      <c r="I297" s="27">
        <v>0.55781110441698289</v>
      </c>
      <c r="J297" s="27">
        <v>0.44570710528279872</v>
      </c>
    </row>
    <row r="298" spans="1:10" ht="28.8" x14ac:dyDescent="0.3">
      <c r="A298" s="19" t="s">
        <v>1408</v>
      </c>
      <c r="B298" s="38">
        <v>9413087428</v>
      </c>
      <c r="C298" s="38">
        <v>12330778966</v>
      </c>
      <c r="D298" s="38">
        <v>12330778965.629999</v>
      </c>
      <c r="E298" s="38">
        <v>4700146854</v>
      </c>
      <c r="F298" s="38">
        <v>4700146854</v>
      </c>
      <c r="G298" s="38">
        <v>0.37000083923339844</v>
      </c>
      <c r="H298" s="38">
        <v>0.37000083923339844</v>
      </c>
      <c r="I298" s="27">
        <v>0.99999999996999367</v>
      </c>
      <c r="J298" s="27">
        <v>0.99999999996999367</v>
      </c>
    </row>
    <row r="299" spans="1:10" ht="28.8" x14ac:dyDescent="0.3">
      <c r="A299" s="19" t="s">
        <v>1409</v>
      </c>
      <c r="B299" s="38">
        <v>0</v>
      </c>
      <c r="C299" s="38">
        <v>4155811781.6300001</v>
      </c>
      <c r="D299" s="38">
        <v>4155811781</v>
      </c>
      <c r="E299" s="38">
        <v>0</v>
      </c>
      <c r="F299" s="38">
        <v>0</v>
      </c>
      <c r="G299" s="38">
        <v>0.63000011444091797</v>
      </c>
      <c r="H299" s="38">
        <v>0.63000011444091797</v>
      </c>
      <c r="I299" s="27">
        <v>0.99999999984840504</v>
      </c>
      <c r="J299" s="27">
        <v>0.99999999984840504</v>
      </c>
    </row>
    <row r="300" spans="1:10" ht="28.8" x14ac:dyDescent="0.3">
      <c r="A300" s="19" t="s">
        <v>1410</v>
      </c>
      <c r="B300" s="38">
        <v>0</v>
      </c>
      <c r="C300" s="38">
        <v>712273642</v>
      </c>
      <c r="D300" s="38">
        <v>712273642</v>
      </c>
      <c r="E300" s="38">
        <v>0</v>
      </c>
      <c r="F300" s="38">
        <v>0</v>
      </c>
      <c r="G300" s="38">
        <v>0</v>
      </c>
      <c r="H300" s="38">
        <v>0</v>
      </c>
      <c r="I300" s="27">
        <v>1</v>
      </c>
      <c r="J300" s="27">
        <v>1</v>
      </c>
    </row>
    <row r="301" spans="1:10" ht="28.8" x14ac:dyDescent="0.3">
      <c r="A301" s="19" t="s">
        <v>1411</v>
      </c>
      <c r="B301" s="38">
        <v>200000000</v>
      </c>
      <c r="C301" s="38">
        <v>0</v>
      </c>
      <c r="D301" s="38">
        <v>0</v>
      </c>
      <c r="E301" s="38">
        <v>0</v>
      </c>
      <c r="F301" s="38">
        <v>0</v>
      </c>
      <c r="G301" s="38">
        <v>0</v>
      </c>
      <c r="H301" s="38">
        <v>0</v>
      </c>
      <c r="I301" s="27" t="e">
        <v>#DIV/0!</v>
      </c>
      <c r="J301" s="27" t="e">
        <v>#DIV/0!</v>
      </c>
    </row>
    <row r="302" spans="1:10" ht="28.8" x14ac:dyDescent="0.3">
      <c r="A302" s="18" t="s">
        <v>1070</v>
      </c>
      <c r="B302" s="37">
        <v>1749800000</v>
      </c>
      <c r="C302" s="37">
        <v>2269305767</v>
      </c>
      <c r="D302" s="37">
        <v>1798910337.3200002</v>
      </c>
      <c r="E302" s="37">
        <v>1331584893.6199999</v>
      </c>
      <c r="F302" s="37">
        <v>1202431561.1700001</v>
      </c>
      <c r="G302" s="37">
        <v>27027717.099999905</v>
      </c>
      <c r="H302" s="37">
        <v>470395429.67999983</v>
      </c>
      <c r="I302" s="31">
        <v>0.98808987422804184</v>
      </c>
      <c r="J302" s="31">
        <v>0.79271394956094521</v>
      </c>
    </row>
    <row r="303" spans="1:10" ht="28.8" x14ac:dyDescent="0.3">
      <c r="A303" s="19" t="s">
        <v>1412</v>
      </c>
      <c r="B303" s="38">
        <v>421800000</v>
      </c>
      <c r="C303" s="38">
        <v>358800000</v>
      </c>
      <c r="D303" s="38">
        <v>347786549.12</v>
      </c>
      <c r="E303" s="38">
        <v>313297176</v>
      </c>
      <c r="F303" s="38">
        <v>298897176</v>
      </c>
      <c r="G303" s="38">
        <v>2507972</v>
      </c>
      <c r="H303" s="38">
        <v>11013450.879999995</v>
      </c>
      <c r="I303" s="27">
        <v>0.99301011148272023</v>
      </c>
      <c r="J303" s="27">
        <v>0.96930476343366778</v>
      </c>
    </row>
    <row r="304" spans="1:10" ht="43.2" x14ac:dyDescent="0.3">
      <c r="A304" s="19" t="s">
        <v>1413</v>
      </c>
      <c r="B304" s="38">
        <v>828000000</v>
      </c>
      <c r="C304" s="38">
        <v>1318000000</v>
      </c>
      <c r="D304" s="38">
        <v>905464687.20000005</v>
      </c>
      <c r="E304" s="38">
        <v>492437081.35000002</v>
      </c>
      <c r="F304" s="38">
        <v>382437082.89999998</v>
      </c>
      <c r="G304" s="38">
        <v>3463078.0999999046</v>
      </c>
      <c r="H304" s="38">
        <v>412535312.79999995</v>
      </c>
      <c r="I304" s="27">
        <v>0.9973724748861913</v>
      </c>
      <c r="J304" s="27">
        <v>0.68699900394537183</v>
      </c>
    </row>
    <row r="305" spans="1:10" ht="28.8" x14ac:dyDescent="0.3">
      <c r="A305" s="19" t="s">
        <v>1414</v>
      </c>
      <c r="B305" s="38">
        <v>500000000</v>
      </c>
      <c r="C305" s="38">
        <v>592505767</v>
      </c>
      <c r="D305" s="38">
        <v>545659101</v>
      </c>
      <c r="E305" s="38">
        <v>525850636.26999998</v>
      </c>
      <c r="F305" s="38">
        <v>521097302.26999998</v>
      </c>
      <c r="G305" s="38">
        <v>21056667</v>
      </c>
      <c r="H305" s="38">
        <v>46846666</v>
      </c>
      <c r="I305" s="27">
        <v>0.96446166742542438</v>
      </c>
      <c r="J305" s="27">
        <v>0.92093466661565848</v>
      </c>
    </row>
    <row r="306" spans="1:10" x14ac:dyDescent="0.3">
      <c r="A306" s="20" t="s">
        <v>1226</v>
      </c>
      <c r="B306" s="39">
        <v>15768439281</v>
      </c>
      <c r="C306" s="39">
        <v>23791995175.899998</v>
      </c>
      <c r="D306" s="39">
        <v>17002159060.33</v>
      </c>
      <c r="E306" s="39">
        <v>12819461514.450001</v>
      </c>
      <c r="F306" s="39">
        <v>10414891605.950001</v>
      </c>
      <c r="G306" s="39">
        <v>2824580917.1499977</v>
      </c>
      <c r="H306" s="39">
        <v>6789836115.5699978</v>
      </c>
      <c r="I306" s="32">
        <v>0.88128019965256443</v>
      </c>
      <c r="J306" s="32">
        <v>0.71461678327643019</v>
      </c>
    </row>
    <row r="307" spans="1:10" x14ac:dyDescent="0.3">
      <c r="A307" s="16" t="s">
        <v>1026</v>
      </c>
      <c r="B307" s="35">
        <v>470000000</v>
      </c>
      <c r="C307" s="35">
        <v>470000000</v>
      </c>
      <c r="D307" s="35">
        <v>461989966.19</v>
      </c>
      <c r="E307" s="35">
        <v>313540149.17000002</v>
      </c>
      <c r="F307" s="35">
        <v>272290149.17000002</v>
      </c>
      <c r="G307" s="35">
        <v>609893</v>
      </c>
      <c r="H307" s="35">
        <v>8010033.8100000024</v>
      </c>
      <c r="I307" s="29">
        <v>0.99870235531914897</v>
      </c>
      <c r="J307" s="29">
        <v>0.98295737487234047</v>
      </c>
    </row>
    <row r="308" spans="1:10" x14ac:dyDescent="0.3">
      <c r="A308" s="17" t="s">
        <v>1084</v>
      </c>
      <c r="B308" s="36">
        <v>470000000</v>
      </c>
      <c r="C308" s="36">
        <v>470000000</v>
      </c>
      <c r="D308" s="36">
        <v>461989966.19</v>
      </c>
      <c r="E308" s="36">
        <v>313540149.17000002</v>
      </c>
      <c r="F308" s="36">
        <v>272290149.17000002</v>
      </c>
      <c r="G308" s="36">
        <v>609893</v>
      </c>
      <c r="H308" s="36">
        <v>8010033.8100000024</v>
      </c>
      <c r="I308" s="30">
        <v>0.99870235531914897</v>
      </c>
      <c r="J308" s="30">
        <v>0.98295737487234047</v>
      </c>
    </row>
    <row r="309" spans="1:10" x14ac:dyDescent="0.3">
      <c r="A309" s="18" t="s">
        <v>1156</v>
      </c>
      <c r="B309" s="37">
        <v>470000000</v>
      </c>
      <c r="C309" s="37">
        <v>470000000</v>
      </c>
      <c r="D309" s="37">
        <v>461989966.19</v>
      </c>
      <c r="E309" s="37">
        <v>313540149.17000002</v>
      </c>
      <c r="F309" s="37">
        <v>272290149.17000002</v>
      </c>
      <c r="G309" s="37">
        <v>609893</v>
      </c>
      <c r="H309" s="37">
        <v>8010033.8100000024</v>
      </c>
      <c r="I309" s="31">
        <v>0.99870235531914897</v>
      </c>
      <c r="J309" s="31">
        <v>0.98295737487234047</v>
      </c>
    </row>
    <row r="310" spans="1:10" ht="28.8" x14ac:dyDescent="0.3">
      <c r="A310" s="19" t="s">
        <v>1415</v>
      </c>
      <c r="B310" s="38">
        <v>105000000</v>
      </c>
      <c r="C310" s="38">
        <v>105000000</v>
      </c>
      <c r="D310" s="38">
        <v>104231000</v>
      </c>
      <c r="E310" s="38">
        <v>52045000</v>
      </c>
      <c r="F310" s="38">
        <v>52045000</v>
      </c>
      <c r="G310" s="38">
        <v>400000</v>
      </c>
      <c r="H310" s="38">
        <v>769000</v>
      </c>
      <c r="I310" s="27">
        <v>0.99619047619047618</v>
      </c>
      <c r="J310" s="27">
        <v>0.99267619047619049</v>
      </c>
    </row>
    <row r="311" spans="1:10" ht="28.8" x14ac:dyDescent="0.3">
      <c r="A311" s="19" t="s">
        <v>1416</v>
      </c>
      <c r="B311" s="38">
        <v>350000000</v>
      </c>
      <c r="C311" s="38">
        <v>350000000</v>
      </c>
      <c r="D311" s="38">
        <v>342758966.19</v>
      </c>
      <c r="E311" s="38">
        <v>246495149.19</v>
      </c>
      <c r="F311" s="38">
        <v>205245149.19</v>
      </c>
      <c r="G311" s="38">
        <v>209893</v>
      </c>
      <c r="H311" s="38">
        <v>7241033.8100000024</v>
      </c>
      <c r="I311" s="27">
        <v>0.99940030571428573</v>
      </c>
      <c r="J311" s="27">
        <v>0.97931133197142861</v>
      </c>
    </row>
    <row r="312" spans="1:10" ht="28.8" x14ac:dyDescent="0.3">
      <c r="A312" s="19" t="s">
        <v>1417</v>
      </c>
      <c r="B312" s="38">
        <v>15000000</v>
      </c>
      <c r="C312" s="38">
        <v>15000000</v>
      </c>
      <c r="D312" s="38">
        <v>15000000</v>
      </c>
      <c r="E312" s="38">
        <v>14999999.98</v>
      </c>
      <c r="F312" s="38">
        <v>14999999.98</v>
      </c>
      <c r="G312" s="38">
        <v>0</v>
      </c>
      <c r="H312" s="38">
        <v>0</v>
      </c>
      <c r="I312" s="27">
        <v>1</v>
      </c>
      <c r="J312" s="27">
        <v>1</v>
      </c>
    </row>
    <row r="313" spans="1:10" x14ac:dyDescent="0.3">
      <c r="A313" s="16" t="s">
        <v>1055</v>
      </c>
      <c r="B313" s="35">
        <v>977796854</v>
      </c>
      <c r="C313" s="35">
        <v>959796854</v>
      </c>
      <c r="D313" s="35">
        <v>898555233.60000002</v>
      </c>
      <c r="E313" s="35">
        <v>455234208</v>
      </c>
      <c r="F313" s="35">
        <v>448634208</v>
      </c>
      <c r="G313" s="35">
        <v>10592297</v>
      </c>
      <c r="H313" s="35">
        <v>61241620.399999976</v>
      </c>
      <c r="I313" s="29">
        <v>0.9889640219637561</v>
      </c>
      <c r="J313" s="29">
        <v>0.93619314322111757</v>
      </c>
    </row>
    <row r="314" spans="1:10" x14ac:dyDescent="0.3">
      <c r="A314" s="17" t="s">
        <v>1056</v>
      </c>
      <c r="B314" s="36">
        <v>730000000</v>
      </c>
      <c r="C314" s="36">
        <v>712000000</v>
      </c>
      <c r="D314" s="36">
        <v>693904358.60000002</v>
      </c>
      <c r="E314" s="36">
        <v>250583333</v>
      </c>
      <c r="F314" s="36">
        <v>243983333</v>
      </c>
      <c r="G314" s="36">
        <v>6630135</v>
      </c>
      <c r="H314" s="36">
        <v>18095641.399999976</v>
      </c>
      <c r="I314" s="30">
        <v>0.99068801264044948</v>
      </c>
      <c r="J314" s="30">
        <v>0.9745847733146068</v>
      </c>
    </row>
    <row r="315" spans="1:10" ht="28.8" x14ac:dyDescent="0.3">
      <c r="A315" s="18" t="s">
        <v>1059</v>
      </c>
      <c r="B315" s="37">
        <v>460000000</v>
      </c>
      <c r="C315" s="37">
        <v>460000000</v>
      </c>
      <c r="D315" s="37">
        <v>450204681</v>
      </c>
      <c r="E315" s="37">
        <v>138300000</v>
      </c>
      <c r="F315" s="37">
        <v>131700000</v>
      </c>
      <c r="G315" s="37">
        <v>950135</v>
      </c>
      <c r="H315" s="37">
        <v>9795319</v>
      </c>
      <c r="I315" s="31">
        <v>0.99793448913043481</v>
      </c>
      <c r="J315" s="31">
        <v>0.9787058282608696</v>
      </c>
    </row>
    <row r="316" spans="1:10" ht="57.6" x14ac:dyDescent="0.3">
      <c r="A316" s="19" t="s">
        <v>1418</v>
      </c>
      <c r="B316" s="38">
        <v>460000000</v>
      </c>
      <c r="C316" s="38">
        <v>460000000</v>
      </c>
      <c r="D316" s="38">
        <v>450204681</v>
      </c>
      <c r="E316" s="38">
        <v>138300000</v>
      </c>
      <c r="F316" s="38">
        <v>131700000</v>
      </c>
      <c r="G316" s="38">
        <v>950135</v>
      </c>
      <c r="H316" s="38">
        <v>9795319</v>
      </c>
      <c r="I316" s="27">
        <v>0.99793448913043481</v>
      </c>
      <c r="J316" s="27">
        <v>0.9787058282608696</v>
      </c>
    </row>
    <row r="317" spans="1:10" ht="28.8" x14ac:dyDescent="0.3">
      <c r="A317" s="18" t="s">
        <v>1159</v>
      </c>
      <c r="B317" s="37">
        <v>95000000</v>
      </c>
      <c r="C317" s="37">
        <v>95000000</v>
      </c>
      <c r="D317" s="37">
        <v>87500000</v>
      </c>
      <c r="E317" s="37">
        <v>15000000</v>
      </c>
      <c r="F317" s="37">
        <v>15000000</v>
      </c>
      <c r="G317" s="37">
        <v>5000000</v>
      </c>
      <c r="H317" s="37">
        <v>7500000</v>
      </c>
      <c r="I317" s="31">
        <v>0.94736842105263153</v>
      </c>
      <c r="J317" s="31">
        <v>0.92105263157894735</v>
      </c>
    </row>
    <row r="318" spans="1:10" ht="28.8" x14ac:dyDescent="0.3">
      <c r="A318" s="19" t="s">
        <v>1419</v>
      </c>
      <c r="B318" s="38">
        <v>95000000</v>
      </c>
      <c r="C318" s="38">
        <v>95000000</v>
      </c>
      <c r="D318" s="38">
        <v>87500000</v>
      </c>
      <c r="E318" s="38">
        <v>15000000</v>
      </c>
      <c r="F318" s="38">
        <v>15000000</v>
      </c>
      <c r="G318" s="38">
        <v>5000000</v>
      </c>
      <c r="H318" s="38">
        <v>7500000</v>
      </c>
      <c r="I318" s="27">
        <v>0.94736842105263153</v>
      </c>
      <c r="J318" s="27">
        <v>0.92105263157894735</v>
      </c>
    </row>
    <row r="319" spans="1:10" x14ac:dyDescent="0.3">
      <c r="A319" s="18" t="s">
        <v>1058</v>
      </c>
      <c r="B319" s="37">
        <v>95000000</v>
      </c>
      <c r="C319" s="37">
        <v>77000000</v>
      </c>
      <c r="D319" s="37">
        <v>76900000</v>
      </c>
      <c r="E319" s="37">
        <v>72883333</v>
      </c>
      <c r="F319" s="37">
        <v>72883333</v>
      </c>
      <c r="G319" s="37">
        <v>0</v>
      </c>
      <c r="H319" s="37">
        <v>100000</v>
      </c>
      <c r="I319" s="31">
        <v>1</v>
      </c>
      <c r="J319" s="31">
        <v>0.99870129870129876</v>
      </c>
    </row>
    <row r="320" spans="1:10" ht="28.8" x14ac:dyDescent="0.3">
      <c r="A320" s="19" t="s">
        <v>1420</v>
      </c>
      <c r="B320" s="38">
        <v>95000000</v>
      </c>
      <c r="C320" s="38">
        <v>77000000</v>
      </c>
      <c r="D320" s="38">
        <v>76900000</v>
      </c>
      <c r="E320" s="38">
        <v>72883333</v>
      </c>
      <c r="F320" s="38">
        <v>72883333</v>
      </c>
      <c r="G320" s="38">
        <v>0</v>
      </c>
      <c r="H320" s="38">
        <v>100000</v>
      </c>
      <c r="I320" s="27">
        <v>1</v>
      </c>
      <c r="J320" s="27">
        <v>0.99870129870129876</v>
      </c>
    </row>
    <row r="321" spans="1:10" x14ac:dyDescent="0.3">
      <c r="A321" s="18" t="s">
        <v>1057</v>
      </c>
      <c r="B321" s="37">
        <v>80000000</v>
      </c>
      <c r="C321" s="37">
        <v>80000000</v>
      </c>
      <c r="D321" s="37">
        <v>79299677.599999994</v>
      </c>
      <c r="E321" s="37">
        <v>24400000</v>
      </c>
      <c r="F321" s="37">
        <v>24400000</v>
      </c>
      <c r="G321" s="37">
        <v>680000</v>
      </c>
      <c r="H321" s="37">
        <v>700322.40000000596</v>
      </c>
      <c r="I321" s="31">
        <v>0.99150000000000005</v>
      </c>
      <c r="J321" s="31">
        <v>0.99124596999999992</v>
      </c>
    </row>
    <row r="322" spans="1:10" ht="28.8" x14ac:dyDescent="0.3">
      <c r="A322" s="19" t="s">
        <v>1421</v>
      </c>
      <c r="B322" s="38">
        <v>80000000</v>
      </c>
      <c r="C322" s="38">
        <v>80000000</v>
      </c>
      <c r="D322" s="38">
        <v>79299677.599999994</v>
      </c>
      <c r="E322" s="38">
        <v>24400000</v>
      </c>
      <c r="F322" s="38">
        <v>24400000</v>
      </c>
      <c r="G322" s="38">
        <v>680000</v>
      </c>
      <c r="H322" s="38">
        <v>700322.40000000596</v>
      </c>
      <c r="I322" s="27">
        <v>0.99150000000000005</v>
      </c>
      <c r="J322" s="27">
        <v>0.99124596999999992</v>
      </c>
    </row>
    <row r="323" spans="1:10" x14ac:dyDescent="0.3">
      <c r="A323" s="17" t="s">
        <v>1109</v>
      </c>
      <c r="B323" s="36">
        <v>247796854</v>
      </c>
      <c r="C323" s="36">
        <v>247796854</v>
      </c>
      <c r="D323" s="36">
        <v>204650875</v>
      </c>
      <c r="E323" s="36">
        <v>204650875</v>
      </c>
      <c r="F323" s="36">
        <v>204650875</v>
      </c>
      <c r="G323" s="36">
        <v>3962162</v>
      </c>
      <c r="H323" s="36">
        <v>43145979</v>
      </c>
      <c r="I323" s="30">
        <v>0.98401044268302129</v>
      </c>
      <c r="J323" s="30">
        <v>0.82588165142726144</v>
      </c>
    </row>
    <row r="324" spans="1:10" ht="28.8" x14ac:dyDescent="0.3">
      <c r="A324" s="18" t="s">
        <v>1157</v>
      </c>
      <c r="B324" s="37">
        <v>247796854</v>
      </c>
      <c r="C324" s="37">
        <v>247796854</v>
      </c>
      <c r="D324" s="37">
        <v>204650875</v>
      </c>
      <c r="E324" s="37">
        <v>204650875</v>
      </c>
      <c r="F324" s="37">
        <v>204650875</v>
      </c>
      <c r="G324" s="37">
        <v>3962162</v>
      </c>
      <c r="H324" s="37">
        <v>43145979</v>
      </c>
      <c r="I324" s="31">
        <v>0.98401044268302129</v>
      </c>
      <c r="J324" s="31">
        <v>0.82588165142726144</v>
      </c>
    </row>
    <row r="325" spans="1:10" ht="43.2" x14ac:dyDescent="0.3">
      <c r="A325" s="19" t="s">
        <v>1422</v>
      </c>
      <c r="B325" s="38">
        <v>247796854</v>
      </c>
      <c r="C325" s="38">
        <v>247796854</v>
      </c>
      <c r="D325" s="38">
        <v>204650875</v>
      </c>
      <c r="E325" s="38">
        <v>204650875</v>
      </c>
      <c r="F325" s="38">
        <v>204650875</v>
      </c>
      <c r="G325" s="38">
        <v>3962162</v>
      </c>
      <c r="H325" s="38">
        <v>43145979</v>
      </c>
      <c r="I325" s="27">
        <v>0.98401044268302129</v>
      </c>
      <c r="J325" s="27">
        <v>0.82588165142726144</v>
      </c>
    </row>
    <row r="326" spans="1:10" x14ac:dyDescent="0.3">
      <c r="A326" s="16" t="s">
        <v>1018</v>
      </c>
      <c r="B326" s="35">
        <v>500000000</v>
      </c>
      <c r="C326" s="35">
        <v>500000000</v>
      </c>
      <c r="D326" s="35">
        <v>477299886.23000002</v>
      </c>
      <c r="E326" s="35">
        <v>259900000</v>
      </c>
      <c r="F326" s="35">
        <v>218500000</v>
      </c>
      <c r="G326" s="35">
        <v>18295482</v>
      </c>
      <c r="H326" s="35">
        <v>22700113.769999981</v>
      </c>
      <c r="I326" s="29">
        <v>0.96340903600000005</v>
      </c>
      <c r="J326" s="29">
        <v>0.95459977246000005</v>
      </c>
    </row>
    <row r="327" spans="1:10" x14ac:dyDescent="0.3">
      <c r="A327" s="17" t="s">
        <v>1019</v>
      </c>
      <c r="B327" s="36">
        <v>500000000</v>
      </c>
      <c r="C327" s="36">
        <v>500000000</v>
      </c>
      <c r="D327" s="36">
        <v>477299886.23000002</v>
      </c>
      <c r="E327" s="36">
        <v>259900000</v>
      </c>
      <c r="F327" s="36">
        <v>218500000</v>
      </c>
      <c r="G327" s="36">
        <v>18295482</v>
      </c>
      <c r="H327" s="36">
        <v>22700113.769999981</v>
      </c>
      <c r="I327" s="30">
        <v>0.96340903600000005</v>
      </c>
      <c r="J327" s="30">
        <v>0.95459977246000005</v>
      </c>
    </row>
    <row r="328" spans="1:10" x14ac:dyDescent="0.3">
      <c r="A328" s="18" t="s">
        <v>1181</v>
      </c>
      <c r="B328" s="37">
        <v>500000000</v>
      </c>
      <c r="C328" s="37">
        <v>500000000</v>
      </c>
      <c r="D328" s="37">
        <v>477299886.23000002</v>
      </c>
      <c r="E328" s="37">
        <v>259900000</v>
      </c>
      <c r="F328" s="37">
        <v>218500000</v>
      </c>
      <c r="G328" s="37">
        <v>18295482</v>
      </c>
      <c r="H328" s="37">
        <v>22700113.769999981</v>
      </c>
      <c r="I328" s="31">
        <v>0.96340903600000005</v>
      </c>
      <c r="J328" s="31">
        <v>0.95459977246000005</v>
      </c>
    </row>
    <row r="329" spans="1:10" ht="43.2" x14ac:dyDescent="0.3">
      <c r="A329" s="19" t="s">
        <v>1423</v>
      </c>
      <c r="B329" s="38">
        <v>75000000</v>
      </c>
      <c r="C329" s="38">
        <v>75000000</v>
      </c>
      <c r="D329" s="38">
        <v>73845000</v>
      </c>
      <c r="E329" s="38">
        <v>0</v>
      </c>
      <c r="F329" s="38">
        <v>0</v>
      </c>
      <c r="G329" s="38">
        <v>1123334</v>
      </c>
      <c r="H329" s="38">
        <v>1155000</v>
      </c>
      <c r="I329" s="27">
        <v>0.98502221333333329</v>
      </c>
      <c r="J329" s="27">
        <v>0.98460000000000003</v>
      </c>
    </row>
    <row r="330" spans="1:10" ht="43.2" x14ac:dyDescent="0.3">
      <c r="A330" s="19" t="s">
        <v>1424</v>
      </c>
      <c r="B330" s="38">
        <v>100000000</v>
      </c>
      <c r="C330" s="38">
        <v>100000000</v>
      </c>
      <c r="D330" s="38">
        <v>97821853</v>
      </c>
      <c r="E330" s="38">
        <v>77300000</v>
      </c>
      <c r="F330" s="38">
        <v>63500000</v>
      </c>
      <c r="G330" s="38">
        <v>58813</v>
      </c>
      <c r="H330" s="38">
        <v>2178147</v>
      </c>
      <c r="I330" s="27">
        <v>0.99941186999999998</v>
      </c>
      <c r="J330" s="27">
        <v>0.97821853000000003</v>
      </c>
    </row>
    <row r="331" spans="1:10" ht="28.8" x14ac:dyDescent="0.3">
      <c r="A331" s="19" t="s">
        <v>1425</v>
      </c>
      <c r="B331" s="38">
        <v>325000000</v>
      </c>
      <c r="C331" s="38">
        <v>325000000</v>
      </c>
      <c r="D331" s="38">
        <v>305633033.23000002</v>
      </c>
      <c r="E331" s="38">
        <v>182600000</v>
      </c>
      <c r="F331" s="38">
        <v>155000000</v>
      </c>
      <c r="G331" s="38">
        <v>17113335</v>
      </c>
      <c r="H331" s="38">
        <v>19366966.769999981</v>
      </c>
      <c r="I331" s="27">
        <v>0.94734358461538459</v>
      </c>
      <c r="J331" s="27">
        <v>0.94040933301538465</v>
      </c>
    </row>
    <row r="332" spans="1:10" ht="28.8" x14ac:dyDescent="0.3">
      <c r="A332" s="16" t="s">
        <v>1060</v>
      </c>
      <c r="B332" s="35">
        <v>13820642427</v>
      </c>
      <c r="C332" s="35">
        <v>21862198321.899998</v>
      </c>
      <c r="D332" s="35">
        <v>15164313974.309999</v>
      </c>
      <c r="E332" s="35">
        <v>11790787157.279999</v>
      </c>
      <c r="F332" s="35">
        <v>9475467248.7799988</v>
      </c>
      <c r="G332" s="35">
        <v>2795083245.1499977</v>
      </c>
      <c r="H332" s="35">
        <v>6697884347.5899982</v>
      </c>
      <c r="I332" s="29">
        <v>0.87214994558209269</v>
      </c>
      <c r="J332" s="29">
        <v>0.69363170853314726</v>
      </c>
    </row>
    <row r="333" spans="1:10" ht="28.8" x14ac:dyDescent="0.3">
      <c r="A333" s="17" t="s">
        <v>1127</v>
      </c>
      <c r="B333" s="36">
        <v>144000000</v>
      </c>
      <c r="C333" s="36">
        <v>144000000</v>
      </c>
      <c r="D333" s="36">
        <v>144000000</v>
      </c>
      <c r="E333" s="36">
        <v>136350000</v>
      </c>
      <c r="F333" s="36">
        <v>136350000</v>
      </c>
      <c r="G333" s="36">
        <v>0</v>
      </c>
      <c r="H333" s="36">
        <v>0</v>
      </c>
      <c r="I333" s="30">
        <v>1</v>
      </c>
      <c r="J333" s="30">
        <v>1</v>
      </c>
    </row>
    <row r="334" spans="1:10" ht="28.8" x14ac:dyDescent="0.3">
      <c r="A334" s="18" t="s">
        <v>1192</v>
      </c>
      <c r="B334" s="37">
        <v>80000000</v>
      </c>
      <c r="C334" s="37">
        <v>80000000</v>
      </c>
      <c r="D334" s="37">
        <v>80000000</v>
      </c>
      <c r="E334" s="37">
        <v>72350000</v>
      </c>
      <c r="F334" s="37">
        <v>72350000</v>
      </c>
      <c r="G334" s="37">
        <v>0</v>
      </c>
      <c r="H334" s="37">
        <v>0</v>
      </c>
      <c r="I334" s="31">
        <v>1</v>
      </c>
      <c r="J334" s="31">
        <v>1</v>
      </c>
    </row>
    <row r="335" spans="1:10" ht="28.8" x14ac:dyDescent="0.3">
      <c r="A335" s="19" t="s">
        <v>1426</v>
      </c>
      <c r="B335" s="38">
        <v>80000000</v>
      </c>
      <c r="C335" s="38">
        <v>80000000</v>
      </c>
      <c r="D335" s="38">
        <v>80000000</v>
      </c>
      <c r="E335" s="38">
        <v>72350000</v>
      </c>
      <c r="F335" s="38">
        <v>72350000</v>
      </c>
      <c r="G335" s="38">
        <v>0</v>
      </c>
      <c r="H335" s="38">
        <v>0</v>
      </c>
      <c r="I335" s="27">
        <v>1</v>
      </c>
      <c r="J335" s="27">
        <v>1</v>
      </c>
    </row>
    <row r="336" spans="1:10" ht="28.8" x14ac:dyDescent="0.3">
      <c r="A336" s="18" t="s">
        <v>1160</v>
      </c>
      <c r="B336" s="37">
        <v>64000000</v>
      </c>
      <c r="C336" s="37">
        <v>64000000</v>
      </c>
      <c r="D336" s="37">
        <v>64000000</v>
      </c>
      <c r="E336" s="37">
        <v>64000000</v>
      </c>
      <c r="F336" s="37">
        <v>64000000</v>
      </c>
      <c r="G336" s="37">
        <v>0</v>
      </c>
      <c r="H336" s="37">
        <v>0</v>
      </c>
      <c r="I336" s="31">
        <v>1</v>
      </c>
      <c r="J336" s="31">
        <v>1</v>
      </c>
    </row>
    <row r="337" spans="1:10" ht="28.8" x14ac:dyDescent="0.3">
      <c r="A337" s="19" t="s">
        <v>1427</v>
      </c>
      <c r="B337" s="38">
        <v>64000000</v>
      </c>
      <c r="C337" s="38">
        <v>64000000</v>
      </c>
      <c r="D337" s="38">
        <v>64000000</v>
      </c>
      <c r="E337" s="38">
        <v>64000000</v>
      </c>
      <c r="F337" s="38">
        <v>64000000</v>
      </c>
      <c r="G337" s="38">
        <v>0</v>
      </c>
      <c r="H337" s="38">
        <v>0</v>
      </c>
      <c r="I337" s="27">
        <v>1</v>
      </c>
      <c r="J337" s="27">
        <v>1</v>
      </c>
    </row>
    <row r="338" spans="1:10" x14ac:dyDescent="0.3">
      <c r="A338" s="17" t="s">
        <v>1178</v>
      </c>
      <c r="B338" s="36">
        <v>514000000</v>
      </c>
      <c r="C338" s="36">
        <v>532000000</v>
      </c>
      <c r="D338" s="36">
        <v>482214244</v>
      </c>
      <c r="E338" s="36">
        <v>288740000</v>
      </c>
      <c r="F338" s="36">
        <v>288740000</v>
      </c>
      <c r="G338" s="36">
        <v>718222</v>
      </c>
      <c r="H338" s="36">
        <v>49785756</v>
      </c>
      <c r="I338" s="30">
        <v>0.99864995864661654</v>
      </c>
      <c r="J338" s="30">
        <v>0.9064177518796992</v>
      </c>
    </row>
    <row r="339" spans="1:10" x14ac:dyDescent="0.3">
      <c r="A339" s="18" t="s">
        <v>1179</v>
      </c>
      <c r="B339" s="37">
        <v>115000000</v>
      </c>
      <c r="C339" s="37">
        <v>79000000</v>
      </c>
      <c r="D339" s="37">
        <v>78995485</v>
      </c>
      <c r="E339" s="37">
        <v>70400000</v>
      </c>
      <c r="F339" s="37">
        <v>70400000</v>
      </c>
      <c r="G339" s="37">
        <v>3400</v>
      </c>
      <c r="H339" s="37">
        <v>4515</v>
      </c>
      <c r="I339" s="31">
        <v>0.99995696202531648</v>
      </c>
      <c r="J339" s="31">
        <v>0.99994284810126577</v>
      </c>
    </row>
    <row r="340" spans="1:10" ht="28.8" x14ac:dyDescent="0.3">
      <c r="A340" s="19" t="s">
        <v>1428</v>
      </c>
      <c r="B340" s="38">
        <v>65000000</v>
      </c>
      <c r="C340" s="38">
        <v>65000000</v>
      </c>
      <c r="D340" s="38">
        <v>64995485</v>
      </c>
      <c r="E340" s="38">
        <v>56400000</v>
      </c>
      <c r="F340" s="38">
        <v>56400000</v>
      </c>
      <c r="G340" s="38">
        <v>3400</v>
      </c>
      <c r="H340" s="38">
        <v>4515</v>
      </c>
      <c r="I340" s="27">
        <v>0.99994769230769232</v>
      </c>
      <c r="J340" s="27">
        <v>0.99993053846153845</v>
      </c>
    </row>
    <row r="341" spans="1:10" ht="28.8" x14ac:dyDescent="0.3">
      <c r="A341" s="19" t="s">
        <v>1429</v>
      </c>
      <c r="B341" s="38">
        <v>25000000</v>
      </c>
      <c r="C341" s="38">
        <v>0</v>
      </c>
      <c r="D341" s="38">
        <v>0</v>
      </c>
      <c r="E341" s="38">
        <v>0</v>
      </c>
      <c r="F341" s="38">
        <v>0</v>
      </c>
      <c r="G341" s="38">
        <v>0</v>
      </c>
      <c r="H341" s="38">
        <v>0</v>
      </c>
      <c r="I341" s="27" t="e">
        <v>#DIV/0!</v>
      </c>
      <c r="J341" s="27" t="e">
        <v>#DIV/0!</v>
      </c>
    </row>
    <row r="342" spans="1:10" ht="28.8" x14ac:dyDescent="0.3">
      <c r="A342" s="19" t="s">
        <v>1430</v>
      </c>
      <c r="B342" s="38">
        <v>25000000</v>
      </c>
      <c r="C342" s="38">
        <v>14000000</v>
      </c>
      <c r="D342" s="38">
        <v>14000000</v>
      </c>
      <c r="E342" s="38">
        <v>14000000</v>
      </c>
      <c r="F342" s="38">
        <v>14000000</v>
      </c>
      <c r="G342" s="38">
        <v>0</v>
      </c>
      <c r="H342" s="38">
        <v>0</v>
      </c>
      <c r="I342" s="27">
        <v>1</v>
      </c>
      <c r="J342" s="27">
        <v>1</v>
      </c>
    </row>
    <row r="343" spans="1:10" x14ac:dyDescent="0.3">
      <c r="A343" s="18" t="s">
        <v>1184</v>
      </c>
      <c r="B343" s="37">
        <v>65000000</v>
      </c>
      <c r="C343" s="37">
        <v>65000000</v>
      </c>
      <c r="D343" s="37">
        <v>16500000</v>
      </c>
      <c r="E343" s="37">
        <v>16500000</v>
      </c>
      <c r="F343" s="37">
        <v>16500000</v>
      </c>
      <c r="G343" s="37">
        <v>2200</v>
      </c>
      <c r="H343" s="37">
        <v>48500000</v>
      </c>
      <c r="I343" s="31">
        <v>0.99996615384615384</v>
      </c>
      <c r="J343" s="31">
        <v>0.25384615384615383</v>
      </c>
    </row>
    <row r="344" spans="1:10" ht="28.8" x14ac:dyDescent="0.3">
      <c r="A344" s="19" t="s">
        <v>1431</v>
      </c>
      <c r="B344" s="38">
        <v>65000000</v>
      </c>
      <c r="C344" s="38">
        <v>65000000</v>
      </c>
      <c r="D344" s="38">
        <v>16500000</v>
      </c>
      <c r="E344" s="38">
        <v>16500000</v>
      </c>
      <c r="F344" s="38">
        <v>16500000</v>
      </c>
      <c r="G344" s="38">
        <v>2200</v>
      </c>
      <c r="H344" s="38">
        <v>48500000</v>
      </c>
      <c r="I344" s="27">
        <v>0.99996615384615384</v>
      </c>
      <c r="J344" s="27">
        <v>0.25384615384615383</v>
      </c>
    </row>
    <row r="345" spans="1:10" x14ac:dyDescent="0.3">
      <c r="A345" s="18" t="s">
        <v>1185</v>
      </c>
      <c r="B345" s="37">
        <v>290000000</v>
      </c>
      <c r="C345" s="37">
        <v>344000000</v>
      </c>
      <c r="D345" s="37">
        <v>342718829</v>
      </c>
      <c r="E345" s="37">
        <v>166740000</v>
      </c>
      <c r="F345" s="37">
        <v>166740000</v>
      </c>
      <c r="G345" s="37">
        <v>712622</v>
      </c>
      <c r="H345" s="37">
        <v>1281171</v>
      </c>
      <c r="I345" s="31">
        <v>0.99792842441860463</v>
      </c>
      <c r="J345" s="31">
        <v>0.99627566569767445</v>
      </c>
    </row>
    <row r="346" spans="1:10" ht="28.8" x14ac:dyDescent="0.3">
      <c r="A346" s="19" t="s">
        <v>1432</v>
      </c>
      <c r="B346" s="38">
        <v>290000000</v>
      </c>
      <c r="C346" s="38">
        <v>344000000</v>
      </c>
      <c r="D346" s="38">
        <v>342718829</v>
      </c>
      <c r="E346" s="38">
        <v>166740000</v>
      </c>
      <c r="F346" s="38">
        <v>166740000</v>
      </c>
      <c r="G346" s="38">
        <v>712622</v>
      </c>
      <c r="H346" s="38">
        <v>1281171</v>
      </c>
      <c r="I346" s="27">
        <v>0.99792842441860463</v>
      </c>
      <c r="J346" s="27">
        <v>0.99627566569767445</v>
      </c>
    </row>
    <row r="347" spans="1:10" x14ac:dyDescent="0.3">
      <c r="A347" s="18" t="s">
        <v>1182</v>
      </c>
      <c r="B347" s="37">
        <v>44000000</v>
      </c>
      <c r="C347" s="37">
        <v>44000000</v>
      </c>
      <c r="D347" s="37">
        <v>43999930</v>
      </c>
      <c r="E347" s="37">
        <v>35100000</v>
      </c>
      <c r="F347" s="37">
        <v>35100000</v>
      </c>
      <c r="G347" s="37">
        <v>0</v>
      </c>
      <c r="H347" s="37">
        <v>70</v>
      </c>
      <c r="I347" s="31">
        <v>1</v>
      </c>
      <c r="J347" s="31">
        <v>0.99999840909090909</v>
      </c>
    </row>
    <row r="348" spans="1:10" ht="28.8" x14ac:dyDescent="0.3">
      <c r="A348" s="19" t="s">
        <v>1433</v>
      </c>
      <c r="B348" s="38">
        <v>44000000</v>
      </c>
      <c r="C348" s="38">
        <v>44000000</v>
      </c>
      <c r="D348" s="38">
        <v>43999930</v>
      </c>
      <c r="E348" s="38">
        <v>35100000</v>
      </c>
      <c r="F348" s="38">
        <v>35100000</v>
      </c>
      <c r="G348" s="38">
        <v>0</v>
      </c>
      <c r="H348" s="38">
        <v>70</v>
      </c>
      <c r="I348" s="27">
        <v>1</v>
      </c>
      <c r="J348" s="27">
        <v>0.99999840909090909</v>
      </c>
    </row>
    <row r="349" spans="1:10" ht="28.8" x14ac:dyDescent="0.3">
      <c r="A349" s="17" t="s">
        <v>1061</v>
      </c>
      <c r="B349" s="36">
        <v>2005000001</v>
      </c>
      <c r="C349" s="36">
        <v>3020474615.96</v>
      </c>
      <c r="D349" s="36">
        <v>2126869500.24</v>
      </c>
      <c r="E349" s="36">
        <v>1472265620.1700001</v>
      </c>
      <c r="F349" s="36">
        <v>1086207243</v>
      </c>
      <c r="G349" s="36">
        <v>247819386.32999992</v>
      </c>
      <c r="H349" s="36">
        <v>893605115.72000003</v>
      </c>
      <c r="I349" s="30">
        <v>0.91795349478504551</v>
      </c>
      <c r="J349" s="30">
        <v>0.70415076127498433</v>
      </c>
    </row>
    <row r="350" spans="1:10" ht="28.8" x14ac:dyDescent="0.3">
      <c r="A350" s="18" t="s">
        <v>1064</v>
      </c>
      <c r="B350" s="37">
        <v>1335000001</v>
      </c>
      <c r="C350" s="37">
        <v>2230474615.96</v>
      </c>
      <c r="D350" s="37">
        <v>1436472463.4400001</v>
      </c>
      <c r="E350" s="37">
        <v>1115070864.1700001</v>
      </c>
      <c r="F350" s="37">
        <v>885137243</v>
      </c>
      <c r="G350" s="37">
        <v>239175939.13000011</v>
      </c>
      <c r="H350" s="37">
        <v>794002152.51999998</v>
      </c>
      <c r="I350" s="31">
        <v>0.89276903784575989</v>
      </c>
      <c r="J350" s="31">
        <v>0.64402098690629572</v>
      </c>
    </row>
    <row r="351" spans="1:10" ht="28.8" x14ac:dyDescent="0.3">
      <c r="A351" s="19" t="s">
        <v>1434</v>
      </c>
      <c r="B351" s="38">
        <v>1335000001</v>
      </c>
      <c r="C351" s="38">
        <v>1215000001</v>
      </c>
      <c r="D351" s="38">
        <v>1134308739.95</v>
      </c>
      <c r="E351" s="38">
        <v>966834479</v>
      </c>
      <c r="F351" s="38">
        <v>885137243</v>
      </c>
      <c r="G351" s="38">
        <v>118260</v>
      </c>
      <c r="H351" s="38">
        <v>80691261.049999952</v>
      </c>
      <c r="I351" s="27">
        <v>0.99990266666674676</v>
      </c>
      <c r="J351" s="27">
        <v>0.93358743951968115</v>
      </c>
    </row>
    <row r="352" spans="1:10" ht="28.8" x14ac:dyDescent="0.3">
      <c r="A352" s="19" t="s">
        <v>1435</v>
      </c>
      <c r="B352" s="38">
        <v>0</v>
      </c>
      <c r="C352" s="38">
        <v>1015474614.96</v>
      </c>
      <c r="D352" s="38">
        <v>302163723.49000001</v>
      </c>
      <c r="E352" s="38">
        <v>148236385.16999999</v>
      </c>
      <c r="F352" s="38">
        <v>0</v>
      </c>
      <c r="G352" s="38">
        <v>239057679.13000011</v>
      </c>
      <c r="H352" s="38">
        <v>713310891.47000003</v>
      </c>
      <c r="I352" s="27">
        <v>0.76458527312431468</v>
      </c>
      <c r="J352" s="27">
        <v>0.29755911082218667</v>
      </c>
    </row>
    <row r="353" spans="1:10" ht="28.8" x14ac:dyDescent="0.3">
      <c r="A353" s="18" t="s">
        <v>1063</v>
      </c>
      <c r="B353" s="37">
        <v>500000000</v>
      </c>
      <c r="C353" s="37">
        <v>500000000</v>
      </c>
      <c r="D353" s="37">
        <v>462311755.80000001</v>
      </c>
      <c r="E353" s="37">
        <v>256608159</v>
      </c>
      <c r="F353" s="37">
        <v>143370000</v>
      </c>
      <c r="G353" s="37">
        <v>3000.1999999880791</v>
      </c>
      <c r="H353" s="37">
        <v>37688244.199999988</v>
      </c>
      <c r="I353" s="31">
        <v>0.99999399960000002</v>
      </c>
      <c r="J353" s="31">
        <v>0.9246235116</v>
      </c>
    </row>
    <row r="354" spans="1:10" ht="28.8" x14ac:dyDescent="0.3">
      <c r="A354" s="19" t="s">
        <v>1436</v>
      </c>
      <c r="B354" s="38">
        <v>500000000</v>
      </c>
      <c r="C354" s="38">
        <v>500000000</v>
      </c>
      <c r="D354" s="38">
        <v>462311755.80000001</v>
      </c>
      <c r="E354" s="38">
        <v>256608159</v>
      </c>
      <c r="F354" s="38">
        <v>143370000</v>
      </c>
      <c r="G354" s="38">
        <v>3000.1999999880791</v>
      </c>
      <c r="H354" s="38">
        <v>37688244.199999988</v>
      </c>
      <c r="I354" s="27">
        <v>0.99999399960000002</v>
      </c>
      <c r="J354" s="27">
        <v>0.9246235116</v>
      </c>
    </row>
    <row r="355" spans="1:10" ht="28.8" x14ac:dyDescent="0.3">
      <c r="A355" s="18" t="s">
        <v>1065</v>
      </c>
      <c r="B355" s="37">
        <v>100000000</v>
      </c>
      <c r="C355" s="37">
        <v>220000000</v>
      </c>
      <c r="D355" s="37">
        <v>174375284</v>
      </c>
      <c r="E355" s="37">
        <v>54376600</v>
      </c>
      <c r="F355" s="37">
        <v>47700000</v>
      </c>
      <c r="G355" s="37">
        <v>444</v>
      </c>
      <c r="H355" s="37">
        <v>45624716</v>
      </c>
      <c r="I355" s="31">
        <v>0.99999798181818178</v>
      </c>
      <c r="J355" s="31">
        <v>0.79261492727272731</v>
      </c>
    </row>
    <row r="356" spans="1:10" ht="28.8" x14ac:dyDescent="0.3">
      <c r="A356" s="19" t="s">
        <v>1437</v>
      </c>
      <c r="B356" s="38">
        <v>100000000</v>
      </c>
      <c r="C356" s="38">
        <v>220000000</v>
      </c>
      <c r="D356" s="38">
        <v>174375284</v>
      </c>
      <c r="E356" s="38">
        <v>54376600</v>
      </c>
      <c r="F356" s="38">
        <v>47700000</v>
      </c>
      <c r="G356" s="38">
        <v>444</v>
      </c>
      <c r="H356" s="38">
        <v>45624716</v>
      </c>
      <c r="I356" s="27">
        <v>0.99999798181818178</v>
      </c>
      <c r="J356" s="27">
        <v>0.79261492727272731</v>
      </c>
    </row>
    <row r="357" spans="1:10" x14ac:dyDescent="0.3">
      <c r="A357" s="18" t="s">
        <v>1062</v>
      </c>
      <c r="B357" s="37">
        <v>70000000</v>
      </c>
      <c r="C357" s="37">
        <v>70000000</v>
      </c>
      <c r="D357" s="37">
        <v>53709997</v>
      </c>
      <c r="E357" s="37">
        <v>46209997</v>
      </c>
      <c r="F357" s="37">
        <v>10000000</v>
      </c>
      <c r="G357" s="37">
        <v>8640003</v>
      </c>
      <c r="H357" s="37">
        <v>16290003</v>
      </c>
      <c r="I357" s="31">
        <v>0.87657138571428572</v>
      </c>
      <c r="J357" s="31">
        <v>0.7672856714285714</v>
      </c>
    </row>
    <row r="358" spans="1:10" x14ac:dyDescent="0.3">
      <c r="A358" s="19" t="s">
        <v>1438</v>
      </c>
      <c r="B358" s="38">
        <v>70000000</v>
      </c>
      <c r="C358" s="38">
        <v>70000000</v>
      </c>
      <c r="D358" s="38">
        <v>53709997</v>
      </c>
      <c r="E358" s="38">
        <v>46209997</v>
      </c>
      <c r="F358" s="38">
        <v>10000000</v>
      </c>
      <c r="G358" s="38">
        <v>8640003</v>
      </c>
      <c r="H358" s="38">
        <v>16290003</v>
      </c>
      <c r="I358" s="27">
        <v>0.87657138571428572</v>
      </c>
      <c r="J358" s="27">
        <v>0.7672856714285714</v>
      </c>
    </row>
    <row r="359" spans="1:10" x14ac:dyDescent="0.3">
      <c r="A359" s="17" t="s">
        <v>1080</v>
      </c>
      <c r="B359" s="36">
        <v>270000000</v>
      </c>
      <c r="C359" s="36">
        <v>270000000</v>
      </c>
      <c r="D359" s="36">
        <v>240173628.66999999</v>
      </c>
      <c r="E359" s="36">
        <v>106510133.67</v>
      </c>
      <c r="F359" s="36">
        <v>73766666.670000002</v>
      </c>
      <c r="G359" s="36">
        <v>584268</v>
      </c>
      <c r="H359" s="36">
        <v>29826371.330000013</v>
      </c>
      <c r="I359" s="30">
        <v>0.9978360444444444</v>
      </c>
      <c r="J359" s="30">
        <v>0.889531958037037</v>
      </c>
    </row>
    <row r="360" spans="1:10" x14ac:dyDescent="0.3">
      <c r="A360" s="18" t="s">
        <v>1082</v>
      </c>
      <c r="B360" s="37">
        <v>200000000</v>
      </c>
      <c r="C360" s="37">
        <v>200000000</v>
      </c>
      <c r="D360" s="37">
        <v>170174188.66999999</v>
      </c>
      <c r="E360" s="37">
        <v>106510133.67</v>
      </c>
      <c r="F360" s="37">
        <v>73766666.670000002</v>
      </c>
      <c r="G360" s="37">
        <v>583825</v>
      </c>
      <c r="H360" s="37">
        <v>29825811.330000013</v>
      </c>
      <c r="I360" s="31">
        <v>0.99708087499999998</v>
      </c>
      <c r="J360" s="31">
        <v>0.85087094334999991</v>
      </c>
    </row>
    <row r="361" spans="1:10" ht="28.8" x14ac:dyDescent="0.3">
      <c r="A361" s="19" t="s">
        <v>1439</v>
      </c>
      <c r="B361" s="38">
        <v>200000000</v>
      </c>
      <c r="C361" s="38">
        <v>200000000</v>
      </c>
      <c r="D361" s="38">
        <v>170174188.66999999</v>
      </c>
      <c r="E361" s="38">
        <v>106510133.67</v>
      </c>
      <c r="F361" s="38">
        <v>73766666.670000002</v>
      </c>
      <c r="G361" s="38">
        <v>583825</v>
      </c>
      <c r="H361" s="38">
        <v>29825811.330000013</v>
      </c>
      <c r="I361" s="27">
        <v>0.99708087499999998</v>
      </c>
      <c r="J361" s="27">
        <v>0.85087094334999991</v>
      </c>
    </row>
    <row r="362" spans="1:10" x14ac:dyDescent="0.3">
      <c r="A362" s="18" t="s">
        <v>1081</v>
      </c>
      <c r="B362" s="37">
        <v>70000000</v>
      </c>
      <c r="C362" s="37">
        <v>70000000</v>
      </c>
      <c r="D362" s="37">
        <v>69999440</v>
      </c>
      <c r="E362" s="37">
        <v>0</v>
      </c>
      <c r="F362" s="37">
        <v>0</v>
      </c>
      <c r="G362" s="37">
        <v>443</v>
      </c>
      <c r="H362" s="37">
        <v>560</v>
      </c>
      <c r="I362" s="31">
        <v>0.99999367142857143</v>
      </c>
      <c r="J362" s="31">
        <v>0.99999199999999999</v>
      </c>
    </row>
    <row r="363" spans="1:10" ht="28.8" x14ac:dyDescent="0.3">
      <c r="A363" s="19" t="s">
        <v>1440</v>
      </c>
      <c r="B363" s="38">
        <v>70000000</v>
      </c>
      <c r="C363" s="38">
        <v>70000000</v>
      </c>
      <c r="D363" s="38">
        <v>69999440</v>
      </c>
      <c r="E363" s="38">
        <v>0</v>
      </c>
      <c r="F363" s="38">
        <v>0</v>
      </c>
      <c r="G363" s="38">
        <v>443</v>
      </c>
      <c r="H363" s="38">
        <v>560</v>
      </c>
      <c r="I363" s="27">
        <v>0.99999367142857143</v>
      </c>
      <c r="J363" s="27">
        <v>0.99999199999999999</v>
      </c>
    </row>
    <row r="364" spans="1:10" x14ac:dyDescent="0.3">
      <c r="A364" s="17" t="s">
        <v>1068</v>
      </c>
      <c r="B364" s="36">
        <v>9512642426</v>
      </c>
      <c r="C364" s="36">
        <v>16520723705.939999</v>
      </c>
      <c r="D364" s="36">
        <v>10938154694.99</v>
      </c>
      <c r="E364" s="36">
        <v>8914299936.0299988</v>
      </c>
      <c r="F364" s="36">
        <v>7167598071.6999998</v>
      </c>
      <c r="G364" s="36">
        <v>2480172514.8199997</v>
      </c>
      <c r="H364" s="36">
        <v>5582569010.9499989</v>
      </c>
      <c r="I364" s="30">
        <v>0.84987506849180838</v>
      </c>
      <c r="J364" s="30">
        <v>0.66208689701996559</v>
      </c>
    </row>
    <row r="365" spans="1:10" ht="28.8" x14ac:dyDescent="0.3">
      <c r="A365" s="18" t="s">
        <v>1069</v>
      </c>
      <c r="B365" s="37">
        <v>9512642426</v>
      </c>
      <c r="C365" s="37">
        <v>16520723705.939999</v>
      </c>
      <c r="D365" s="37">
        <v>10938154694.99</v>
      </c>
      <c r="E365" s="37">
        <v>8914299936.0299988</v>
      </c>
      <c r="F365" s="37">
        <v>7167598071.6999998</v>
      </c>
      <c r="G365" s="37">
        <v>2480172514.8199997</v>
      </c>
      <c r="H365" s="37">
        <v>5582569010.9499989</v>
      </c>
      <c r="I365" s="31">
        <v>0.84987506849180838</v>
      </c>
      <c r="J365" s="31">
        <v>0.66208689701996559</v>
      </c>
    </row>
    <row r="366" spans="1:10" ht="28.8" x14ac:dyDescent="0.3">
      <c r="A366" s="19" t="s">
        <v>1441</v>
      </c>
      <c r="B366" s="38">
        <v>7765042426</v>
      </c>
      <c r="C366" s="38">
        <v>7765042426</v>
      </c>
      <c r="D366" s="38">
        <v>6511595707.6599998</v>
      </c>
      <c r="E366" s="38">
        <v>6260162879.3299999</v>
      </c>
      <c r="F366" s="38">
        <v>4585633674</v>
      </c>
      <c r="G366" s="38">
        <v>409561865</v>
      </c>
      <c r="H366" s="38">
        <v>1253446718.3400002</v>
      </c>
      <c r="I366" s="27">
        <v>0.94725568225762069</v>
      </c>
      <c r="J366" s="27">
        <v>0.8385782524325901</v>
      </c>
    </row>
    <row r="367" spans="1:10" ht="28.8" x14ac:dyDescent="0.3">
      <c r="A367" s="19" t="s">
        <v>1442</v>
      </c>
      <c r="B367" s="38">
        <v>0</v>
      </c>
      <c r="C367" s="38">
        <v>7008081279.9399996</v>
      </c>
      <c r="D367" s="38">
        <v>2904519543.3299999</v>
      </c>
      <c r="E367" s="38">
        <v>1439071083.3299999</v>
      </c>
      <c r="F367" s="38">
        <v>1395149424.3299999</v>
      </c>
      <c r="G367" s="38">
        <v>2070374372.8199997</v>
      </c>
      <c r="H367" s="38">
        <v>4103561736.6099997</v>
      </c>
      <c r="I367" s="27">
        <v>0.70457329329979956</v>
      </c>
      <c r="J367" s="27">
        <v>0.41445289049998962</v>
      </c>
    </row>
    <row r="368" spans="1:10" ht="28.8" x14ac:dyDescent="0.3">
      <c r="A368" s="19" t="s">
        <v>1443</v>
      </c>
      <c r="B368" s="38">
        <v>1747600000</v>
      </c>
      <c r="C368" s="38">
        <v>1747600000</v>
      </c>
      <c r="D368" s="38">
        <v>1522039444</v>
      </c>
      <c r="E368" s="38">
        <v>1215065973.3699999</v>
      </c>
      <c r="F368" s="38">
        <v>1186814973.3699999</v>
      </c>
      <c r="G368" s="38">
        <v>236277</v>
      </c>
      <c r="H368" s="38">
        <v>225560556</v>
      </c>
      <c r="I368" s="27">
        <v>0.99986479915312432</v>
      </c>
      <c r="J368" s="27">
        <v>0.8709312451361868</v>
      </c>
    </row>
    <row r="369" spans="1:10" ht="28.8" x14ac:dyDescent="0.3">
      <c r="A369" s="17" t="s">
        <v>1173</v>
      </c>
      <c r="B369" s="36">
        <v>750000000</v>
      </c>
      <c r="C369" s="36">
        <v>750000000</v>
      </c>
      <c r="D369" s="36">
        <v>665083043.74000001</v>
      </c>
      <c r="E369" s="36">
        <v>387192600.74000001</v>
      </c>
      <c r="F369" s="36">
        <v>352560600.74000001</v>
      </c>
      <c r="G369" s="36">
        <v>50784814</v>
      </c>
      <c r="H369" s="36">
        <v>84916956.25999999</v>
      </c>
      <c r="I369" s="30">
        <v>0.93228691466666669</v>
      </c>
      <c r="J369" s="30">
        <v>0.88677739165333336</v>
      </c>
    </row>
    <row r="370" spans="1:10" ht="28.8" x14ac:dyDescent="0.3">
      <c r="A370" s="18" t="s">
        <v>1174</v>
      </c>
      <c r="B370" s="37">
        <v>300000000</v>
      </c>
      <c r="C370" s="37">
        <v>300000000</v>
      </c>
      <c r="D370" s="37">
        <v>254883100.74000001</v>
      </c>
      <c r="E370" s="37">
        <v>159492600.74000001</v>
      </c>
      <c r="F370" s="37">
        <v>124860600.73999999</v>
      </c>
      <c r="G370" s="37">
        <v>22984757</v>
      </c>
      <c r="H370" s="37">
        <v>45116899.25999999</v>
      </c>
      <c r="I370" s="31">
        <v>0.9233841433333333</v>
      </c>
      <c r="J370" s="31">
        <v>0.8496103358</v>
      </c>
    </row>
    <row r="371" spans="1:10" ht="43.2" x14ac:dyDescent="0.3">
      <c r="A371" s="19" t="s">
        <v>1444</v>
      </c>
      <c r="B371" s="38">
        <v>300000000</v>
      </c>
      <c r="C371" s="38">
        <v>300000000</v>
      </c>
      <c r="D371" s="38">
        <v>254883100.74000001</v>
      </c>
      <c r="E371" s="38">
        <v>159492600.74000001</v>
      </c>
      <c r="F371" s="38">
        <v>124860600.73999999</v>
      </c>
      <c r="G371" s="38">
        <v>22984757</v>
      </c>
      <c r="H371" s="38">
        <v>45116899.25999999</v>
      </c>
      <c r="I371" s="27">
        <v>0.9233841433333333</v>
      </c>
      <c r="J371" s="27">
        <v>0.8496103358</v>
      </c>
    </row>
    <row r="372" spans="1:10" ht="28.8" x14ac:dyDescent="0.3">
      <c r="A372" s="18" t="s">
        <v>1176</v>
      </c>
      <c r="B372" s="37">
        <v>300000000</v>
      </c>
      <c r="C372" s="37">
        <v>240600000</v>
      </c>
      <c r="D372" s="37">
        <v>212999943</v>
      </c>
      <c r="E372" s="37">
        <v>140000000</v>
      </c>
      <c r="F372" s="37">
        <v>140000000</v>
      </c>
      <c r="G372" s="37">
        <v>21500057</v>
      </c>
      <c r="H372" s="37">
        <v>27600057</v>
      </c>
      <c r="I372" s="31">
        <v>0.91063982959268497</v>
      </c>
      <c r="J372" s="31">
        <v>0.88528654613466329</v>
      </c>
    </row>
    <row r="373" spans="1:10" ht="28.8" x14ac:dyDescent="0.3">
      <c r="A373" s="19" t="s">
        <v>1445</v>
      </c>
      <c r="B373" s="38">
        <v>300000000</v>
      </c>
      <c r="C373" s="38">
        <v>240600000</v>
      </c>
      <c r="D373" s="38">
        <v>212999943</v>
      </c>
      <c r="E373" s="38">
        <v>140000000</v>
      </c>
      <c r="F373" s="38">
        <v>140000000</v>
      </c>
      <c r="G373" s="38">
        <v>21500057</v>
      </c>
      <c r="H373" s="38">
        <v>27600057</v>
      </c>
      <c r="I373" s="27">
        <v>0.91063982959268497</v>
      </c>
      <c r="J373" s="27">
        <v>0.88528654613466329</v>
      </c>
    </row>
    <row r="374" spans="1:10" ht="28.8" x14ac:dyDescent="0.3">
      <c r="A374" s="18" t="s">
        <v>1175</v>
      </c>
      <c r="B374" s="37">
        <v>150000000</v>
      </c>
      <c r="C374" s="37">
        <v>209400000</v>
      </c>
      <c r="D374" s="37">
        <v>197200000</v>
      </c>
      <c r="E374" s="37">
        <v>87700000</v>
      </c>
      <c r="F374" s="37">
        <v>87700000</v>
      </c>
      <c r="G374" s="37">
        <v>6300000</v>
      </c>
      <c r="H374" s="37">
        <v>12200000</v>
      </c>
      <c r="I374" s="31">
        <v>0.96991404011461313</v>
      </c>
      <c r="J374" s="31">
        <v>0.94173829990448898</v>
      </c>
    </row>
    <row r="375" spans="1:10" ht="28.8" x14ac:dyDescent="0.3">
      <c r="A375" s="19" t="s">
        <v>1446</v>
      </c>
      <c r="B375" s="38">
        <v>150000000</v>
      </c>
      <c r="C375" s="38">
        <v>209400000</v>
      </c>
      <c r="D375" s="38">
        <v>197200000</v>
      </c>
      <c r="E375" s="38">
        <v>87700000</v>
      </c>
      <c r="F375" s="38">
        <v>87700000</v>
      </c>
      <c r="G375" s="38">
        <v>6300000</v>
      </c>
      <c r="H375" s="38">
        <v>12200000</v>
      </c>
      <c r="I375" s="27">
        <v>0.96991404011461313</v>
      </c>
      <c r="J375" s="27">
        <v>0.94173829990448898</v>
      </c>
    </row>
    <row r="376" spans="1:10" x14ac:dyDescent="0.3">
      <c r="A376" s="17" t="s">
        <v>1115</v>
      </c>
      <c r="B376" s="36">
        <v>550000000</v>
      </c>
      <c r="C376" s="36">
        <v>550000000</v>
      </c>
      <c r="D376" s="36">
        <v>493562196</v>
      </c>
      <c r="E376" s="36">
        <v>442512200</v>
      </c>
      <c r="F376" s="36">
        <v>327328000</v>
      </c>
      <c r="G376" s="36">
        <v>14844040</v>
      </c>
      <c r="H376" s="36">
        <v>56437804</v>
      </c>
      <c r="I376" s="30">
        <v>0.97301083636363639</v>
      </c>
      <c r="J376" s="30">
        <v>0.89738581090909086</v>
      </c>
    </row>
    <row r="377" spans="1:10" x14ac:dyDescent="0.3">
      <c r="A377" s="18" t="s">
        <v>1161</v>
      </c>
      <c r="B377" s="37">
        <v>500000000</v>
      </c>
      <c r="C377" s="37">
        <v>500000000</v>
      </c>
      <c r="D377" s="37">
        <v>443562200</v>
      </c>
      <c r="E377" s="37">
        <v>442512200</v>
      </c>
      <c r="F377" s="37">
        <v>327328000</v>
      </c>
      <c r="G377" s="37">
        <v>14844036</v>
      </c>
      <c r="H377" s="37">
        <v>56437800</v>
      </c>
      <c r="I377" s="31">
        <v>0.97031192799999999</v>
      </c>
      <c r="J377" s="31">
        <v>0.88712440000000004</v>
      </c>
    </row>
    <row r="378" spans="1:10" ht="28.8" x14ac:dyDescent="0.3">
      <c r="A378" s="19" t="s">
        <v>1447</v>
      </c>
      <c r="B378" s="38">
        <v>500000000</v>
      </c>
      <c r="C378" s="38">
        <v>500000000</v>
      </c>
      <c r="D378" s="38">
        <v>443562200</v>
      </c>
      <c r="E378" s="38">
        <v>442512200</v>
      </c>
      <c r="F378" s="38">
        <v>327328000</v>
      </c>
      <c r="G378" s="38">
        <v>14844036</v>
      </c>
      <c r="H378" s="38">
        <v>56437800</v>
      </c>
      <c r="I378" s="27">
        <v>0.97031192799999999</v>
      </c>
      <c r="J378" s="27">
        <v>0.88712440000000004</v>
      </c>
    </row>
    <row r="379" spans="1:10" ht="28.8" x14ac:dyDescent="0.3">
      <c r="A379" s="18" t="s">
        <v>1116</v>
      </c>
      <c r="B379" s="37">
        <v>50000000</v>
      </c>
      <c r="C379" s="37">
        <v>50000000</v>
      </c>
      <c r="D379" s="37">
        <v>49999996</v>
      </c>
      <c r="E379" s="37">
        <v>0</v>
      </c>
      <c r="F379" s="37">
        <v>0</v>
      </c>
      <c r="G379" s="37">
        <v>4</v>
      </c>
      <c r="H379" s="37">
        <v>4</v>
      </c>
      <c r="I379" s="31">
        <v>0.99999992000000004</v>
      </c>
      <c r="J379" s="31">
        <v>0.99999992000000004</v>
      </c>
    </row>
    <row r="380" spans="1:10" ht="43.2" x14ac:dyDescent="0.3">
      <c r="A380" s="19" t="s">
        <v>1448</v>
      </c>
      <c r="B380" s="38">
        <v>50000000</v>
      </c>
      <c r="C380" s="38">
        <v>50000000</v>
      </c>
      <c r="D380" s="38">
        <v>49999996</v>
      </c>
      <c r="E380" s="38">
        <v>0</v>
      </c>
      <c r="F380" s="38">
        <v>0</v>
      </c>
      <c r="G380" s="38">
        <v>4</v>
      </c>
      <c r="H380" s="38">
        <v>4</v>
      </c>
      <c r="I380" s="27">
        <v>0.99999992000000004</v>
      </c>
      <c r="J380" s="27">
        <v>0.99999992000000004</v>
      </c>
    </row>
    <row r="381" spans="1:10" x14ac:dyDescent="0.3">
      <c r="A381" s="17" t="s">
        <v>1190</v>
      </c>
      <c r="B381" s="36">
        <v>75000000</v>
      </c>
      <c r="C381" s="36">
        <v>75000000</v>
      </c>
      <c r="D381" s="36">
        <v>74256666.670000002</v>
      </c>
      <c r="E381" s="36">
        <v>42916666.670000002</v>
      </c>
      <c r="F381" s="36">
        <v>42916666.670000002</v>
      </c>
      <c r="G381" s="36">
        <v>160000</v>
      </c>
      <c r="H381" s="36">
        <v>743333.32999999821</v>
      </c>
      <c r="I381" s="30">
        <v>0.99786666666666668</v>
      </c>
      <c r="J381" s="30">
        <v>0.99008888893333336</v>
      </c>
    </row>
    <row r="382" spans="1:10" x14ac:dyDescent="0.3">
      <c r="A382" s="18" t="s">
        <v>1191</v>
      </c>
      <c r="B382" s="37">
        <v>75000000</v>
      </c>
      <c r="C382" s="37">
        <v>75000000</v>
      </c>
      <c r="D382" s="37">
        <v>74256666.670000002</v>
      </c>
      <c r="E382" s="37">
        <v>42916666.670000002</v>
      </c>
      <c r="F382" s="37">
        <v>42916666.670000002</v>
      </c>
      <c r="G382" s="37">
        <v>160000</v>
      </c>
      <c r="H382" s="37">
        <v>743333.32999999821</v>
      </c>
      <c r="I382" s="31">
        <v>0.99786666666666668</v>
      </c>
      <c r="J382" s="31">
        <v>0.99008888893333336</v>
      </c>
    </row>
    <row r="383" spans="1:10" ht="28.8" x14ac:dyDescent="0.3">
      <c r="A383" s="19" t="s">
        <v>1449</v>
      </c>
      <c r="B383" s="38">
        <v>37500000</v>
      </c>
      <c r="C383" s="38">
        <v>37500000</v>
      </c>
      <c r="D383" s="38">
        <v>37460000</v>
      </c>
      <c r="E383" s="38">
        <v>12500000</v>
      </c>
      <c r="F383" s="38">
        <v>12500000</v>
      </c>
      <c r="G383" s="38">
        <v>40000</v>
      </c>
      <c r="H383" s="38">
        <v>40000</v>
      </c>
      <c r="I383" s="27">
        <v>0.99893333333333334</v>
      </c>
      <c r="J383" s="27">
        <v>0.99893333333333334</v>
      </c>
    </row>
    <row r="384" spans="1:10" ht="28.8" x14ac:dyDescent="0.3">
      <c r="A384" s="19" t="s">
        <v>1450</v>
      </c>
      <c r="B384" s="38">
        <v>37500000</v>
      </c>
      <c r="C384" s="38">
        <v>37500000</v>
      </c>
      <c r="D384" s="38">
        <v>36796666.670000002</v>
      </c>
      <c r="E384" s="38">
        <v>30416666.670000002</v>
      </c>
      <c r="F384" s="38">
        <v>30416666.670000002</v>
      </c>
      <c r="G384" s="38">
        <v>120000</v>
      </c>
      <c r="H384" s="38">
        <v>703333.32999999821</v>
      </c>
      <c r="I384" s="27">
        <v>0.99680000000000002</v>
      </c>
      <c r="J384" s="27">
        <v>0.98124444453333337</v>
      </c>
    </row>
    <row r="385" spans="1:10" x14ac:dyDescent="0.3">
      <c r="A385" s="20" t="s">
        <v>1227</v>
      </c>
      <c r="B385" s="39">
        <v>22048400642</v>
      </c>
      <c r="C385" s="39">
        <v>26015652959.140007</v>
      </c>
      <c r="D385" s="39">
        <v>20474388109.970001</v>
      </c>
      <c r="E385" s="39">
        <v>15290191063.620001</v>
      </c>
      <c r="F385" s="39">
        <v>14917774709.620001</v>
      </c>
      <c r="G385" s="39">
        <v>5203737721.6600037</v>
      </c>
      <c r="H385" s="39">
        <v>5541264849.170002</v>
      </c>
      <c r="I385" s="32">
        <v>0.79997666290240887</v>
      </c>
      <c r="J385" s="32">
        <v>0.78700266113354633</v>
      </c>
    </row>
    <row r="386" spans="1:10" x14ac:dyDescent="0.3">
      <c r="A386" s="16" t="s">
        <v>1026</v>
      </c>
      <c r="B386" s="35">
        <v>16202500641.93</v>
      </c>
      <c r="C386" s="35">
        <v>17995040619.100002</v>
      </c>
      <c r="D386" s="35">
        <v>14038567677.23</v>
      </c>
      <c r="E386" s="35">
        <v>10015469495.67</v>
      </c>
      <c r="F386" s="35">
        <v>9698222830.6700001</v>
      </c>
      <c r="G386" s="35">
        <v>3784111318.6699982</v>
      </c>
      <c r="H386" s="35">
        <v>3956472941.8699989</v>
      </c>
      <c r="I386" s="29">
        <v>0.78971365506930113</v>
      </c>
      <c r="J386" s="29">
        <v>0.78013537031583113</v>
      </c>
    </row>
    <row r="387" spans="1:10" x14ac:dyDescent="0.3">
      <c r="A387" s="17" t="s">
        <v>1098</v>
      </c>
      <c r="B387" s="36">
        <v>7455800000</v>
      </c>
      <c r="C387" s="36">
        <v>5535400001.4399996</v>
      </c>
      <c r="D387" s="36">
        <v>2194200000</v>
      </c>
      <c r="E387" s="36">
        <v>188400000</v>
      </c>
      <c r="F387" s="36">
        <v>176800000</v>
      </c>
      <c r="G387" s="36">
        <v>3341200001.4399996</v>
      </c>
      <c r="H387" s="36">
        <v>3341200001.4399996</v>
      </c>
      <c r="I387" s="30">
        <v>0.39639411775647515</v>
      </c>
      <c r="J387" s="30">
        <v>0.39639411775647515</v>
      </c>
    </row>
    <row r="388" spans="1:10" x14ac:dyDescent="0.3">
      <c r="A388" s="18" t="s">
        <v>1158</v>
      </c>
      <c r="B388" s="37">
        <v>7455800000</v>
      </c>
      <c r="C388" s="37">
        <v>5535400001.4399996</v>
      </c>
      <c r="D388" s="37">
        <v>2194200000</v>
      </c>
      <c r="E388" s="37">
        <v>188400000</v>
      </c>
      <c r="F388" s="37">
        <v>176800000</v>
      </c>
      <c r="G388" s="37">
        <v>3341200001.4399996</v>
      </c>
      <c r="H388" s="37">
        <v>3341200001.4399996</v>
      </c>
      <c r="I388" s="31">
        <v>0.39639411775647515</v>
      </c>
      <c r="J388" s="31">
        <v>0.39639411775647515</v>
      </c>
    </row>
    <row r="389" spans="1:10" ht="28.8" x14ac:dyDescent="0.3">
      <c r="A389" s="19" t="s">
        <v>1451</v>
      </c>
      <c r="B389" s="38">
        <v>7455800000</v>
      </c>
      <c r="C389" s="38">
        <v>5535400001.4399996</v>
      </c>
      <c r="D389" s="38">
        <v>2194200000</v>
      </c>
      <c r="E389" s="38">
        <v>188400000</v>
      </c>
      <c r="F389" s="38">
        <v>176800000</v>
      </c>
      <c r="G389" s="38">
        <v>3341200001.4399996</v>
      </c>
      <c r="H389" s="38">
        <v>3341200001.4399996</v>
      </c>
      <c r="I389" s="27">
        <v>0.39639411775647515</v>
      </c>
      <c r="J389" s="27">
        <v>0.39639411775647515</v>
      </c>
    </row>
    <row r="390" spans="1:10" x14ac:dyDescent="0.3">
      <c r="A390" s="17" t="s">
        <v>1091</v>
      </c>
      <c r="B390" s="36">
        <v>8746700641.9300003</v>
      </c>
      <c r="C390" s="36">
        <v>12459640617.66</v>
      </c>
      <c r="D390" s="36">
        <v>11844367677.23</v>
      </c>
      <c r="E390" s="36">
        <v>9827069495.6700001</v>
      </c>
      <c r="F390" s="36">
        <v>9521422830.6700001</v>
      </c>
      <c r="G390" s="36">
        <v>442911317.22999954</v>
      </c>
      <c r="H390" s="36">
        <v>615272940.43000031</v>
      </c>
      <c r="I390" s="30">
        <v>0.96445232002902015</v>
      </c>
      <c r="J390" s="30">
        <v>0.95061872494476873</v>
      </c>
    </row>
    <row r="391" spans="1:10" x14ac:dyDescent="0.3">
      <c r="A391" s="18" t="s">
        <v>1111</v>
      </c>
      <c r="B391" s="37">
        <v>7106400000</v>
      </c>
      <c r="C391" s="37">
        <v>10650367868.18</v>
      </c>
      <c r="D391" s="37">
        <v>10240108078.23</v>
      </c>
      <c r="E391" s="37">
        <v>8281809896.6700001</v>
      </c>
      <c r="F391" s="37">
        <v>8087076564.6700001</v>
      </c>
      <c r="G391" s="37">
        <v>298059817.75</v>
      </c>
      <c r="H391" s="37">
        <v>410259789.95000076</v>
      </c>
      <c r="I391" s="31">
        <v>0.97201412932970044</v>
      </c>
      <c r="J391" s="31">
        <v>0.96147928456295584</v>
      </c>
    </row>
    <row r="392" spans="1:10" ht="28.8" x14ac:dyDescent="0.3">
      <c r="A392" s="19" t="s">
        <v>1452</v>
      </c>
      <c r="B392" s="38">
        <v>556000000</v>
      </c>
      <c r="C392" s="38">
        <v>308000000</v>
      </c>
      <c r="D392" s="38">
        <v>259600000</v>
      </c>
      <c r="E392" s="38">
        <v>253600000</v>
      </c>
      <c r="F392" s="38">
        <v>253600000</v>
      </c>
      <c r="G392" s="38">
        <v>48400000</v>
      </c>
      <c r="H392" s="38">
        <v>48400000</v>
      </c>
      <c r="I392" s="27">
        <v>0.84285714285714286</v>
      </c>
      <c r="J392" s="27">
        <v>0.84285714285714286</v>
      </c>
    </row>
    <row r="393" spans="1:10" ht="28.8" x14ac:dyDescent="0.3">
      <c r="A393" s="19" t="s">
        <v>1453</v>
      </c>
      <c r="B393" s="38">
        <v>4436200000</v>
      </c>
      <c r="C393" s="38">
        <v>6857369202.3299999</v>
      </c>
      <c r="D393" s="38">
        <v>6698373213.7299995</v>
      </c>
      <c r="E393" s="38">
        <v>5947743233.6700001</v>
      </c>
      <c r="F393" s="38">
        <v>5767669900.6700001</v>
      </c>
      <c r="G393" s="38">
        <v>55857349.729999542</v>
      </c>
      <c r="H393" s="38">
        <v>158995988.60000038</v>
      </c>
      <c r="I393" s="27">
        <v>0.99185440537297886</v>
      </c>
      <c r="J393" s="27">
        <v>0.97681385033986845</v>
      </c>
    </row>
    <row r="394" spans="1:10" ht="28.8" x14ac:dyDescent="0.3">
      <c r="A394" s="19" t="s">
        <v>1454</v>
      </c>
      <c r="B394" s="38">
        <v>0</v>
      </c>
      <c r="C394" s="38">
        <v>959798665</v>
      </c>
      <c r="D394" s="38">
        <v>918250948</v>
      </c>
      <c r="E394" s="38">
        <v>0</v>
      </c>
      <c r="F394" s="38">
        <v>0</v>
      </c>
      <c r="G394" s="38">
        <v>41547717</v>
      </c>
      <c r="H394" s="38">
        <v>41547717</v>
      </c>
      <c r="I394" s="27">
        <v>0.95671204960469491</v>
      </c>
      <c r="J394" s="27">
        <v>0.95671204960469491</v>
      </c>
    </row>
    <row r="395" spans="1:10" ht="43.2" x14ac:dyDescent="0.3">
      <c r="A395" s="19" t="s">
        <v>1455</v>
      </c>
      <c r="B395" s="38">
        <v>2114200000</v>
      </c>
      <c r="C395" s="38">
        <v>2525200000.8499999</v>
      </c>
      <c r="D395" s="38">
        <v>2363883916.5</v>
      </c>
      <c r="E395" s="38">
        <v>2080466663</v>
      </c>
      <c r="F395" s="38">
        <v>2065806664</v>
      </c>
      <c r="G395" s="38">
        <v>152254751.01999998</v>
      </c>
      <c r="H395" s="38">
        <v>161316084.3499999</v>
      </c>
      <c r="I395" s="27">
        <v>0.93970586449835658</v>
      </c>
      <c r="J395" s="27">
        <v>0.93611750186294163</v>
      </c>
    </row>
    <row r="396" spans="1:10" x14ac:dyDescent="0.3">
      <c r="A396" s="18" t="s">
        <v>1204</v>
      </c>
      <c r="B396" s="37">
        <v>1320200641.9299998</v>
      </c>
      <c r="C396" s="37">
        <v>1489172749.48</v>
      </c>
      <c r="D396" s="37">
        <v>1284159599</v>
      </c>
      <c r="E396" s="37">
        <v>1229559599</v>
      </c>
      <c r="F396" s="37">
        <v>1126646266</v>
      </c>
      <c r="G396" s="37">
        <v>144851499.48000002</v>
      </c>
      <c r="H396" s="37">
        <v>205013150.48000002</v>
      </c>
      <c r="I396" s="31">
        <v>0.90273022419287463</v>
      </c>
      <c r="J396" s="31">
        <v>0.86233084741069299</v>
      </c>
    </row>
    <row r="397" spans="1:10" x14ac:dyDescent="0.3">
      <c r="A397" s="19" t="s">
        <v>1456</v>
      </c>
      <c r="B397" s="38">
        <v>1320200641.9299998</v>
      </c>
      <c r="C397" s="38">
        <v>1489172749.48</v>
      </c>
      <c r="D397" s="38">
        <v>1284159599</v>
      </c>
      <c r="E397" s="38">
        <v>1229559599</v>
      </c>
      <c r="F397" s="38">
        <v>1126646266</v>
      </c>
      <c r="G397" s="38">
        <v>144851499.48000002</v>
      </c>
      <c r="H397" s="38">
        <v>205013150.48000002</v>
      </c>
      <c r="I397" s="27">
        <v>0.90273022419287463</v>
      </c>
      <c r="J397" s="27">
        <v>0.86233084741069299</v>
      </c>
    </row>
    <row r="398" spans="1:10" ht="28.8" x14ac:dyDescent="0.3">
      <c r="A398" s="18" t="s">
        <v>1092</v>
      </c>
      <c r="B398" s="37">
        <v>320100000</v>
      </c>
      <c r="C398" s="37">
        <v>320100000</v>
      </c>
      <c r="D398" s="37">
        <v>320100000</v>
      </c>
      <c r="E398" s="37">
        <v>315700000</v>
      </c>
      <c r="F398" s="37">
        <v>307700000</v>
      </c>
      <c r="G398" s="37">
        <v>0</v>
      </c>
      <c r="H398" s="37">
        <v>0</v>
      </c>
      <c r="I398" s="31">
        <v>1</v>
      </c>
      <c r="J398" s="31">
        <v>1</v>
      </c>
    </row>
    <row r="399" spans="1:10" ht="57.6" x14ac:dyDescent="0.3">
      <c r="A399" s="19" t="s">
        <v>1457</v>
      </c>
      <c r="B399" s="38">
        <v>320100000</v>
      </c>
      <c r="C399" s="38">
        <v>320100000</v>
      </c>
      <c r="D399" s="38">
        <v>320100000</v>
      </c>
      <c r="E399" s="38">
        <v>315700000</v>
      </c>
      <c r="F399" s="38">
        <v>307700000</v>
      </c>
      <c r="G399" s="38">
        <v>0</v>
      </c>
      <c r="H399" s="38">
        <v>0</v>
      </c>
      <c r="I399" s="27">
        <v>1</v>
      </c>
      <c r="J399" s="27">
        <v>1</v>
      </c>
    </row>
    <row r="400" spans="1:10" x14ac:dyDescent="0.3">
      <c r="A400" s="16" t="s">
        <v>1030</v>
      </c>
      <c r="B400" s="35">
        <v>2613040000</v>
      </c>
      <c r="C400" s="35">
        <v>3451456871.3099999</v>
      </c>
      <c r="D400" s="35">
        <v>2572018525.7399998</v>
      </c>
      <c r="E400" s="35">
        <v>2501547924.9499998</v>
      </c>
      <c r="F400" s="35">
        <v>2474671568.9499998</v>
      </c>
      <c r="G400" s="35">
        <v>793139198.25999975</v>
      </c>
      <c r="H400" s="35">
        <v>879438345.57000017</v>
      </c>
      <c r="I400" s="29">
        <v>0.77020161982816149</v>
      </c>
      <c r="J400" s="29">
        <v>0.74519793282649094</v>
      </c>
    </row>
    <row r="401" spans="1:10" x14ac:dyDescent="0.3">
      <c r="A401" s="17" t="s">
        <v>1123</v>
      </c>
      <c r="B401" s="36">
        <v>2613040000</v>
      </c>
      <c r="C401" s="36">
        <v>3451456871.3099999</v>
      </c>
      <c r="D401" s="36">
        <v>2572018525.7399998</v>
      </c>
      <c r="E401" s="36">
        <v>2501547924.9499998</v>
      </c>
      <c r="F401" s="36">
        <v>2474671568.9499998</v>
      </c>
      <c r="G401" s="36">
        <v>793139198.25999975</v>
      </c>
      <c r="H401" s="36">
        <v>879438345.57000017</v>
      </c>
      <c r="I401" s="30">
        <v>0.77020161982816149</v>
      </c>
      <c r="J401" s="30">
        <v>0.74519793282649094</v>
      </c>
    </row>
    <row r="402" spans="1:10" x14ac:dyDescent="0.3">
      <c r="A402" s="18" t="s">
        <v>1154</v>
      </c>
      <c r="B402" s="37">
        <v>2443640000</v>
      </c>
      <c r="C402" s="37">
        <v>3282056871.3099999</v>
      </c>
      <c r="D402" s="37">
        <v>2402618525.7399998</v>
      </c>
      <c r="E402" s="37">
        <v>2332147924.9499998</v>
      </c>
      <c r="F402" s="37">
        <v>2305271568.9499998</v>
      </c>
      <c r="G402" s="37">
        <v>793139198.25999975</v>
      </c>
      <c r="H402" s="37">
        <v>879438345.57000017</v>
      </c>
      <c r="I402" s="31">
        <v>0.75834081207025938</v>
      </c>
      <c r="J402" s="31">
        <v>0.73204658540271383</v>
      </c>
    </row>
    <row r="403" spans="1:10" ht="28.8" x14ac:dyDescent="0.3">
      <c r="A403" s="19" t="s">
        <v>1458</v>
      </c>
      <c r="B403" s="38">
        <v>452920000</v>
      </c>
      <c r="C403" s="38">
        <v>891585783.64999998</v>
      </c>
      <c r="D403" s="38">
        <v>369527852.77999997</v>
      </c>
      <c r="E403" s="38">
        <v>369464612.77999997</v>
      </c>
      <c r="F403" s="38">
        <v>362861589.77999997</v>
      </c>
      <c r="G403" s="38">
        <v>512666315.98999995</v>
      </c>
      <c r="H403" s="38">
        <v>522057930.87</v>
      </c>
      <c r="I403" s="27">
        <v>0.42499496359034394</v>
      </c>
      <c r="J403" s="27">
        <v>0.41446135588570743</v>
      </c>
    </row>
    <row r="404" spans="1:10" ht="43.2" x14ac:dyDescent="0.3">
      <c r="A404" s="19" t="s">
        <v>1459</v>
      </c>
      <c r="B404" s="38">
        <v>328600000</v>
      </c>
      <c r="C404" s="38">
        <v>545626666.65999997</v>
      </c>
      <c r="D404" s="38">
        <v>289638732</v>
      </c>
      <c r="E404" s="38">
        <v>257638732</v>
      </c>
      <c r="F404" s="38">
        <v>253538732</v>
      </c>
      <c r="G404" s="38">
        <v>186983926.32999998</v>
      </c>
      <c r="H404" s="38">
        <v>255987934.65999997</v>
      </c>
      <c r="I404" s="27">
        <v>0.65730427459749408</v>
      </c>
      <c r="J404" s="27">
        <v>0.53083683349458533</v>
      </c>
    </row>
    <row r="405" spans="1:10" ht="28.8" x14ac:dyDescent="0.3">
      <c r="A405" s="19" t="s">
        <v>1460</v>
      </c>
      <c r="B405" s="38">
        <v>1662120000</v>
      </c>
      <c r="C405" s="38">
        <v>1844844421</v>
      </c>
      <c r="D405" s="38">
        <v>1743451940.96</v>
      </c>
      <c r="E405" s="38">
        <v>1705044580.1700001</v>
      </c>
      <c r="F405" s="38">
        <v>1688871247.1700001</v>
      </c>
      <c r="G405" s="38">
        <v>93488955.940000057</v>
      </c>
      <c r="H405" s="38">
        <v>101392480.03999996</v>
      </c>
      <c r="I405" s="27">
        <v>0.94932420594614464</v>
      </c>
      <c r="J405" s="27">
        <v>0.94504009178994075</v>
      </c>
    </row>
    <row r="406" spans="1:10" x14ac:dyDescent="0.3">
      <c r="A406" s="18" t="s">
        <v>1124</v>
      </c>
      <c r="B406" s="37">
        <v>169400000</v>
      </c>
      <c r="C406" s="37">
        <v>169400000</v>
      </c>
      <c r="D406" s="37">
        <v>169400000</v>
      </c>
      <c r="E406" s="37">
        <v>169400000</v>
      </c>
      <c r="F406" s="37">
        <v>169400000</v>
      </c>
      <c r="G406" s="37">
        <v>0</v>
      </c>
      <c r="H406" s="37">
        <v>0</v>
      </c>
      <c r="I406" s="31">
        <v>1</v>
      </c>
      <c r="J406" s="31">
        <v>1</v>
      </c>
    </row>
    <row r="407" spans="1:10" ht="43.2" x14ac:dyDescent="0.3">
      <c r="A407" s="19" t="s">
        <v>1461</v>
      </c>
      <c r="B407" s="38">
        <v>169400000</v>
      </c>
      <c r="C407" s="38">
        <v>169400000</v>
      </c>
      <c r="D407" s="38">
        <v>169400000</v>
      </c>
      <c r="E407" s="38">
        <v>169400000</v>
      </c>
      <c r="F407" s="38">
        <v>169400000</v>
      </c>
      <c r="G407" s="38">
        <v>0</v>
      </c>
      <c r="H407" s="38">
        <v>0</v>
      </c>
      <c r="I407" s="27">
        <v>1</v>
      </c>
      <c r="J407" s="27">
        <v>1</v>
      </c>
    </row>
    <row r="408" spans="1:10" x14ac:dyDescent="0.3">
      <c r="A408" s="16" t="s">
        <v>1055</v>
      </c>
      <c r="B408" s="35">
        <v>517000000.06999999</v>
      </c>
      <c r="C408" s="35">
        <v>584500000.06999993</v>
      </c>
      <c r="D408" s="35">
        <v>481726665</v>
      </c>
      <c r="E408" s="35">
        <v>479193332</v>
      </c>
      <c r="F408" s="35">
        <v>468593332</v>
      </c>
      <c r="G408" s="35">
        <v>102773335.06999993</v>
      </c>
      <c r="H408" s="35">
        <v>102773335.06999993</v>
      </c>
      <c r="I408" s="29">
        <v>0.8241688022965068</v>
      </c>
      <c r="J408" s="29">
        <v>0.8241688022965068</v>
      </c>
    </row>
    <row r="409" spans="1:10" x14ac:dyDescent="0.3">
      <c r="A409" s="17" t="s">
        <v>1113</v>
      </c>
      <c r="B409" s="36">
        <v>517000000.06999999</v>
      </c>
      <c r="C409" s="36">
        <v>584500000.06999993</v>
      </c>
      <c r="D409" s="36">
        <v>481726665</v>
      </c>
      <c r="E409" s="36">
        <v>479193332</v>
      </c>
      <c r="F409" s="36">
        <v>468593332</v>
      </c>
      <c r="G409" s="36">
        <v>102773335.06999993</v>
      </c>
      <c r="H409" s="36">
        <v>102773335.06999993</v>
      </c>
      <c r="I409" s="30">
        <v>0.8241688022965068</v>
      </c>
      <c r="J409" s="30">
        <v>0.8241688022965068</v>
      </c>
    </row>
    <row r="410" spans="1:10" x14ac:dyDescent="0.3">
      <c r="A410" s="18" t="s">
        <v>1198</v>
      </c>
      <c r="B410" s="37">
        <v>239800000</v>
      </c>
      <c r="C410" s="37">
        <v>239800000</v>
      </c>
      <c r="D410" s="37">
        <v>198586666</v>
      </c>
      <c r="E410" s="37">
        <v>198586666</v>
      </c>
      <c r="F410" s="37">
        <v>191586666</v>
      </c>
      <c r="G410" s="37">
        <v>41213334</v>
      </c>
      <c r="H410" s="37">
        <v>41213334</v>
      </c>
      <c r="I410" s="31">
        <v>0.82813455379482903</v>
      </c>
      <c r="J410" s="31">
        <v>0.82813455379482903</v>
      </c>
    </row>
    <row r="411" spans="1:10" ht="57.6" x14ac:dyDescent="0.3">
      <c r="A411" s="19" t="s">
        <v>1462</v>
      </c>
      <c r="B411" s="38">
        <v>239800000</v>
      </c>
      <c r="C411" s="38">
        <v>239800000</v>
      </c>
      <c r="D411" s="38">
        <v>198586666</v>
      </c>
      <c r="E411" s="38">
        <v>198586666</v>
      </c>
      <c r="F411" s="38">
        <v>191586666</v>
      </c>
      <c r="G411" s="38">
        <v>41213334</v>
      </c>
      <c r="H411" s="38">
        <v>41213334</v>
      </c>
      <c r="I411" s="27">
        <v>0.82813455379482903</v>
      </c>
      <c r="J411" s="27">
        <v>0.82813455379482903</v>
      </c>
    </row>
    <row r="412" spans="1:10" x14ac:dyDescent="0.3">
      <c r="A412" s="18" t="s">
        <v>1114</v>
      </c>
      <c r="B412" s="37">
        <v>277200000.06999999</v>
      </c>
      <c r="C412" s="37">
        <v>344700000.06999999</v>
      </c>
      <c r="D412" s="37">
        <v>283139999</v>
      </c>
      <c r="E412" s="37">
        <v>280606666</v>
      </c>
      <c r="F412" s="37">
        <v>277006666</v>
      </c>
      <c r="G412" s="37">
        <v>61560001.069999993</v>
      </c>
      <c r="H412" s="37">
        <v>61560001.069999993</v>
      </c>
      <c r="I412" s="31">
        <v>0.82140991860313695</v>
      </c>
      <c r="J412" s="31">
        <v>0.82140991860313695</v>
      </c>
    </row>
    <row r="413" spans="1:10" ht="43.2" x14ac:dyDescent="0.3">
      <c r="A413" s="19" t="s">
        <v>1463</v>
      </c>
      <c r="B413" s="38">
        <v>277200000.06999999</v>
      </c>
      <c r="C413" s="38">
        <v>344700000.06999999</v>
      </c>
      <c r="D413" s="38">
        <v>283139999</v>
      </c>
      <c r="E413" s="38">
        <v>280606666</v>
      </c>
      <c r="F413" s="38">
        <v>277006666</v>
      </c>
      <c r="G413" s="38">
        <v>61560001.069999993</v>
      </c>
      <c r="H413" s="38">
        <v>61560001.069999993</v>
      </c>
      <c r="I413" s="27">
        <v>0.82140991860313695</v>
      </c>
      <c r="J413" s="27">
        <v>0.82140991860313695</v>
      </c>
    </row>
    <row r="414" spans="1:10" x14ac:dyDescent="0.3">
      <c r="A414" s="16" t="s">
        <v>1018</v>
      </c>
      <c r="B414" s="35">
        <v>2715860000</v>
      </c>
      <c r="C414" s="35">
        <v>3984655468.6599998</v>
      </c>
      <c r="D414" s="35">
        <v>3382075242</v>
      </c>
      <c r="E414" s="35">
        <v>2293980311</v>
      </c>
      <c r="F414" s="35">
        <v>2276286978</v>
      </c>
      <c r="G414" s="35">
        <v>523713869.65999985</v>
      </c>
      <c r="H414" s="35">
        <v>602580226.65999985</v>
      </c>
      <c r="I414" s="29">
        <v>0.86856733944023534</v>
      </c>
      <c r="J414" s="29">
        <v>0.84877482346983402</v>
      </c>
    </row>
    <row r="415" spans="1:10" x14ac:dyDescent="0.3">
      <c r="A415" s="17" t="s">
        <v>1019</v>
      </c>
      <c r="B415" s="36">
        <v>2715860000</v>
      </c>
      <c r="C415" s="36">
        <v>3984655468.6599998</v>
      </c>
      <c r="D415" s="36">
        <v>3382075242</v>
      </c>
      <c r="E415" s="36">
        <v>2293980311</v>
      </c>
      <c r="F415" s="36">
        <v>2276286978</v>
      </c>
      <c r="G415" s="36">
        <v>523713869.65999985</v>
      </c>
      <c r="H415" s="36">
        <v>602580226.65999985</v>
      </c>
      <c r="I415" s="30">
        <v>0.86856733944023534</v>
      </c>
      <c r="J415" s="30">
        <v>0.84877482346983402</v>
      </c>
    </row>
    <row r="416" spans="1:10" ht="28.8" x14ac:dyDescent="0.3">
      <c r="A416" s="18" t="s">
        <v>1020</v>
      </c>
      <c r="B416" s="37">
        <v>2627860000</v>
      </c>
      <c r="C416" s="37">
        <v>2896655468.6599998</v>
      </c>
      <c r="D416" s="37">
        <v>2384875242</v>
      </c>
      <c r="E416" s="37">
        <v>2226780311</v>
      </c>
      <c r="F416" s="37">
        <v>2209086978</v>
      </c>
      <c r="G416" s="37">
        <v>450913869.65999985</v>
      </c>
      <c r="H416" s="37">
        <v>511780226.65999985</v>
      </c>
      <c r="I416" s="31">
        <v>0.84433292998128162</v>
      </c>
      <c r="J416" s="31">
        <v>0.82332029742675927</v>
      </c>
    </row>
    <row r="417" spans="1:10" ht="28.8" x14ac:dyDescent="0.3">
      <c r="A417" s="19" t="s">
        <v>1464</v>
      </c>
      <c r="B417" s="38">
        <v>104000000</v>
      </c>
      <c r="C417" s="38">
        <v>304000000</v>
      </c>
      <c r="D417" s="38">
        <v>103464000</v>
      </c>
      <c r="E417" s="38">
        <v>32000000</v>
      </c>
      <c r="F417" s="38">
        <v>32000000</v>
      </c>
      <c r="G417" s="38">
        <v>180220667</v>
      </c>
      <c r="H417" s="38">
        <v>200536000</v>
      </c>
      <c r="I417" s="27">
        <v>0.40716885855263157</v>
      </c>
      <c r="J417" s="27">
        <v>0.34034210526315789</v>
      </c>
    </row>
    <row r="418" spans="1:10" ht="43.2" x14ac:dyDescent="0.3">
      <c r="A418" s="19" t="s">
        <v>1465</v>
      </c>
      <c r="B418" s="38">
        <v>665300000</v>
      </c>
      <c r="C418" s="38">
        <v>664612835.32999992</v>
      </c>
      <c r="D418" s="38">
        <v>612404550</v>
      </c>
      <c r="E418" s="38">
        <v>559204550</v>
      </c>
      <c r="F418" s="38">
        <v>554804550</v>
      </c>
      <c r="G418" s="38">
        <v>52163333.329999924</v>
      </c>
      <c r="H418" s="38">
        <v>52208285.329999924</v>
      </c>
      <c r="I418" s="27">
        <v>0.92151320203724429</v>
      </c>
      <c r="J418" s="27">
        <v>0.92144556566669833</v>
      </c>
    </row>
    <row r="419" spans="1:10" ht="28.8" x14ac:dyDescent="0.3">
      <c r="A419" s="19" t="s">
        <v>1466</v>
      </c>
      <c r="B419" s="38">
        <v>1858560000</v>
      </c>
      <c r="C419" s="38">
        <v>1858560000</v>
      </c>
      <c r="D419" s="38">
        <v>1627056692</v>
      </c>
      <c r="E419" s="38">
        <v>1593625761</v>
      </c>
      <c r="F419" s="38">
        <v>1580332428</v>
      </c>
      <c r="G419" s="38">
        <v>218529869</v>
      </c>
      <c r="H419" s="38">
        <v>231503308</v>
      </c>
      <c r="I419" s="27">
        <v>0.88241979328081954</v>
      </c>
      <c r="J419" s="27">
        <v>0.87543942191804403</v>
      </c>
    </row>
    <row r="420" spans="1:10" ht="28.8" x14ac:dyDescent="0.3">
      <c r="A420" s="19" t="s">
        <v>1467</v>
      </c>
      <c r="B420" s="38">
        <v>0</v>
      </c>
      <c r="C420" s="38">
        <v>69482633.329999998</v>
      </c>
      <c r="D420" s="38">
        <v>41950000</v>
      </c>
      <c r="E420" s="38">
        <v>41950000</v>
      </c>
      <c r="F420" s="38">
        <v>41950000</v>
      </c>
      <c r="G420" s="38">
        <v>0.32999999821186066</v>
      </c>
      <c r="H420" s="38">
        <v>27532633.329999998</v>
      </c>
      <c r="I420" s="27">
        <v>0.99999999525061178</v>
      </c>
      <c r="J420" s="27">
        <v>0.60374798693600407</v>
      </c>
    </row>
    <row r="421" spans="1:10" ht="28.8" x14ac:dyDescent="0.3">
      <c r="A421" s="18" t="s">
        <v>1153</v>
      </c>
      <c r="B421" s="37">
        <v>88000000</v>
      </c>
      <c r="C421" s="37">
        <v>1088000000</v>
      </c>
      <c r="D421" s="37">
        <v>997200000</v>
      </c>
      <c r="E421" s="37">
        <v>67200000</v>
      </c>
      <c r="F421" s="37">
        <v>67200000</v>
      </c>
      <c r="G421" s="37">
        <v>72800000</v>
      </c>
      <c r="H421" s="37">
        <v>90800000</v>
      </c>
      <c r="I421" s="31">
        <v>0.93308823529411766</v>
      </c>
      <c r="J421" s="31">
        <v>0.91654411764705879</v>
      </c>
    </row>
    <row r="422" spans="1:10" ht="43.2" x14ac:dyDescent="0.3">
      <c r="A422" s="19" t="s">
        <v>1468</v>
      </c>
      <c r="B422" s="38">
        <v>88000000</v>
      </c>
      <c r="C422" s="38">
        <v>88000000</v>
      </c>
      <c r="D422" s="38">
        <v>67200000</v>
      </c>
      <c r="E422" s="38">
        <v>67200000</v>
      </c>
      <c r="F422" s="38">
        <v>67200000</v>
      </c>
      <c r="G422" s="38">
        <v>2800000</v>
      </c>
      <c r="H422" s="38">
        <v>20800000</v>
      </c>
      <c r="I422" s="27">
        <v>0.96818181818181814</v>
      </c>
      <c r="J422" s="27">
        <v>0.76363636363636367</v>
      </c>
    </row>
    <row r="423" spans="1:10" ht="43.2" x14ac:dyDescent="0.3">
      <c r="A423" s="19" t="s">
        <v>1469</v>
      </c>
      <c r="B423" s="38">
        <v>0</v>
      </c>
      <c r="C423" s="38">
        <v>1000000000</v>
      </c>
      <c r="D423" s="38">
        <v>930000000</v>
      </c>
      <c r="E423" s="38">
        <v>0</v>
      </c>
      <c r="F423" s="38">
        <v>0</v>
      </c>
      <c r="G423" s="38">
        <v>70000000</v>
      </c>
      <c r="H423" s="38">
        <v>70000000</v>
      </c>
      <c r="I423" s="27">
        <v>0.93</v>
      </c>
      <c r="J423" s="27">
        <v>0.93</v>
      </c>
    </row>
    <row r="424" spans="1:10" x14ac:dyDescent="0.3">
      <c r="A424" s="20" t="s">
        <v>1228</v>
      </c>
      <c r="B424" s="39">
        <v>664287791064</v>
      </c>
      <c r="C424" s="39">
        <v>835637088271.69006</v>
      </c>
      <c r="D424" s="39">
        <v>820848366450.66003</v>
      </c>
      <c r="E424" s="39">
        <v>793600882343.73999</v>
      </c>
      <c r="F424" s="39">
        <v>790796150913.73999</v>
      </c>
      <c r="G424" s="39">
        <v>12540245953.950073</v>
      </c>
      <c r="H424" s="39">
        <v>14788721821.030029</v>
      </c>
      <c r="I424" s="32">
        <v>0.9849931912669333</v>
      </c>
      <c r="J424" s="32">
        <v>0.98230245877236388</v>
      </c>
    </row>
    <row r="425" spans="1:10" x14ac:dyDescent="0.3">
      <c r="A425" s="16" t="s">
        <v>1030</v>
      </c>
      <c r="B425" s="35">
        <v>664287791064</v>
      </c>
      <c r="C425" s="35">
        <v>835637088271.69006</v>
      </c>
      <c r="D425" s="35">
        <v>820848366450.66003</v>
      </c>
      <c r="E425" s="35">
        <v>793600882343.73999</v>
      </c>
      <c r="F425" s="35">
        <v>790796150913.73999</v>
      </c>
      <c r="G425" s="35">
        <v>12540245953.950073</v>
      </c>
      <c r="H425" s="35">
        <v>14788721821.030029</v>
      </c>
      <c r="I425" s="29">
        <v>0.9849931912669333</v>
      </c>
      <c r="J425" s="29">
        <v>0.98230245877236388</v>
      </c>
    </row>
    <row r="426" spans="1:10" x14ac:dyDescent="0.3">
      <c r="A426" s="17" t="s">
        <v>1042</v>
      </c>
      <c r="B426" s="36">
        <v>664287791064</v>
      </c>
      <c r="C426" s="36">
        <v>835637088271.69006</v>
      </c>
      <c r="D426" s="36">
        <v>820848366450.66003</v>
      </c>
      <c r="E426" s="36">
        <v>793600882343.73999</v>
      </c>
      <c r="F426" s="36">
        <v>790796150913.73999</v>
      </c>
      <c r="G426" s="36">
        <v>12540245953.950073</v>
      </c>
      <c r="H426" s="36">
        <v>14788721821.030029</v>
      </c>
      <c r="I426" s="30">
        <v>0.9849931912669333</v>
      </c>
      <c r="J426" s="30">
        <v>0.98230245877236388</v>
      </c>
    </row>
    <row r="427" spans="1:10" x14ac:dyDescent="0.3">
      <c r="A427" s="18" t="s">
        <v>1046</v>
      </c>
      <c r="B427" s="37">
        <v>655151110287</v>
      </c>
      <c r="C427" s="37">
        <v>822771043588.69006</v>
      </c>
      <c r="D427" s="37">
        <v>809498471785.66003</v>
      </c>
      <c r="E427" s="37">
        <v>786180126210.73999</v>
      </c>
      <c r="F427" s="37">
        <v>784413160136.73999</v>
      </c>
      <c r="G427" s="37">
        <v>11785446735.950073</v>
      </c>
      <c r="H427" s="37">
        <v>13272571803.030029</v>
      </c>
      <c r="I427" s="31">
        <v>0.98567590968619245</v>
      </c>
      <c r="J427" s="31">
        <v>0.98386845051675753</v>
      </c>
    </row>
    <row r="428" spans="1:10" ht="28.8" x14ac:dyDescent="0.3">
      <c r="A428" s="19" t="s">
        <v>1470</v>
      </c>
      <c r="B428" s="38">
        <v>520000000</v>
      </c>
      <c r="C428" s="38">
        <v>520000000</v>
      </c>
      <c r="D428" s="38">
        <v>512000000</v>
      </c>
      <c r="E428" s="38">
        <v>512000000</v>
      </c>
      <c r="F428" s="38">
        <v>509600000</v>
      </c>
      <c r="G428" s="38">
        <v>8000000</v>
      </c>
      <c r="H428" s="38">
        <v>8000000</v>
      </c>
      <c r="I428" s="27">
        <v>0.98461538461538467</v>
      </c>
      <c r="J428" s="27">
        <v>0.98461538461538467</v>
      </c>
    </row>
    <row r="429" spans="1:10" ht="28.8" x14ac:dyDescent="0.3">
      <c r="A429" s="19" t="s">
        <v>1471</v>
      </c>
      <c r="B429" s="38">
        <v>0</v>
      </c>
      <c r="C429" s="38">
        <v>663817531</v>
      </c>
      <c r="D429" s="38">
        <v>433546662</v>
      </c>
      <c r="E429" s="38">
        <v>433546662</v>
      </c>
      <c r="F429" s="38">
        <v>376500000</v>
      </c>
      <c r="G429" s="38">
        <v>136515904</v>
      </c>
      <c r="H429" s="38">
        <v>230270869</v>
      </c>
      <c r="I429" s="27">
        <v>0.79434724510160604</v>
      </c>
      <c r="J429" s="27">
        <v>0.65311119660682782</v>
      </c>
    </row>
    <row r="430" spans="1:10" ht="28.8" x14ac:dyDescent="0.3">
      <c r="A430" s="19" t="s">
        <v>1472</v>
      </c>
      <c r="B430" s="38">
        <v>2105000000</v>
      </c>
      <c r="C430" s="38">
        <v>3192058201</v>
      </c>
      <c r="D430" s="38">
        <v>2537510394</v>
      </c>
      <c r="E430" s="38">
        <v>2524843728</v>
      </c>
      <c r="F430" s="38">
        <v>2159900000</v>
      </c>
      <c r="G430" s="38">
        <v>625857804</v>
      </c>
      <c r="H430" s="38">
        <v>654547807</v>
      </c>
      <c r="I430" s="27">
        <v>0.80393283436876783</v>
      </c>
      <c r="J430" s="27">
        <v>0.79494490207135171</v>
      </c>
    </row>
    <row r="431" spans="1:10" ht="28.8" x14ac:dyDescent="0.3">
      <c r="A431" s="19" t="s">
        <v>1473</v>
      </c>
      <c r="B431" s="38">
        <v>1008800000</v>
      </c>
      <c r="C431" s="38">
        <v>1008800000</v>
      </c>
      <c r="D431" s="38">
        <v>987748360</v>
      </c>
      <c r="E431" s="38">
        <v>985748360</v>
      </c>
      <c r="F431" s="38">
        <v>963954740</v>
      </c>
      <c r="G431" s="38">
        <v>6380</v>
      </c>
      <c r="H431" s="38">
        <v>21051640</v>
      </c>
      <c r="I431" s="27">
        <v>0.99999367565424269</v>
      </c>
      <c r="J431" s="27">
        <v>0.97913199841395715</v>
      </c>
    </row>
    <row r="432" spans="1:10" ht="28.8" x14ac:dyDescent="0.3">
      <c r="A432" s="19" t="s">
        <v>1474</v>
      </c>
      <c r="B432" s="38">
        <v>215658186</v>
      </c>
      <c r="C432" s="38">
        <v>215975869</v>
      </c>
      <c r="D432" s="38">
        <v>215000185</v>
      </c>
      <c r="E432" s="38">
        <v>163941999</v>
      </c>
      <c r="F432" s="38">
        <v>158941999</v>
      </c>
      <c r="G432" s="38">
        <v>317683</v>
      </c>
      <c r="H432" s="38">
        <v>975684</v>
      </c>
      <c r="I432" s="27">
        <v>0.99852908104284555</v>
      </c>
      <c r="J432" s="27">
        <v>0.99548243975348927</v>
      </c>
    </row>
    <row r="433" spans="1:10" ht="43.2" x14ac:dyDescent="0.3">
      <c r="A433" s="19" t="s">
        <v>1475</v>
      </c>
      <c r="B433" s="38">
        <v>100000000</v>
      </c>
      <c r="C433" s="38">
        <v>100000000</v>
      </c>
      <c r="D433" s="38">
        <v>96500000</v>
      </c>
      <c r="E433" s="38">
        <v>96500000</v>
      </c>
      <c r="F433" s="38">
        <v>96500000</v>
      </c>
      <c r="G433" s="38">
        <v>3500000</v>
      </c>
      <c r="H433" s="38">
        <v>3500000</v>
      </c>
      <c r="I433" s="27">
        <v>0.96499999999999997</v>
      </c>
      <c r="J433" s="27">
        <v>0.96499999999999997</v>
      </c>
    </row>
    <row r="434" spans="1:10" ht="28.8" x14ac:dyDescent="0.3">
      <c r="A434" s="19" t="s">
        <v>1476</v>
      </c>
      <c r="B434" s="38">
        <v>4740881984</v>
      </c>
      <c r="C434" s="38">
        <v>9106764927</v>
      </c>
      <c r="D434" s="38">
        <v>6566267665</v>
      </c>
      <c r="E434" s="38">
        <v>4166267665</v>
      </c>
      <c r="F434" s="38">
        <v>3666267665</v>
      </c>
      <c r="G434" s="38">
        <v>2540497262</v>
      </c>
      <c r="H434" s="38">
        <v>2540497262</v>
      </c>
      <c r="I434" s="27">
        <v>0.72103186121914054</v>
      </c>
      <c r="J434" s="27">
        <v>0.72103186121914054</v>
      </c>
    </row>
    <row r="435" spans="1:10" ht="28.8" x14ac:dyDescent="0.3">
      <c r="A435" s="19" t="s">
        <v>1477</v>
      </c>
      <c r="B435" s="38">
        <v>0</v>
      </c>
      <c r="C435" s="38">
        <v>50567799490</v>
      </c>
      <c r="D435" s="38">
        <v>47409857625.919998</v>
      </c>
      <c r="E435" s="38">
        <v>26567799490</v>
      </c>
      <c r="F435" s="38">
        <v>26061524122</v>
      </c>
      <c r="G435" s="38">
        <v>3115046000</v>
      </c>
      <c r="H435" s="38">
        <v>3157941864.0800018</v>
      </c>
      <c r="I435" s="27">
        <v>0.93839862459081269</v>
      </c>
      <c r="J435" s="27">
        <v>0.93755034041565333</v>
      </c>
    </row>
    <row r="436" spans="1:10" ht="28.8" x14ac:dyDescent="0.3">
      <c r="A436" s="19" t="s">
        <v>1478</v>
      </c>
      <c r="B436" s="38">
        <v>0</v>
      </c>
      <c r="C436" s="38">
        <v>2463763324</v>
      </c>
      <c r="D436" s="38">
        <v>1121234435</v>
      </c>
      <c r="E436" s="38">
        <v>1121234435</v>
      </c>
      <c r="F436" s="38">
        <v>835527739</v>
      </c>
      <c r="G436" s="38">
        <v>68447915</v>
      </c>
      <c r="H436" s="38">
        <v>1342528889</v>
      </c>
      <c r="I436" s="27">
        <v>0.97221814517115523</v>
      </c>
      <c r="J436" s="27">
        <v>0.45509015581076162</v>
      </c>
    </row>
    <row r="437" spans="1:10" ht="28.8" x14ac:dyDescent="0.3">
      <c r="A437" s="19" t="s">
        <v>1479</v>
      </c>
      <c r="B437" s="38">
        <v>645678407535</v>
      </c>
      <c r="C437" s="38">
        <v>754197264081.38</v>
      </c>
      <c r="D437" s="38">
        <v>749023406293.42993</v>
      </c>
      <c r="E437" s="38">
        <v>749023406288.42993</v>
      </c>
      <c r="F437" s="38">
        <v>749023406288.42993</v>
      </c>
      <c r="G437" s="38">
        <v>5173857787.9500732</v>
      </c>
      <c r="H437" s="38">
        <v>5173857787.9500732</v>
      </c>
      <c r="I437" s="27">
        <v>0.99313991440389027</v>
      </c>
      <c r="J437" s="27">
        <v>0.99313991440389027</v>
      </c>
    </row>
    <row r="438" spans="1:10" ht="28.8" x14ac:dyDescent="0.3">
      <c r="A438" s="19" t="s">
        <v>1480</v>
      </c>
      <c r="B438" s="38">
        <v>0</v>
      </c>
      <c r="C438" s="38">
        <v>2437583.31</v>
      </c>
      <c r="D438" s="38">
        <v>2437583.31</v>
      </c>
      <c r="E438" s="38">
        <v>2437583.31</v>
      </c>
      <c r="F438" s="38">
        <v>2437583.31</v>
      </c>
      <c r="G438" s="38">
        <v>0</v>
      </c>
      <c r="H438" s="38">
        <v>0</v>
      </c>
      <c r="I438" s="27">
        <v>1</v>
      </c>
      <c r="J438" s="27">
        <v>1</v>
      </c>
    </row>
    <row r="439" spans="1:10" ht="28.8" x14ac:dyDescent="0.3">
      <c r="A439" s="19" t="s">
        <v>1481</v>
      </c>
      <c r="B439" s="38">
        <v>275000000</v>
      </c>
      <c r="C439" s="38">
        <v>275000000</v>
      </c>
      <c r="D439" s="38">
        <v>210000000</v>
      </c>
      <c r="E439" s="38">
        <v>210000000</v>
      </c>
      <c r="F439" s="38">
        <v>195000000</v>
      </c>
      <c r="G439" s="38">
        <v>65000000</v>
      </c>
      <c r="H439" s="38">
        <v>65000000</v>
      </c>
      <c r="I439" s="27">
        <v>0.76363636363636367</v>
      </c>
      <c r="J439" s="27">
        <v>0.76363636363636367</v>
      </c>
    </row>
    <row r="440" spans="1:10" ht="28.8" x14ac:dyDescent="0.3">
      <c r="A440" s="19" t="s">
        <v>1482</v>
      </c>
      <c r="B440" s="38">
        <v>507362582</v>
      </c>
      <c r="C440" s="38">
        <v>457362582</v>
      </c>
      <c r="D440" s="38">
        <v>382962582</v>
      </c>
      <c r="E440" s="38">
        <v>372400000</v>
      </c>
      <c r="F440" s="38">
        <v>363600000</v>
      </c>
      <c r="G440" s="38">
        <v>48400000</v>
      </c>
      <c r="H440" s="38">
        <v>74400000</v>
      </c>
      <c r="I440" s="27">
        <v>0.8941758641724652</v>
      </c>
      <c r="J440" s="27">
        <v>0.83732818790147556</v>
      </c>
    </row>
    <row r="441" spans="1:10" x14ac:dyDescent="0.3">
      <c r="A441" s="18" t="s">
        <v>1066</v>
      </c>
      <c r="B441" s="37">
        <v>382058179</v>
      </c>
      <c r="C441" s="37">
        <v>382058179</v>
      </c>
      <c r="D441" s="37">
        <v>382058179</v>
      </c>
      <c r="E441" s="37">
        <v>263400000</v>
      </c>
      <c r="F441" s="37">
        <v>263400000</v>
      </c>
      <c r="G441" s="37">
        <v>0</v>
      </c>
      <c r="H441" s="37">
        <v>0</v>
      </c>
      <c r="I441" s="31">
        <v>1</v>
      </c>
      <c r="J441" s="31">
        <v>1</v>
      </c>
    </row>
    <row r="442" spans="1:10" ht="43.2" x14ac:dyDescent="0.3">
      <c r="A442" s="19" t="s">
        <v>1483</v>
      </c>
      <c r="B442" s="38">
        <v>382058179</v>
      </c>
      <c r="C442" s="38">
        <v>382058179</v>
      </c>
      <c r="D442" s="38">
        <v>382058179</v>
      </c>
      <c r="E442" s="38">
        <v>263400000</v>
      </c>
      <c r="F442" s="38">
        <v>263400000</v>
      </c>
      <c r="G442" s="38">
        <v>0</v>
      </c>
      <c r="H442" s="38">
        <v>0</v>
      </c>
      <c r="I442" s="27">
        <v>1</v>
      </c>
      <c r="J442" s="27">
        <v>1</v>
      </c>
    </row>
    <row r="443" spans="1:10" x14ac:dyDescent="0.3">
      <c r="A443" s="18" t="s">
        <v>1083</v>
      </c>
      <c r="B443" s="37">
        <v>701081233</v>
      </c>
      <c r="C443" s="37">
        <v>1006305624</v>
      </c>
      <c r="D443" s="37">
        <v>790424272</v>
      </c>
      <c r="E443" s="37">
        <v>595823188</v>
      </c>
      <c r="F443" s="37">
        <v>424200000</v>
      </c>
      <c r="G443" s="37">
        <v>215881352</v>
      </c>
      <c r="H443" s="37">
        <v>215881352</v>
      </c>
      <c r="I443" s="31">
        <v>0.78547138478478784</v>
      </c>
      <c r="J443" s="31">
        <v>0.78547138478478784</v>
      </c>
    </row>
    <row r="444" spans="1:10" ht="28.8" x14ac:dyDescent="0.3">
      <c r="A444" s="19" t="s">
        <v>1484</v>
      </c>
      <c r="B444" s="38">
        <v>315952000</v>
      </c>
      <c r="C444" s="38">
        <v>315952000</v>
      </c>
      <c r="D444" s="38">
        <v>315952000</v>
      </c>
      <c r="E444" s="38">
        <v>220800000</v>
      </c>
      <c r="F444" s="38">
        <v>218400000</v>
      </c>
      <c r="G444" s="38">
        <v>0</v>
      </c>
      <c r="H444" s="38">
        <v>0</v>
      </c>
      <c r="I444" s="27">
        <v>1</v>
      </c>
      <c r="J444" s="27">
        <v>1</v>
      </c>
    </row>
    <row r="445" spans="1:10" ht="43.2" x14ac:dyDescent="0.3">
      <c r="A445" s="19" t="s">
        <v>1485</v>
      </c>
      <c r="B445" s="38">
        <v>385129233</v>
      </c>
      <c r="C445" s="38">
        <v>690353624</v>
      </c>
      <c r="D445" s="38">
        <v>474472272</v>
      </c>
      <c r="E445" s="38">
        <v>375023188</v>
      </c>
      <c r="F445" s="38">
        <v>205800000</v>
      </c>
      <c r="G445" s="38">
        <v>215881352</v>
      </c>
      <c r="H445" s="38">
        <v>215881352</v>
      </c>
      <c r="I445" s="27">
        <v>0.68728873943015611</v>
      </c>
      <c r="J445" s="27">
        <v>0.68728873943015611</v>
      </c>
    </row>
    <row r="446" spans="1:10" x14ac:dyDescent="0.3">
      <c r="A446" s="18" t="s">
        <v>1071</v>
      </c>
      <c r="B446" s="37">
        <v>908550195</v>
      </c>
      <c r="C446" s="37">
        <v>1021685206</v>
      </c>
      <c r="D446" s="37">
        <v>918475998</v>
      </c>
      <c r="E446" s="37">
        <v>428820000</v>
      </c>
      <c r="F446" s="37">
        <v>412100000</v>
      </c>
      <c r="G446" s="37">
        <v>12483187</v>
      </c>
      <c r="H446" s="37">
        <v>103209208</v>
      </c>
      <c r="I446" s="31">
        <v>0.9877817678804679</v>
      </c>
      <c r="J446" s="31">
        <v>0.89898140112640523</v>
      </c>
    </row>
    <row r="447" spans="1:10" ht="28.8" x14ac:dyDescent="0.3">
      <c r="A447" s="19" t="s">
        <v>1486</v>
      </c>
      <c r="B447" s="38">
        <v>446402915</v>
      </c>
      <c r="C447" s="38">
        <v>559537926</v>
      </c>
      <c r="D447" s="38">
        <v>459666905</v>
      </c>
      <c r="E447" s="38">
        <v>103900000</v>
      </c>
      <c r="F447" s="38">
        <v>103900000</v>
      </c>
      <c r="G447" s="38">
        <v>11425000</v>
      </c>
      <c r="H447" s="38">
        <v>99871021</v>
      </c>
      <c r="I447" s="27">
        <v>0.97958136621466474</v>
      </c>
      <c r="J447" s="27">
        <v>0.82151161456748156</v>
      </c>
    </row>
    <row r="448" spans="1:10" ht="28.8" x14ac:dyDescent="0.3">
      <c r="A448" s="19" t="s">
        <v>1487</v>
      </c>
      <c r="B448" s="38">
        <v>225689093</v>
      </c>
      <c r="C448" s="38">
        <v>225689093</v>
      </c>
      <c r="D448" s="38">
        <v>225689093</v>
      </c>
      <c r="E448" s="38">
        <v>175400000</v>
      </c>
      <c r="F448" s="38">
        <v>171600000</v>
      </c>
      <c r="G448" s="38">
        <v>0</v>
      </c>
      <c r="H448" s="38">
        <v>0</v>
      </c>
      <c r="I448" s="27">
        <v>1</v>
      </c>
      <c r="J448" s="27">
        <v>1</v>
      </c>
    </row>
    <row r="449" spans="1:10" ht="28.8" x14ac:dyDescent="0.3">
      <c r="A449" s="19" t="s">
        <v>1488</v>
      </c>
      <c r="B449" s="38">
        <v>236458187</v>
      </c>
      <c r="C449" s="38">
        <v>236458187</v>
      </c>
      <c r="D449" s="38">
        <v>233120000</v>
      </c>
      <c r="E449" s="38">
        <v>149520000</v>
      </c>
      <c r="F449" s="38">
        <v>136600000</v>
      </c>
      <c r="G449" s="38">
        <v>1058187</v>
      </c>
      <c r="H449" s="38">
        <v>3338187</v>
      </c>
      <c r="I449" s="27">
        <v>0.99552484516004514</v>
      </c>
      <c r="J449" s="27">
        <v>0.9858825484439665</v>
      </c>
    </row>
    <row r="450" spans="1:10" x14ac:dyDescent="0.3">
      <c r="A450" s="18" t="s">
        <v>1067</v>
      </c>
      <c r="B450" s="37">
        <v>1082531175</v>
      </c>
      <c r="C450" s="37">
        <v>1082531175</v>
      </c>
      <c r="D450" s="37">
        <v>1068731175</v>
      </c>
      <c r="E450" s="37">
        <v>719000000</v>
      </c>
      <c r="F450" s="37">
        <v>715200000</v>
      </c>
      <c r="G450" s="37">
        <v>1800000</v>
      </c>
      <c r="H450" s="37">
        <v>13800000</v>
      </c>
      <c r="I450" s="31">
        <v>0.99833723033426724</v>
      </c>
      <c r="J450" s="31">
        <v>0.98725209922938251</v>
      </c>
    </row>
    <row r="451" spans="1:10" ht="28.8" x14ac:dyDescent="0.3">
      <c r="A451" s="19" t="s">
        <v>1489</v>
      </c>
      <c r="B451" s="38">
        <v>418157605</v>
      </c>
      <c r="C451" s="38">
        <v>418157605</v>
      </c>
      <c r="D451" s="38">
        <v>418157605</v>
      </c>
      <c r="E451" s="38">
        <v>280800000</v>
      </c>
      <c r="F451" s="38">
        <v>277000000</v>
      </c>
      <c r="G451" s="38">
        <v>0</v>
      </c>
      <c r="H451" s="38">
        <v>0</v>
      </c>
      <c r="I451" s="27">
        <v>1</v>
      </c>
      <c r="J451" s="27">
        <v>1</v>
      </c>
    </row>
    <row r="452" spans="1:10" ht="28.8" x14ac:dyDescent="0.3">
      <c r="A452" s="19" t="s">
        <v>1490</v>
      </c>
      <c r="B452" s="38">
        <v>304407584</v>
      </c>
      <c r="C452" s="38">
        <v>304407584</v>
      </c>
      <c r="D452" s="38">
        <v>302607584</v>
      </c>
      <c r="E452" s="38">
        <v>203600000</v>
      </c>
      <c r="F452" s="38">
        <v>203600000</v>
      </c>
      <c r="G452" s="38">
        <v>1800000</v>
      </c>
      <c r="H452" s="38">
        <v>1800000</v>
      </c>
      <c r="I452" s="27">
        <v>0.99408687531254147</v>
      </c>
      <c r="J452" s="27">
        <v>0.99408687531254147</v>
      </c>
    </row>
    <row r="453" spans="1:10" ht="28.8" x14ac:dyDescent="0.3">
      <c r="A453" s="19" t="s">
        <v>1491</v>
      </c>
      <c r="B453" s="38">
        <v>200464375</v>
      </c>
      <c r="C453" s="38">
        <v>200464375</v>
      </c>
      <c r="D453" s="38">
        <v>188464375</v>
      </c>
      <c r="E453" s="38">
        <v>121200000</v>
      </c>
      <c r="F453" s="38">
        <v>121200000</v>
      </c>
      <c r="G453" s="38">
        <v>0</v>
      </c>
      <c r="H453" s="38">
        <v>12000000</v>
      </c>
      <c r="I453" s="27">
        <v>1</v>
      </c>
      <c r="J453" s="27">
        <v>0.9401389897830974</v>
      </c>
    </row>
    <row r="454" spans="1:10" x14ac:dyDescent="0.3">
      <c r="A454" s="19" t="s">
        <v>1492</v>
      </c>
      <c r="B454" s="38">
        <v>159501611</v>
      </c>
      <c r="C454" s="38">
        <v>159501611</v>
      </c>
      <c r="D454" s="38">
        <v>159501611</v>
      </c>
      <c r="E454" s="38">
        <v>113400000</v>
      </c>
      <c r="F454" s="38">
        <v>113400000</v>
      </c>
      <c r="G454" s="38">
        <v>0</v>
      </c>
      <c r="H454" s="38">
        <v>0</v>
      </c>
      <c r="I454" s="27">
        <v>1</v>
      </c>
      <c r="J454" s="27">
        <v>1</v>
      </c>
    </row>
    <row r="455" spans="1:10" x14ac:dyDescent="0.3">
      <c r="A455" s="18" t="s">
        <v>1079</v>
      </c>
      <c r="B455" s="37">
        <v>624000000</v>
      </c>
      <c r="C455" s="37">
        <v>639020000</v>
      </c>
      <c r="D455" s="37">
        <v>616300000</v>
      </c>
      <c r="E455" s="37">
        <v>261800000</v>
      </c>
      <c r="F455" s="37">
        <v>261800000</v>
      </c>
      <c r="G455" s="37">
        <v>22720000</v>
      </c>
      <c r="H455" s="37">
        <v>22720000</v>
      </c>
      <c r="I455" s="31">
        <v>0.96444555725955372</v>
      </c>
      <c r="J455" s="31">
        <v>0.96444555725955372</v>
      </c>
    </row>
    <row r="456" spans="1:10" x14ac:dyDescent="0.3">
      <c r="A456" s="19" t="s">
        <v>1493</v>
      </c>
      <c r="B456" s="38">
        <v>624000000</v>
      </c>
      <c r="C456" s="38">
        <v>639020000</v>
      </c>
      <c r="D456" s="38">
        <v>616300000</v>
      </c>
      <c r="E456" s="38">
        <v>261800000</v>
      </c>
      <c r="F456" s="38">
        <v>261800000</v>
      </c>
      <c r="G456" s="38">
        <v>22720000</v>
      </c>
      <c r="H456" s="38">
        <v>22720000</v>
      </c>
      <c r="I456" s="27">
        <v>0.96444555725955372</v>
      </c>
      <c r="J456" s="27">
        <v>0.96444555725955372</v>
      </c>
    </row>
    <row r="457" spans="1:10" x14ac:dyDescent="0.3">
      <c r="A457" s="18" t="s">
        <v>1050</v>
      </c>
      <c r="B457" s="37">
        <v>659680000</v>
      </c>
      <c r="C457" s="37">
        <v>659680000</v>
      </c>
      <c r="D457" s="37">
        <v>654900520</v>
      </c>
      <c r="E457" s="37">
        <v>529020520</v>
      </c>
      <c r="F457" s="37">
        <v>529020520</v>
      </c>
      <c r="G457" s="37">
        <v>4779480</v>
      </c>
      <c r="H457" s="37">
        <v>4779480</v>
      </c>
      <c r="I457" s="31">
        <v>0.9927548508367694</v>
      </c>
      <c r="J457" s="31">
        <v>0.9927548508367694</v>
      </c>
    </row>
    <row r="458" spans="1:10" ht="28.8" x14ac:dyDescent="0.3">
      <c r="A458" s="19" t="s">
        <v>1494</v>
      </c>
      <c r="B458" s="38">
        <v>304000000</v>
      </c>
      <c r="C458" s="38">
        <v>304000000</v>
      </c>
      <c r="D458" s="38">
        <v>304000000</v>
      </c>
      <c r="E458" s="38">
        <v>220000000</v>
      </c>
      <c r="F458" s="38">
        <v>220000000</v>
      </c>
      <c r="G458" s="38">
        <v>0</v>
      </c>
      <c r="H458" s="38">
        <v>0</v>
      </c>
      <c r="I458" s="27">
        <v>1</v>
      </c>
      <c r="J458" s="27">
        <v>1</v>
      </c>
    </row>
    <row r="459" spans="1:10" ht="28.8" x14ac:dyDescent="0.3">
      <c r="A459" s="19" t="s">
        <v>1495</v>
      </c>
      <c r="B459" s="38">
        <v>355680000</v>
      </c>
      <c r="C459" s="38">
        <v>355680000</v>
      </c>
      <c r="D459" s="38">
        <v>350900520</v>
      </c>
      <c r="E459" s="38">
        <v>309020520</v>
      </c>
      <c r="F459" s="38">
        <v>309020520</v>
      </c>
      <c r="G459" s="38">
        <v>4779480</v>
      </c>
      <c r="H459" s="38">
        <v>4779480</v>
      </c>
      <c r="I459" s="27">
        <v>0.98656241565452096</v>
      </c>
      <c r="J459" s="27">
        <v>0.98656241565452096</v>
      </c>
    </row>
    <row r="460" spans="1:10" x14ac:dyDescent="0.3">
      <c r="A460" s="18" t="s">
        <v>1047</v>
      </c>
      <c r="B460" s="37">
        <v>907258187</v>
      </c>
      <c r="C460" s="37">
        <v>907258187</v>
      </c>
      <c r="D460" s="37">
        <v>879504853</v>
      </c>
      <c r="E460" s="37">
        <v>436446666</v>
      </c>
      <c r="F460" s="37">
        <v>343000000</v>
      </c>
      <c r="G460" s="37">
        <v>9600000</v>
      </c>
      <c r="H460" s="37">
        <v>27753334</v>
      </c>
      <c r="I460" s="31">
        <v>0.98941866809519352</v>
      </c>
      <c r="J460" s="31">
        <v>0.96940966265427597</v>
      </c>
    </row>
    <row r="461" spans="1:10" ht="28.8" x14ac:dyDescent="0.3">
      <c r="A461" s="19" t="s">
        <v>1496</v>
      </c>
      <c r="B461" s="38">
        <v>647258187</v>
      </c>
      <c r="C461" s="38">
        <v>647258187</v>
      </c>
      <c r="D461" s="38">
        <v>633904853</v>
      </c>
      <c r="E461" s="38">
        <v>348446666</v>
      </c>
      <c r="F461" s="38">
        <v>285000000</v>
      </c>
      <c r="G461" s="38">
        <v>2400000</v>
      </c>
      <c r="H461" s="38">
        <v>13353334</v>
      </c>
      <c r="I461" s="27">
        <v>0.9962920515364605</v>
      </c>
      <c r="J461" s="27">
        <v>0.97936938571315435</v>
      </c>
    </row>
    <row r="462" spans="1:10" ht="28.8" x14ac:dyDescent="0.3">
      <c r="A462" s="19" t="s">
        <v>1497</v>
      </c>
      <c r="B462" s="38">
        <v>260000000</v>
      </c>
      <c r="C462" s="38">
        <v>260000000</v>
      </c>
      <c r="D462" s="38">
        <v>245600000</v>
      </c>
      <c r="E462" s="38">
        <v>88000000</v>
      </c>
      <c r="F462" s="38">
        <v>58000000</v>
      </c>
      <c r="G462" s="38">
        <v>7200000</v>
      </c>
      <c r="H462" s="38">
        <v>14400000</v>
      </c>
      <c r="I462" s="27">
        <v>0.97230769230769232</v>
      </c>
      <c r="J462" s="27">
        <v>0.94461538461538463</v>
      </c>
    </row>
    <row r="463" spans="1:10" x14ac:dyDescent="0.3">
      <c r="A463" s="18" t="s">
        <v>1043</v>
      </c>
      <c r="B463" s="37">
        <v>2971521808</v>
      </c>
      <c r="C463" s="37">
        <v>6059419435</v>
      </c>
      <c r="D463" s="37">
        <v>5095749668</v>
      </c>
      <c r="E463" s="37">
        <v>3246545759</v>
      </c>
      <c r="F463" s="37">
        <v>2545620257</v>
      </c>
      <c r="G463" s="37">
        <v>378348322</v>
      </c>
      <c r="H463" s="37">
        <v>963669767</v>
      </c>
      <c r="I463" s="31">
        <v>0.9375603016000823</v>
      </c>
      <c r="J463" s="31">
        <v>0.84096335014643198</v>
      </c>
    </row>
    <row r="464" spans="1:10" ht="28.8" x14ac:dyDescent="0.3">
      <c r="A464" s="19" t="s">
        <v>1498</v>
      </c>
      <c r="B464" s="38">
        <v>301547391</v>
      </c>
      <c r="C464" s="38">
        <v>758564581</v>
      </c>
      <c r="D464" s="38">
        <v>718579952</v>
      </c>
      <c r="E464" s="38">
        <v>208232561</v>
      </c>
      <c r="F464" s="38">
        <v>171400000</v>
      </c>
      <c r="G464" s="38">
        <v>6184629</v>
      </c>
      <c r="H464" s="38">
        <v>39984629</v>
      </c>
      <c r="I464" s="27">
        <v>0.99184693148756442</v>
      </c>
      <c r="J464" s="27">
        <v>0.94728909047231147</v>
      </c>
    </row>
    <row r="465" spans="1:10" ht="28.8" x14ac:dyDescent="0.3">
      <c r="A465" s="19" t="s">
        <v>1499</v>
      </c>
      <c r="B465" s="38">
        <v>399224164</v>
      </c>
      <c r="C465" s="38">
        <v>788680789</v>
      </c>
      <c r="D465" s="38">
        <v>644658727</v>
      </c>
      <c r="E465" s="38">
        <v>253858727</v>
      </c>
      <c r="F465" s="38">
        <v>210838728</v>
      </c>
      <c r="G465" s="38">
        <v>81842061</v>
      </c>
      <c r="H465" s="38">
        <v>144022062</v>
      </c>
      <c r="I465" s="27">
        <v>0.89622916883296877</v>
      </c>
      <c r="J465" s="27">
        <v>0.81738865202661859</v>
      </c>
    </row>
    <row r="466" spans="1:10" ht="28.8" x14ac:dyDescent="0.3">
      <c r="A466" s="19" t="s">
        <v>1500</v>
      </c>
      <c r="B466" s="38">
        <v>540800000</v>
      </c>
      <c r="C466" s="38">
        <v>1605900000</v>
      </c>
      <c r="D466" s="38">
        <v>1390899995</v>
      </c>
      <c r="E466" s="38">
        <v>1140899995</v>
      </c>
      <c r="F466" s="38">
        <v>860473333</v>
      </c>
      <c r="G466" s="38">
        <v>87606668</v>
      </c>
      <c r="H466" s="38">
        <v>215000005</v>
      </c>
      <c r="I466" s="27">
        <v>0.94544699669966992</v>
      </c>
      <c r="J466" s="27">
        <v>0.86611868422691329</v>
      </c>
    </row>
    <row r="467" spans="1:10" ht="28.8" x14ac:dyDescent="0.3">
      <c r="A467" s="19" t="s">
        <v>1501</v>
      </c>
      <c r="B467" s="38">
        <v>1437710253</v>
      </c>
      <c r="C467" s="38">
        <v>1422485444</v>
      </c>
      <c r="D467" s="38">
        <v>1143649339</v>
      </c>
      <c r="E467" s="38">
        <v>969649339</v>
      </c>
      <c r="F467" s="38">
        <v>852067897</v>
      </c>
      <c r="G467" s="38">
        <v>4600000</v>
      </c>
      <c r="H467" s="38">
        <v>278836105</v>
      </c>
      <c r="I467" s="27">
        <v>0.99676622350028066</v>
      </c>
      <c r="J467" s="27">
        <v>0.80397964269081124</v>
      </c>
    </row>
    <row r="468" spans="1:10" ht="28.8" x14ac:dyDescent="0.3">
      <c r="A468" s="19" t="s">
        <v>1502</v>
      </c>
      <c r="B468" s="38">
        <v>0</v>
      </c>
      <c r="C468" s="38">
        <v>1006113515</v>
      </c>
      <c r="D468" s="38">
        <v>721679883</v>
      </c>
      <c r="E468" s="38">
        <v>429298471</v>
      </c>
      <c r="F468" s="38">
        <v>223840299</v>
      </c>
      <c r="G468" s="38">
        <v>198114964</v>
      </c>
      <c r="H468" s="38">
        <v>284433632</v>
      </c>
      <c r="I468" s="27">
        <v>0.80308885523717466</v>
      </c>
      <c r="J468" s="27">
        <v>0.71729469114625699</v>
      </c>
    </row>
    <row r="469" spans="1:10" ht="28.8" x14ac:dyDescent="0.3">
      <c r="A469" s="19" t="s">
        <v>1503</v>
      </c>
      <c r="B469" s="38">
        <v>292240000</v>
      </c>
      <c r="C469" s="38">
        <v>292240000</v>
      </c>
      <c r="D469" s="38">
        <v>292240000</v>
      </c>
      <c r="E469" s="38">
        <v>185200000</v>
      </c>
      <c r="F469" s="38">
        <v>185200000</v>
      </c>
      <c r="G469" s="38">
        <v>0</v>
      </c>
      <c r="H469" s="38">
        <v>0</v>
      </c>
      <c r="I469" s="27">
        <v>1</v>
      </c>
      <c r="J469" s="27">
        <v>1</v>
      </c>
    </row>
    <row r="470" spans="1:10" ht="28.8" x14ac:dyDescent="0.3">
      <c r="A470" s="19" t="s">
        <v>1504</v>
      </c>
      <c r="B470" s="38">
        <v>0</v>
      </c>
      <c r="C470" s="38">
        <v>185435106</v>
      </c>
      <c r="D470" s="38">
        <v>184041772</v>
      </c>
      <c r="E470" s="38">
        <v>59406666</v>
      </c>
      <c r="F470" s="38">
        <v>41800000</v>
      </c>
      <c r="G470" s="38">
        <v>0</v>
      </c>
      <c r="H470" s="38">
        <v>1393334</v>
      </c>
      <c r="I470" s="27">
        <v>1</v>
      </c>
      <c r="J470" s="27">
        <v>0.99248613690225407</v>
      </c>
    </row>
    <row r="471" spans="1:10" x14ac:dyDescent="0.3">
      <c r="A471" s="18" t="s">
        <v>1149</v>
      </c>
      <c r="B471" s="37">
        <v>900000000</v>
      </c>
      <c r="C471" s="37">
        <v>1108086877</v>
      </c>
      <c r="D471" s="37">
        <v>943750000</v>
      </c>
      <c r="E471" s="37">
        <v>939900000</v>
      </c>
      <c r="F471" s="37">
        <v>888650000</v>
      </c>
      <c r="G471" s="37">
        <v>109186877</v>
      </c>
      <c r="H471" s="37">
        <v>164336877</v>
      </c>
      <c r="I471" s="31">
        <v>0.90146361330836333</v>
      </c>
      <c r="J471" s="31">
        <v>0.85169314752204217</v>
      </c>
    </row>
    <row r="472" spans="1:10" ht="28.8" x14ac:dyDescent="0.3">
      <c r="A472" s="19" t="s">
        <v>1505</v>
      </c>
      <c r="B472" s="38">
        <v>900000000</v>
      </c>
      <c r="C472" s="38">
        <v>1108086877</v>
      </c>
      <c r="D472" s="38">
        <v>943750000</v>
      </c>
      <c r="E472" s="38">
        <v>939900000</v>
      </c>
      <c r="F472" s="38">
        <v>888650000</v>
      </c>
      <c r="G472" s="38">
        <v>109186877</v>
      </c>
      <c r="H472" s="38">
        <v>164336877</v>
      </c>
      <c r="I472" s="27">
        <v>0.90146361330836333</v>
      </c>
      <c r="J472" s="27">
        <v>0.85169314752204217</v>
      </c>
    </row>
    <row r="473" spans="1:10" x14ac:dyDescent="0.3">
      <c r="A473" s="20" t="s">
        <v>1229</v>
      </c>
      <c r="B473" s="39">
        <v>11299914451.57</v>
      </c>
      <c r="C473" s="39">
        <v>14245975291.68</v>
      </c>
      <c r="D473" s="39">
        <v>13747126560</v>
      </c>
      <c r="E473" s="39">
        <v>12384791628.030001</v>
      </c>
      <c r="F473" s="39">
        <v>12384791628.030001</v>
      </c>
      <c r="G473" s="39">
        <v>435763005.1799984</v>
      </c>
      <c r="H473" s="39">
        <v>498848731.68000031</v>
      </c>
      <c r="I473" s="32">
        <v>0.96941150070402726</v>
      </c>
      <c r="J473" s="32">
        <v>0.96498318146239237</v>
      </c>
    </row>
    <row r="474" spans="1:10" x14ac:dyDescent="0.3">
      <c r="A474" s="16" t="s">
        <v>1018</v>
      </c>
      <c r="B474" s="35">
        <v>11299914451.57</v>
      </c>
      <c r="C474" s="35">
        <v>14245975291.68</v>
      </c>
      <c r="D474" s="35">
        <v>13747126560</v>
      </c>
      <c r="E474" s="35">
        <v>12384791628.030001</v>
      </c>
      <c r="F474" s="35">
        <v>12384791628.030001</v>
      </c>
      <c r="G474" s="35">
        <v>435763005.1799984</v>
      </c>
      <c r="H474" s="35">
        <v>498848731.68000031</v>
      </c>
      <c r="I474" s="29">
        <v>0.96941150070402726</v>
      </c>
      <c r="J474" s="29">
        <v>0.96498318146239237</v>
      </c>
    </row>
    <row r="475" spans="1:10" x14ac:dyDescent="0.3">
      <c r="A475" s="17" t="s">
        <v>1019</v>
      </c>
      <c r="B475" s="36">
        <v>11299914451.57</v>
      </c>
      <c r="C475" s="36">
        <v>14245975291.68</v>
      </c>
      <c r="D475" s="36">
        <v>13747126560</v>
      </c>
      <c r="E475" s="36">
        <v>12384791628.030001</v>
      </c>
      <c r="F475" s="36">
        <v>12384791628.030001</v>
      </c>
      <c r="G475" s="36">
        <v>435763005.1799984</v>
      </c>
      <c r="H475" s="36">
        <v>498848731.68000031</v>
      </c>
      <c r="I475" s="30">
        <v>0.96941150070402726</v>
      </c>
      <c r="J475" s="30">
        <v>0.96498318146239237</v>
      </c>
    </row>
    <row r="476" spans="1:10" ht="28.8" x14ac:dyDescent="0.3">
      <c r="A476" s="18" t="s">
        <v>1020</v>
      </c>
      <c r="B476" s="37">
        <v>11299914451.57</v>
      </c>
      <c r="C476" s="37">
        <v>14245975291.68</v>
      </c>
      <c r="D476" s="37">
        <v>13747126560</v>
      </c>
      <c r="E476" s="37">
        <v>12384791628.030001</v>
      </c>
      <c r="F476" s="37">
        <v>12384791628.030001</v>
      </c>
      <c r="G476" s="37">
        <v>435763005.1799984</v>
      </c>
      <c r="H476" s="37">
        <v>498848731.68000031</v>
      </c>
      <c r="I476" s="31">
        <v>0.96941150070402726</v>
      </c>
      <c r="J476" s="31">
        <v>0.96498318146239237</v>
      </c>
    </row>
    <row r="477" spans="1:10" ht="28.8" x14ac:dyDescent="0.3">
      <c r="A477" s="19" t="s">
        <v>1506</v>
      </c>
      <c r="B477" s="38">
        <v>11299914451.57</v>
      </c>
      <c r="C477" s="38">
        <v>1530000000</v>
      </c>
      <c r="D477" s="38">
        <v>1041518610</v>
      </c>
      <c r="E477" s="38">
        <v>1041518610</v>
      </c>
      <c r="F477" s="38">
        <v>1041518610</v>
      </c>
      <c r="G477" s="38">
        <v>430000000</v>
      </c>
      <c r="H477" s="38">
        <v>488481390</v>
      </c>
      <c r="I477" s="27">
        <v>0.71895424836601307</v>
      </c>
      <c r="J477" s="27">
        <v>0.68073111764705885</v>
      </c>
    </row>
    <row r="478" spans="1:10" x14ac:dyDescent="0.3">
      <c r="A478" s="19" t="s">
        <v>1507</v>
      </c>
      <c r="B478" s="38">
        <v>0</v>
      </c>
      <c r="C478" s="38">
        <v>5763005.0799999991</v>
      </c>
      <c r="D478" s="38">
        <v>0</v>
      </c>
      <c r="E478" s="38">
        <v>0</v>
      </c>
      <c r="F478" s="38">
        <v>0</v>
      </c>
      <c r="G478" s="38">
        <v>5763005.0799999991</v>
      </c>
      <c r="H478" s="38">
        <v>5763005.0799999991</v>
      </c>
      <c r="I478" s="27">
        <v>0</v>
      </c>
      <c r="J478" s="27">
        <v>0</v>
      </c>
    </row>
    <row r="479" spans="1:10" ht="43.2" x14ac:dyDescent="0.3">
      <c r="A479" s="19" t="s">
        <v>1508</v>
      </c>
      <c r="B479" s="38">
        <v>0</v>
      </c>
      <c r="C479" s="38">
        <v>700000000</v>
      </c>
      <c r="D479" s="38">
        <v>700000000</v>
      </c>
      <c r="E479" s="38">
        <v>350000000</v>
      </c>
      <c r="F479" s="38">
        <v>350000000</v>
      </c>
      <c r="G479" s="38">
        <v>0</v>
      </c>
      <c r="H479" s="38">
        <v>0</v>
      </c>
      <c r="I479" s="27">
        <v>1</v>
      </c>
      <c r="J479" s="27">
        <v>1</v>
      </c>
    </row>
    <row r="480" spans="1:10" ht="57.6" x14ac:dyDescent="0.3">
      <c r="A480" s="19" t="s">
        <v>1509</v>
      </c>
      <c r="B480" s="38">
        <v>0</v>
      </c>
      <c r="C480" s="38">
        <v>400000000</v>
      </c>
      <c r="D480" s="38">
        <v>400000000</v>
      </c>
      <c r="E480" s="38">
        <v>400000000</v>
      </c>
      <c r="F480" s="38">
        <v>400000000</v>
      </c>
      <c r="G480" s="38">
        <v>0</v>
      </c>
      <c r="H480" s="38">
        <v>0</v>
      </c>
      <c r="I480" s="27">
        <v>1</v>
      </c>
      <c r="J480" s="27">
        <v>1</v>
      </c>
    </row>
    <row r="481" spans="1:10" ht="43.2" x14ac:dyDescent="0.3">
      <c r="A481" s="19" t="s">
        <v>1510</v>
      </c>
      <c r="B481" s="38">
        <v>0</v>
      </c>
      <c r="C481" s="38">
        <v>430974335.47000003</v>
      </c>
      <c r="D481" s="38">
        <v>429740000</v>
      </c>
      <c r="E481" s="38">
        <v>429740000</v>
      </c>
      <c r="F481" s="38">
        <v>429740000</v>
      </c>
      <c r="G481" s="38">
        <v>0</v>
      </c>
      <c r="H481" s="38">
        <v>1234335.4700000286</v>
      </c>
      <c r="I481" s="27">
        <v>1</v>
      </c>
      <c r="J481" s="27">
        <v>0.99713594205405776</v>
      </c>
    </row>
    <row r="482" spans="1:10" ht="57.6" x14ac:dyDescent="0.3">
      <c r="A482" s="19" t="s">
        <v>1511</v>
      </c>
      <c r="B482" s="38">
        <v>0</v>
      </c>
      <c r="C482" s="38">
        <v>500000000</v>
      </c>
      <c r="D482" s="38">
        <v>500000000</v>
      </c>
      <c r="E482" s="38">
        <v>500000000</v>
      </c>
      <c r="F482" s="38">
        <v>500000000</v>
      </c>
      <c r="G482" s="38">
        <v>0</v>
      </c>
      <c r="H482" s="38">
        <v>0</v>
      </c>
      <c r="I482" s="27">
        <v>1</v>
      </c>
      <c r="J482" s="27">
        <v>1</v>
      </c>
    </row>
    <row r="483" spans="1:10" ht="57.6" x14ac:dyDescent="0.3">
      <c r="A483" s="19" t="s">
        <v>1512</v>
      </c>
      <c r="B483" s="38">
        <v>0</v>
      </c>
      <c r="C483" s="38">
        <v>500000000</v>
      </c>
      <c r="D483" s="38">
        <v>496990000</v>
      </c>
      <c r="E483" s="38">
        <v>496990000</v>
      </c>
      <c r="F483" s="38">
        <v>496990000</v>
      </c>
      <c r="G483" s="38">
        <v>0</v>
      </c>
      <c r="H483" s="38">
        <v>3010000</v>
      </c>
      <c r="I483" s="27">
        <v>1</v>
      </c>
      <c r="J483" s="27">
        <v>0.99397999999999997</v>
      </c>
    </row>
    <row r="484" spans="1:10" ht="43.2" x14ac:dyDescent="0.3">
      <c r="A484" s="19" t="s">
        <v>1513</v>
      </c>
      <c r="B484" s="38">
        <v>0</v>
      </c>
      <c r="C484" s="38">
        <v>1300000000</v>
      </c>
      <c r="D484" s="38">
        <v>1300000000</v>
      </c>
      <c r="E484" s="38">
        <v>1300000000</v>
      </c>
      <c r="F484" s="38">
        <v>1300000000</v>
      </c>
      <c r="G484" s="38">
        <v>0</v>
      </c>
      <c r="H484" s="38">
        <v>0</v>
      </c>
      <c r="I484" s="27">
        <v>1</v>
      </c>
      <c r="J484" s="27">
        <v>1</v>
      </c>
    </row>
    <row r="485" spans="1:10" ht="43.2" x14ac:dyDescent="0.3">
      <c r="A485" s="19" t="s">
        <v>1514</v>
      </c>
      <c r="B485" s="38">
        <v>0</v>
      </c>
      <c r="C485" s="38">
        <v>700000000</v>
      </c>
      <c r="D485" s="38">
        <v>700000000</v>
      </c>
      <c r="E485" s="38">
        <v>700000000</v>
      </c>
      <c r="F485" s="38">
        <v>700000000</v>
      </c>
      <c r="G485" s="38">
        <v>0</v>
      </c>
      <c r="H485" s="38">
        <v>0</v>
      </c>
      <c r="I485" s="27">
        <v>1</v>
      </c>
      <c r="J485" s="27">
        <v>1</v>
      </c>
    </row>
    <row r="486" spans="1:10" ht="28.8" x14ac:dyDescent="0.3">
      <c r="A486" s="19" t="s">
        <v>1515</v>
      </c>
      <c r="B486" s="38">
        <v>0</v>
      </c>
      <c r="C486" s="38">
        <v>500000000</v>
      </c>
      <c r="D486" s="38">
        <v>500000000</v>
      </c>
      <c r="E486" s="38">
        <v>500000000</v>
      </c>
      <c r="F486" s="38">
        <v>500000000</v>
      </c>
      <c r="G486" s="38">
        <v>0</v>
      </c>
      <c r="H486" s="38">
        <v>0</v>
      </c>
      <c r="I486" s="27">
        <v>1</v>
      </c>
      <c r="J486" s="27">
        <v>1</v>
      </c>
    </row>
    <row r="487" spans="1:10" ht="43.2" x14ac:dyDescent="0.3">
      <c r="A487" s="19" t="s">
        <v>1516</v>
      </c>
      <c r="B487" s="38">
        <v>0</v>
      </c>
      <c r="C487" s="38">
        <v>300000000</v>
      </c>
      <c r="D487" s="38">
        <v>300000000</v>
      </c>
      <c r="E487" s="38">
        <v>300000000</v>
      </c>
      <c r="F487" s="38">
        <v>300000000</v>
      </c>
      <c r="G487" s="38">
        <v>0</v>
      </c>
      <c r="H487" s="38">
        <v>0</v>
      </c>
      <c r="I487" s="27">
        <v>1</v>
      </c>
      <c r="J487" s="27">
        <v>1</v>
      </c>
    </row>
    <row r="488" spans="1:10" ht="28.8" x14ac:dyDescent="0.3">
      <c r="A488" s="19" t="s">
        <v>1517</v>
      </c>
      <c r="B488" s="38">
        <v>0</v>
      </c>
      <c r="C488" s="38">
        <v>1200000000</v>
      </c>
      <c r="D488" s="38">
        <v>1200000000</v>
      </c>
      <c r="E488" s="38">
        <v>600000000</v>
      </c>
      <c r="F488" s="38">
        <v>600000000</v>
      </c>
      <c r="G488" s="38">
        <v>0</v>
      </c>
      <c r="H488" s="38">
        <v>0</v>
      </c>
      <c r="I488" s="27">
        <v>1</v>
      </c>
      <c r="J488" s="27">
        <v>1</v>
      </c>
    </row>
    <row r="489" spans="1:10" ht="28.8" x14ac:dyDescent="0.3">
      <c r="A489" s="19" t="s">
        <v>1518</v>
      </c>
      <c r="B489" s="38">
        <v>0</v>
      </c>
      <c r="C489" s="38">
        <v>400000000</v>
      </c>
      <c r="D489" s="38">
        <v>400000000</v>
      </c>
      <c r="E489" s="38">
        <v>400000000</v>
      </c>
      <c r="F489" s="38">
        <v>400000000</v>
      </c>
      <c r="G489" s="38">
        <v>0</v>
      </c>
      <c r="H489" s="38">
        <v>0</v>
      </c>
      <c r="I489" s="27">
        <v>1</v>
      </c>
      <c r="J489" s="27">
        <v>1</v>
      </c>
    </row>
    <row r="490" spans="1:10" ht="57.6" x14ac:dyDescent="0.3">
      <c r="A490" s="19" t="s">
        <v>1519</v>
      </c>
      <c r="B490" s="38">
        <v>0</v>
      </c>
      <c r="C490" s="38">
        <v>400000000.10000002</v>
      </c>
      <c r="D490" s="38">
        <v>400000000</v>
      </c>
      <c r="E490" s="38">
        <v>400000000</v>
      </c>
      <c r="F490" s="38">
        <v>400000000</v>
      </c>
      <c r="G490" s="38">
        <v>0.10000002384185791</v>
      </c>
      <c r="H490" s="38">
        <v>0.10000002384185791</v>
      </c>
      <c r="I490" s="27">
        <v>0.99999999974999998</v>
      </c>
      <c r="J490" s="27">
        <v>0.99999999974999998</v>
      </c>
    </row>
    <row r="491" spans="1:10" ht="28.8" x14ac:dyDescent="0.3">
      <c r="A491" s="19" t="s">
        <v>1520</v>
      </c>
      <c r="B491" s="38">
        <v>0</v>
      </c>
      <c r="C491" s="38">
        <v>900000000</v>
      </c>
      <c r="D491" s="38">
        <v>899640000</v>
      </c>
      <c r="E491" s="38">
        <v>899640000</v>
      </c>
      <c r="F491" s="38">
        <v>899640000</v>
      </c>
      <c r="G491" s="38">
        <v>0</v>
      </c>
      <c r="H491" s="38">
        <v>360000</v>
      </c>
      <c r="I491" s="27">
        <v>1</v>
      </c>
      <c r="J491" s="27">
        <v>0.99960000000000004</v>
      </c>
    </row>
    <row r="492" spans="1:10" ht="43.2" x14ac:dyDescent="0.3">
      <c r="A492" s="19" t="s">
        <v>1521</v>
      </c>
      <c r="B492" s="38">
        <v>0</v>
      </c>
      <c r="C492" s="38">
        <v>650000000</v>
      </c>
      <c r="D492" s="38">
        <v>650000000</v>
      </c>
      <c r="E492" s="38">
        <v>325000000</v>
      </c>
      <c r="F492" s="38">
        <v>325000000</v>
      </c>
      <c r="G492" s="38">
        <v>0</v>
      </c>
      <c r="H492" s="38">
        <v>0</v>
      </c>
      <c r="I492" s="27">
        <v>1</v>
      </c>
      <c r="J492" s="27">
        <v>1</v>
      </c>
    </row>
    <row r="493" spans="1:10" ht="43.2" x14ac:dyDescent="0.3">
      <c r="A493" s="19" t="s">
        <v>1522</v>
      </c>
      <c r="B493" s="38">
        <v>0</v>
      </c>
      <c r="C493" s="38">
        <v>630000000</v>
      </c>
      <c r="D493" s="38">
        <v>630000000</v>
      </c>
      <c r="E493" s="38">
        <v>630000000</v>
      </c>
      <c r="F493" s="38">
        <v>630000000</v>
      </c>
      <c r="G493" s="38">
        <v>0</v>
      </c>
      <c r="H493" s="38">
        <v>0</v>
      </c>
      <c r="I493" s="27">
        <v>1</v>
      </c>
      <c r="J493" s="27">
        <v>1</v>
      </c>
    </row>
    <row r="494" spans="1:10" ht="43.2" x14ac:dyDescent="0.3">
      <c r="A494" s="19" t="s">
        <v>1523</v>
      </c>
      <c r="B494" s="38">
        <v>0</v>
      </c>
      <c r="C494" s="38">
        <v>70000000</v>
      </c>
      <c r="D494" s="38">
        <v>70000000</v>
      </c>
      <c r="E494" s="38">
        <v>39955167.530000001</v>
      </c>
      <c r="F494" s="38">
        <v>39955167.530000001</v>
      </c>
      <c r="G494" s="38">
        <v>0</v>
      </c>
      <c r="H494" s="38">
        <v>0</v>
      </c>
      <c r="I494" s="27">
        <v>1</v>
      </c>
      <c r="J494" s="27">
        <v>1</v>
      </c>
    </row>
    <row r="495" spans="1:10" ht="43.2" x14ac:dyDescent="0.3">
      <c r="A495" s="19" t="s">
        <v>1524</v>
      </c>
      <c r="B495" s="38">
        <v>0</v>
      </c>
      <c r="C495" s="38">
        <v>2040297835.03</v>
      </c>
      <c r="D495" s="38">
        <v>2040297834</v>
      </c>
      <c r="E495" s="38">
        <v>1983007734.5</v>
      </c>
      <c r="F495" s="38">
        <v>1983007734.5</v>
      </c>
      <c r="G495" s="38">
        <v>0</v>
      </c>
      <c r="H495" s="38">
        <v>1.0299999713897705</v>
      </c>
      <c r="I495" s="27">
        <v>1</v>
      </c>
      <c r="J495" s="27">
        <v>0.99999999949517171</v>
      </c>
    </row>
    <row r="496" spans="1:10" ht="43.2" x14ac:dyDescent="0.3">
      <c r="A496" s="19" t="s">
        <v>1525</v>
      </c>
      <c r="B496" s="38">
        <v>0</v>
      </c>
      <c r="C496" s="38">
        <v>1000000000</v>
      </c>
      <c r="D496" s="38">
        <v>1000000000</v>
      </c>
      <c r="E496" s="38">
        <v>1000000000</v>
      </c>
      <c r="F496" s="38">
        <v>1000000000</v>
      </c>
      <c r="G496" s="38">
        <v>0</v>
      </c>
      <c r="H496" s="38">
        <v>0</v>
      </c>
      <c r="I496" s="27">
        <v>1</v>
      </c>
      <c r="J496" s="27">
        <v>1</v>
      </c>
    </row>
    <row r="497" spans="1:10" ht="28.8" x14ac:dyDescent="0.3">
      <c r="A497" s="19" t="s">
        <v>1526</v>
      </c>
      <c r="B497" s="38">
        <v>0</v>
      </c>
      <c r="C497" s="38">
        <v>88940116</v>
      </c>
      <c r="D497" s="38">
        <v>88940116</v>
      </c>
      <c r="E497" s="38">
        <v>88940116</v>
      </c>
      <c r="F497" s="38">
        <v>88940116</v>
      </c>
      <c r="G497" s="38">
        <v>0</v>
      </c>
      <c r="H497" s="38">
        <v>0</v>
      </c>
      <c r="I497" s="27">
        <v>1</v>
      </c>
      <c r="J497" s="27">
        <v>1</v>
      </c>
    </row>
    <row r="498" spans="1:10" x14ac:dyDescent="0.3">
      <c r="A498" s="20" t="s">
        <v>1230</v>
      </c>
      <c r="B498" s="39">
        <v>10573839143</v>
      </c>
      <c r="C498" s="39">
        <v>20483455105.310001</v>
      </c>
      <c r="D498" s="39">
        <v>17116931583.530001</v>
      </c>
      <c r="E498" s="39">
        <v>5542411551.46</v>
      </c>
      <c r="F498" s="39">
        <v>4915607911.1100006</v>
      </c>
      <c r="G498" s="39">
        <v>1173049638.5499992</v>
      </c>
      <c r="H498" s="39">
        <v>3366523521.7800007</v>
      </c>
      <c r="I498" s="32">
        <v>0.94273184711665636</v>
      </c>
      <c r="J498" s="32">
        <v>0.83564669610317432</v>
      </c>
    </row>
    <row r="499" spans="1:10" x14ac:dyDescent="0.3">
      <c r="A499" s="16" t="s">
        <v>1026</v>
      </c>
      <c r="B499" s="35">
        <v>10573839143</v>
      </c>
      <c r="C499" s="35">
        <v>20483455105.310001</v>
      </c>
      <c r="D499" s="35">
        <v>17116931583.530001</v>
      </c>
      <c r="E499" s="35">
        <v>5542411551.46</v>
      </c>
      <c r="F499" s="35">
        <v>4915607911.1100006</v>
      </c>
      <c r="G499" s="35">
        <v>1173049638.5499992</v>
      </c>
      <c r="H499" s="35">
        <v>3366523521.7800007</v>
      </c>
      <c r="I499" s="29">
        <v>0.94273184711665636</v>
      </c>
      <c r="J499" s="29">
        <v>0.83564669610317432</v>
      </c>
    </row>
    <row r="500" spans="1:10" x14ac:dyDescent="0.3">
      <c r="A500" s="17" t="s">
        <v>1051</v>
      </c>
      <c r="B500" s="36">
        <v>10573839143</v>
      </c>
      <c r="C500" s="36">
        <v>20483455105.310001</v>
      </c>
      <c r="D500" s="36">
        <v>17116931583.530001</v>
      </c>
      <c r="E500" s="36">
        <v>5542411551.46</v>
      </c>
      <c r="F500" s="36">
        <v>4915607911.1100006</v>
      </c>
      <c r="G500" s="36">
        <v>1173049638.5499992</v>
      </c>
      <c r="H500" s="36">
        <v>3366523521.7800007</v>
      </c>
      <c r="I500" s="30">
        <v>0.94273184711665636</v>
      </c>
      <c r="J500" s="30">
        <v>0.83564669610317432</v>
      </c>
    </row>
    <row r="501" spans="1:10" x14ac:dyDescent="0.3">
      <c r="A501" s="18" t="s">
        <v>1199</v>
      </c>
      <c r="B501" s="37">
        <v>4774961007.5599995</v>
      </c>
      <c r="C501" s="37">
        <v>7198342983.4200001</v>
      </c>
      <c r="D501" s="37">
        <v>5702875825.5300007</v>
      </c>
      <c r="E501" s="37">
        <v>2322104394.3499999</v>
      </c>
      <c r="F501" s="37">
        <v>2158030137</v>
      </c>
      <c r="G501" s="37">
        <v>543530813.34000015</v>
      </c>
      <c r="H501" s="37">
        <v>1495467157.8899994</v>
      </c>
      <c r="I501" s="31">
        <v>0.92449223181058215</v>
      </c>
      <c r="J501" s="31">
        <v>0.79224841587369199</v>
      </c>
    </row>
    <row r="502" spans="1:10" ht="28.8" x14ac:dyDescent="0.3">
      <c r="A502" s="19" t="s">
        <v>1527</v>
      </c>
      <c r="B502" s="38">
        <v>1673285892</v>
      </c>
      <c r="C502" s="38">
        <v>2347074035.1700001</v>
      </c>
      <c r="D502" s="38">
        <v>2147266167.02</v>
      </c>
      <c r="E502" s="38">
        <v>1993736094.3499999</v>
      </c>
      <c r="F502" s="38">
        <v>1863643337</v>
      </c>
      <c r="G502" s="38">
        <v>70332244.660000324</v>
      </c>
      <c r="H502" s="38">
        <v>199807868.1500001</v>
      </c>
      <c r="I502" s="27">
        <v>0.97003407493496208</v>
      </c>
      <c r="J502" s="27">
        <v>0.91486937985084571</v>
      </c>
    </row>
    <row r="503" spans="1:10" ht="28.8" x14ac:dyDescent="0.3">
      <c r="A503" s="19" t="s">
        <v>1528</v>
      </c>
      <c r="B503" s="38">
        <v>3006675115.5599999</v>
      </c>
      <c r="C503" s="38">
        <v>4290270770.25</v>
      </c>
      <c r="D503" s="38">
        <v>3092443321.5100002</v>
      </c>
      <c r="E503" s="38">
        <v>237533100</v>
      </c>
      <c r="F503" s="38">
        <v>205551600</v>
      </c>
      <c r="G503" s="38">
        <v>473198567.67999983</v>
      </c>
      <c r="H503" s="38">
        <v>1197827448.7399998</v>
      </c>
      <c r="I503" s="27">
        <v>0.88970426506380484</v>
      </c>
      <c r="J503" s="27">
        <v>0.72080376440431504</v>
      </c>
    </row>
    <row r="504" spans="1:10" ht="28.8" x14ac:dyDescent="0.3">
      <c r="A504" s="19" t="s">
        <v>1529</v>
      </c>
      <c r="B504" s="38">
        <v>0</v>
      </c>
      <c r="C504" s="38">
        <v>407989845</v>
      </c>
      <c r="D504" s="38">
        <v>372331137</v>
      </c>
      <c r="E504" s="38">
        <v>0</v>
      </c>
      <c r="F504" s="38">
        <v>0</v>
      </c>
      <c r="G504" s="38">
        <v>1</v>
      </c>
      <c r="H504" s="38">
        <v>35658708</v>
      </c>
      <c r="I504" s="27">
        <v>0.99999999754895863</v>
      </c>
      <c r="J504" s="27">
        <v>0.91259903049792823</v>
      </c>
    </row>
    <row r="505" spans="1:10" ht="28.8" x14ac:dyDescent="0.3">
      <c r="A505" s="19" t="s">
        <v>1530</v>
      </c>
      <c r="B505" s="38">
        <v>95000000</v>
      </c>
      <c r="C505" s="38">
        <v>153008333</v>
      </c>
      <c r="D505" s="38">
        <v>90835200</v>
      </c>
      <c r="E505" s="38">
        <v>90835200</v>
      </c>
      <c r="F505" s="38">
        <v>88835200</v>
      </c>
      <c r="G505" s="38">
        <v>0</v>
      </c>
      <c r="H505" s="38">
        <v>62173133</v>
      </c>
      <c r="I505" s="27">
        <v>1</v>
      </c>
      <c r="J505" s="27">
        <v>0.59366178442059103</v>
      </c>
    </row>
    <row r="506" spans="1:10" ht="28.8" x14ac:dyDescent="0.3">
      <c r="A506" s="18" t="s">
        <v>1200</v>
      </c>
      <c r="B506" s="37">
        <v>3058600000</v>
      </c>
      <c r="C506" s="37">
        <v>5265196000.6800003</v>
      </c>
      <c r="D506" s="37">
        <v>4111112401</v>
      </c>
      <c r="E506" s="37">
        <v>1590081921</v>
      </c>
      <c r="F506" s="37">
        <v>1264398339</v>
      </c>
      <c r="G506" s="37">
        <v>124209475</v>
      </c>
      <c r="H506" s="37">
        <v>1154083599.6800003</v>
      </c>
      <c r="I506" s="31">
        <v>0.97640933500216165</v>
      </c>
      <c r="J506" s="31">
        <v>0.78080899561365802</v>
      </c>
    </row>
    <row r="507" spans="1:10" ht="43.2" x14ac:dyDescent="0.3">
      <c r="A507" s="19" t="s">
        <v>1531</v>
      </c>
      <c r="B507" s="38">
        <v>2890600000</v>
      </c>
      <c r="C507" s="38">
        <v>5089195406.6800003</v>
      </c>
      <c r="D507" s="38">
        <v>4111112401</v>
      </c>
      <c r="E507" s="38">
        <v>1590081921</v>
      </c>
      <c r="F507" s="38">
        <v>1264398339</v>
      </c>
      <c r="G507" s="38">
        <v>124209475</v>
      </c>
      <c r="H507" s="38">
        <v>978083005.68000031</v>
      </c>
      <c r="I507" s="27">
        <v>0.97559349463434542</v>
      </c>
      <c r="J507" s="27">
        <v>0.80781185874761585</v>
      </c>
    </row>
    <row r="508" spans="1:10" ht="43.2" x14ac:dyDescent="0.3">
      <c r="A508" s="19" t="s">
        <v>1532</v>
      </c>
      <c r="B508" s="38">
        <v>84000000</v>
      </c>
      <c r="C508" s="38">
        <v>88000297</v>
      </c>
      <c r="D508" s="38">
        <v>0</v>
      </c>
      <c r="E508" s="38">
        <v>0</v>
      </c>
      <c r="F508" s="38">
        <v>0</v>
      </c>
      <c r="G508" s="38">
        <v>0</v>
      </c>
      <c r="H508" s="38">
        <v>88000297</v>
      </c>
      <c r="I508" s="27">
        <v>1</v>
      </c>
      <c r="J508" s="27">
        <v>0</v>
      </c>
    </row>
    <row r="509" spans="1:10" ht="43.2" x14ac:dyDescent="0.3">
      <c r="A509" s="19" t="s">
        <v>1533</v>
      </c>
      <c r="B509" s="38">
        <v>84000000</v>
      </c>
      <c r="C509" s="38">
        <v>88000297</v>
      </c>
      <c r="D509" s="38">
        <v>0</v>
      </c>
      <c r="E509" s="38">
        <v>0</v>
      </c>
      <c r="F509" s="38">
        <v>0</v>
      </c>
      <c r="G509" s="38">
        <v>0</v>
      </c>
      <c r="H509" s="38">
        <v>88000297</v>
      </c>
      <c r="I509" s="27">
        <v>1</v>
      </c>
      <c r="J509" s="27">
        <v>0</v>
      </c>
    </row>
    <row r="510" spans="1:10" x14ac:dyDescent="0.3">
      <c r="A510" s="18" t="s">
        <v>1121</v>
      </c>
      <c r="B510" s="37">
        <v>2740278135.4400001</v>
      </c>
      <c r="C510" s="37">
        <v>8019916121.21</v>
      </c>
      <c r="D510" s="37">
        <v>7302943357</v>
      </c>
      <c r="E510" s="37">
        <v>1630225236.1100001</v>
      </c>
      <c r="F510" s="37">
        <v>1493179435.1100001</v>
      </c>
      <c r="G510" s="37">
        <v>505309350.21000004</v>
      </c>
      <c r="H510" s="37">
        <v>716972764.21000004</v>
      </c>
      <c r="I510" s="31">
        <v>0.93699318763775774</v>
      </c>
      <c r="J510" s="31">
        <v>0.91060096472657037</v>
      </c>
    </row>
    <row r="511" spans="1:10" ht="28.8" x14ac:dyDescent="0.3">
      <c r="A511" s="19" t="s">
        <v>1534</v>
      </c>
      <c r="B511" s="38">
        <v>577290058.50999999</v>
      </c>
      <c r="C511" s="38">
        <v>4672855114.21</v>
      </c>
      <c r="D511" s="38">
        <v>4672000000</v>
      </c>
      <c r="E511" s="38">
        <v>0</v>
      </c>
      <c r="F511" s="38">
        <v>0</v>
      </c>
      <c r="G511" s="38">
        <v>855114.21000003815</v>
      </c>
      <c r="H511" s="38">
        <v>855114.21000003815</v>
      </c>
      <c r="I511" s="27">
        <v>0.99981700391107786</v>
      </c>
      <c r="J511" s="27">
        <v>0.99981700391107786</v>
      </c>
    </row>
    <row r="512" spans="1:10" ht="28.8" x14ac:dyDescent="0.3">
      <c r="A512" s="19" t="s">
        <v>1535</v>
      </c>
      <c r="B512" s="38">
        <v>380477076.93000001</v>
      </c>
      <c r="C512" s="38">
        <v>1348690007</v>
      </c>
      <c r="D512" s="38">
        <v>1124619227</v>
      </c>
      <c r="E512" s="38">
        <v>373855168</v>
      </c>
      <c r="F512" s="38">
        <v>238828367</v>
      </c>
      <c r="G512" s="38">
        <v>32083633</v>
      </c>
      <c r="H512" s="38">
        <v>224070780</v>
      </c>
      <c r="I512" s="27">
        <v>0.97621126216292931</v>
      </c>
      <c r="J512" s="27">
        <v>0.83386042838827079</v>
      </c>
    </row>
    <row r="513" spans="1:10" ht="28.8" x14ac:dyDescent="0.3">
      <c r="A513" s="19" t="s">
        <v>1536</v>
      </c>
      <c r="B513" s="38">
        <v>1782511000</v>
      </c>
      <c r="C513" s="38">
        <v>1998371000</v>
      </c>
      <c r="D513" s="38">
        <v>1506324130</v>
      </c>
      <c r="E513" s="38">
        <v>1256370068.1100001</v>
      </c>
      <c r="F513" s="38">
        <v>1254351068.1100001</v>
      </c>
      <c r="G513" s="38">
        <v>472370603</v>
      </c>
      <c r="H513" s="38">
        <v>492046870</v>
      </c>
      <c r="I513" s="27">
        <v>0.76362216875645217</v>
      </c>
      <c r="J513" s="27">
        <v>0.75377601556467744</v>
      </c>
    </row>
    <row r="514" spans="1:10" x14ac:dyDescent="0.3">
      <c r="A514" s="20" t="s">
        <v>1231</v>
      </c>
      <c r="B514" s="39">
        <v>2200653519</v>
      </c>
      <c r="C514" s="39">
        <v>3692763675.5900002</v>
      </c>
      <c r="D514" s="39">
        <v>1229316405</v>
      </c>
      <c r="E514" s="39">
        <v>586150335</v>
      </c>
      <c r="F514" s="39">
        <v>570277000</v>
      </c>
      <c r="G514" s="39">
        <v>152909871.59000015</v>
      </c>
      <c r="H514" s="39">
        <v>2463447270.5900002</v>
      </c>
      <c r="I514" s="32">
        <v>0.95859202347532591</v>
      </c>
      <c r="J514" s="32">
        <v>0.33289874819936582</v>
      </c>
    </row>
    <row r="515" spans="1:10" x14ac:dyDescent="0.3">
      <c r="A515" s="16" t="s">
        <v>1026</v>
      </c>
      <c r="B515" s="35">
        <v>2200653519</v>
      </c>
      <c r="C515" s="35">
        <v>3692763675.5900002</v>
      </c>
      <c r="D515" s="35">
        <v>1229316405</v>
      </c>
      <c r="E515" s="35">
        <v>586150335</v>
      </c>
      <c r="F515" s="35">
        <v>570277000</v>
      </c>
      <c r="G515" s="35">
        <v>152909871.59000015</v>
      </c>
      <c r="H515" s="35">
        <v>2463447270.5900002</v>
      </c>
      <c r="I515" s="29">
        <v>0.95859202347532591</v>
      </c>
      <c r="J515" s="29">
        <v>0.33289874819936582</v>
      </c>
    </row>
    <row r="516" spans="1:10" x14ac:dyDescent="0.3">
      <c r="A516" s="17" t="s">
        <v>1098</v>
      </c>
      <c r="B516" s="36">
        <v>2200653519</v>
      </c>
      <c r="C516" s="36">
        <v>3692763675.5900002</v>
      </c>
      <c r="D516" s="36">
        <v>1229316405</v>
      </c>
      <c r="E516" s="36">
        <v>586150335</v>
      </c>
      <c r="F516" s="36">
        <v>570277000</v>
      </c>
      <c r="G516" s="36">
        <v>152909871.59000015</v>
      </c>
      <c r="H516" s="36">
        <v>2463447270.5900002</v>
      </c>
      <c r="I516" s="30">
        <v>0.95859202347532591</v>
      </c>
      <c r="J516" s="30">
        <v>0.33289874819936582</v>
      </c>
    </row>
    <row r="517" spans="1:10" ht="28.8" x14ac:dyDescent="0.3">
      <c r="A517" s="18" t="s">
        <v>1099</v>
      </c>
      <c r="B517" s="37">
        <v>2157341924</v>
      </c>
      <c r="C517" s="37">
        <v>2003129039.5899999</v>
      </c>
      <c r="D517" s="37">
        <v>691043335</v>
      </c>
      <c r="E517" s="37">
        <v>548043335</v>
      </c>
      <c r="F517" s="37">
        <v>532170000</v>
      </c>
      <c r="G517" s="37">
        <v>152909868.58999991</v>
      </c>
      <c r="H517" s="37">
        <v>1312085704.5899999</v>
      </c>
      <c r="I517" s="31">
        <v>0.92366449411501839</v>
      </c>
      <c r="J517" s="31">
        <v>0.34498193643153546</v>
      </c>
    </row>
    <row r="518" spans="1:10" ht="28.8" x14ac:dyDescent="0.3">
      <c r="A518" s="19" t="s">
        <v>1537</v>
      </c>
      <c r="B518" s="38">
        <v>2157341924</v>
      </c>
      <c r="C518" s="38">
        <v>2003129039</v>
      </c>
      <c r="D518" s="38">
        <v>691043335</v>
      </c>
      <c r="E518" s="38">
        <v>548043335</v>
      </c>
      <c r="F518" s="38">
        <v>532170000</v>
      </c>
      <c r="G518" s="38">
        <v>152909868</v>
      </c>
      <c r="H518" s="38">
        <v>1312085704</v>
      </c>
      <c r="I518" s="27">
        <v>0.92366449438707376</v>
      </c>
      <c r="J518" s="27">
        <v>0.34498193653314613</v>
      </c>
    </row>
    <row r="519" spans="1:10" ht="28.8" x14ac:dyDescent="0.3">
      <c r="A519" s="19" t="s">
        <v>1538</v>
      </c>
      <c r="B519" s="38">
        <v>0</v>
      </c>
      <c r="C519" s="38">
        <v>0.59</v>
      </c>
      <c r="D519" s="38">
        <v>0</v>
      </c>
      <c r="E519" s="38">
        <v>0</v>
      </c>
      <c r="F519" s="38">
        <v>0</v>
      </c>
      <c r="G519" s="38">
        <v>0.59</v>
      </c>
      <c r="H519" s="38">
        <v>0.59</v>
      </c>
      <c r="I519" s="27">
        <v>0</v>
      </c>
      <c r="J519" s="27">
        <v>0</v>
      </c>
    </row>
    <row r="520" spans="1:10" x14ac:dyDescent="0.3">
      <c r="A520" s="18" t="s">
        <v>1101</v>
      </c>
      <c r="B520" s="37">
        <v>43311592</v>
      </c>
      <c r="C520" s="37">
        <v>1689634633</v>
      </c>
      <c r="D520" s="37">
        <v>538273070</v>
      </c>
      <c r="E520" s="37">
        <v>38107000</v>
      </c>
      <c r="F520" s="37">
        <v>38107000</v>
      </c>
      <c r="G520" s="37">
        <v>0</v>
      </c>
      <c r="H520" s="37">
        <v>1151361563</v>
      </c>
      <c r="I520" s="31">
        <v>1</v>
      </c>
      <c r="J520" s="31">
        <v>0.31857364869722105</v>
      </c>
    </row>
    <row r="521" spans="1:10" ht="28.8" x14ac:dyDescent="0.3">
      <c r="A521" s="19" t="s">
        <v>1539</v>
      </c>
      <c r="B521" s="38">
        <v>43311592</v>
      </c>
      <c r="C521" s="38">
        <v>1689634633</v>
      </c>
      <c r="D521" s="38">
        <v>538273070</v>
      </c>
      <c r="E521" s="38">
        <v>38107000</v>
      </c>
      <c r="F521" s="38">
        <v>38107000</v>
      </c>
      <c r="G521" s="38">
        <v>0</v>
      </c>
      <c r="H521" s="38">
        <v>1151361563</v>
      </c>
      <c r="I521" s="27">
        <v>1</v>
      </c>
      <c r="J521" s="27">
        <v>0.31857364869722105</v>
      </c>
    </row>
    <row r="522" spans="1:10" x14ac:dyDescent="0.3">
      <c r="A522" s="18" t="s">
        <v>1138</v>
      </c>
      <c r="B522" s="37">
        <v>3</v>
      </c>
      <c r="C522" s="37">
        <v>3</v>
      </c>
      <c r="D522" s="37">
        <v>0</v>
      </c>
      <c r="E522" s="37">
        <v>0</v>
      </c>
      <c r="F522" s="37">
        <v>0</v>
      </c>
      <c r="G522" s="37">
        <v>3</v>
      </c>
      <c r="H522" s="37">
        <v>3</v>
      </c>
      <c r="I522" s="31">
        <v>0</v>
      </c>
      <c r="J522" s="31">
        <v>0</v>
      </c>
    </row>
    <row r="523" spans="1:10" ht="28.8" x14ac:dyDescent="0.3">
      <c r="A523" s="19" t="s">
        <v>1540</v>
      </c>
      <c r="B523" s="38">
        <v>3</v>
      </c>
      <c r="C523" s="38">
        <v>3</v>
      </c>
      <c r="D523" s="38">
        <v>0</v>
      </c>
      <c r="E523" s="38">
        <v>0</v>
      </c>
      <c r="F523" s="38">
        <v>0</v>
      </c>
      <c r="G523" s="38">
        <v>3</v>
      </c>
      <c r="H523" s="38">
        <v>3</v>
      </c>
      <c r="I523" s="27">
        <v>0</v>
      </c>
      <c r="J523" s="27">
        <v>0</v>
      </c>
    </row>
    <row r="524" spans="1:10" x14ac:dyDescent="0.3">
      <c r="A524" s="20" t="s">
        <v>1232</v>
      </c>
      <c r="B524" s="39">
        <v>2000000000</v>
      </c>
      <c r="C524" s="39">
        <v>2000000000</v>
      </c>
      <c r="D524" s="39">
        <v>1951449055.6400001</v>
      </c>
      <c r="E524" s="39">
        <v>1382540076.1400001</v>
      </c>
      <c r="F524" s="39">
        <v>1302292151.3399999</v>
      </c>
      <c r="G524" s="39">
        <v>3519939</v>
      </c>
      <c r="H524" s="39">
        <v>48550944.359999895</v>
      </c>
      <c r="I524" s="32">
        <v>0.99824003049999999</v>
      </c>
      <c r="J524" s="32">
        <v>0.97572452782000008</v>
      </c>
    </row>
    <row r="525" spans="1:10" x14ac:dyDescent="0.3">
      <c r="A525" s="16" t="s">
        <v>1018</v>
      </c>
      <c r="B525" s="35">
        <v>2000000000</v>
      </c>
      <c r="C525" s="35">
        <v>2000000000</v>
      </c>
      <c r="D525" s="35">
        <v>1951449055.6400001</v>
      </c>
      <c r="E525" s="35">
        <v>1382540076.1400001</v>
      </c>
      <c r="F525" s="35">
        <v>1302292151.3399999</v>
      </c>
      <c r="G525" s="35">
        <v>3519939</v>
      </c>
      <c r="H525" s="35">
        <v>48550944.359999895</v>
      </c>
      <c r="I525" s="29">
        <v>0.99824003049999999</v>
      </c>
      <c r="J525" s="29">
        <v>0.97572452782000008</v>
      </c>
    </row>
    <row r="526" spans="1:10" x14ac:dyDescent="0.3">
      <c r="A526" s="17" t="s">
        <v>1162</v>
      </c>
      <c r="B526" s="36">
        <v>184955732</v>
      </c>
      <c r="C526" s="36">
        <v>184955732</v>
      </c>
      <c r="D526" s="36">
        <v>181669072.66</v>
      </c>
      <c r="E526" s="36">
        <v>162954591.46000001</v>
      </c>
      <c r="F526" s="36">
        <v>88096666.659999996</v>
      </c>
      <c r="G526" s="36">
        <v>139993</v>
      </c>
      <c r="H526" s="36">
        <v>3286659.3400000036</v>
      </c>
      <c r="I526" s="30">
        <v>0.99924309996513117</v>
      </c>
      <c r="J526" s="30">
        <v>0.98223002172217078</v>
      </c>
    </row>
    <row r="527" spans="1:10" x14ac:dyDescent="0.3">
      <c r="A527" s="18" t="s">
        <v>1195</v>
      </c>
      <c r="B527" s="37">
        <v>184955732</v>
      </c>
      <c r="C527" s="37">
        <v>184955732</v>
      </c>
      <c r="D527" s="37">
        <v>181669072.66</v>
      </c>
      <c r="E527" s="37">
        <v>162954591.46000001</v>
      </c>
      <c r="F527" s="37">
        <v>88096666.659999996</v>
      </c>
      <c r="G527" s="37">
        <v>139993</v>
      </c>
      <c r="H527" s="37">
        <v>3286659.3400000036</v>
      </c>
      <c r="I527" s="31">
        <v>0.99924309996513117</v>
      </c>
      <c r="J527" s="31">
        <v>0.98223002172217078</v>
      </c>
    </row>
    <row r="528" spans="1:10" x14ac:dyDescent="0.3">
      <c r="A528" s="19" t="s">
        <v>1541</v>
      </c>
      <c r="B528" s="38">
        <v>184955732</v>
      </c>
      <c r="C528" s="38">
        <v>184955732</v>
      </c>
      <c r="D528" s="38">
        <v>181669072.66</v>
      </c>
      <c r="E528" s="38">
        <v>162954591.46000001</v>
      </c>
      <c r="F528" s="38">
        <v>88096666.659999996</v>
      </c>
      <c r="G528" s="38">
        <v>139993</v>
      </c>
      <c r="H528" s="38">
        <v>3286659.3400000036</v>
      </c>
      <c r="I528" s="27">
        <v>0.99924309996513117</v>
      </c>
      <c r="J528" s="27">
        <v>0.98223002172217078</v>
      </c>
    </row>
    <row r="529" spans="1:10" x14ac:dyDescent="0.3">
      <c r="A529" s="17" t="s">
        <v>1187</v>
      </c>
      <c r="B529" s="36">
        <v>1815044268</v>
      </c>
      <c r="C529" s="36">
        <v>1815044268</v>
      </c>
      <c r="D529" s="36">
        <v>1769779982.9800003</v>
      </c>
      <c r="E529" s="36">
        <v>1219585484.6800001</v>
      </c>
      <c r="F529" s="36">
        <v>1214195484.6800001</v>
      </c>
      <c r="G529" s="36">
        <v>3379946</v>
      </c>
      <c r="H529" s="36">
        <v>45264285.019999743</v>
      </c>
      <c r="I529" s="30">
        <v>0.99813781621771447</v>
      </c>
      <c r="J529" s="30">
        <v>0.97506160823841692</v>
      </c>
    </row>
    <row r="530" spans="1:10" x14ac:dyDescent="0.3">
      <c r="A530" s="18" t="s">
        <v>1189</v>
      </c>
      <c r="B530" s="37">
        <v>150695542</v>
      </c>
      <c r="C530" s="37">
        <v>150695542</v>
      </c>
      <c r="D530" s="37">
        <v>125000000</v>
      </c>
      <c r="E530" s="37">
        <v>125000000</v>
      </c>
      <c r="F530" s="37">
        <v>125000000</v>
      </c>
      <c r="G530" s="37">
        <v>0</v>
      </c>
      <c r="H530" s="37">
        <v>25695542</v>
      </c>
      <c r="I530" s="31">
        <v>1</v>
      </c>
      <c r="J530" s="31">
        <v>0.82948704613969271</v>
      </c>
    </row>
    <row r="531" spans="1:10" ht="28.8" x14ac:dyDescent="0.3">
      <c r="A531" s="19" t="s">
        <v>1542</v>
      </c>
      <c r="B531" s="38">
        <v>150695542</v>
      </c>
      <c r="C531" s="38">
        <v>150695542</v>
      </c>
      <c r="D531" s="38">
        <v>125000000</v>
      </c>
      <c r="E531" s="38">
        <v>125000000</v>
      </c>
      <c r="F531" s="38">
        <v>125000000</v>
      </c>
      <c r="G531" s="38">
        <v>0</v>
      </c>
      <c r="H531" s="38">
        <v>25695542</v>
      </c>
      <c r="I531" s="27">
        <v>1</v>
      </c>
      <c r="J531" s="27">
        <v>0.82948704613969271</v>
      </c>
    </row>
    <row r="532" spans="1:10" x14ac:dyDescent="0.3">
      <c r="A532" s="18" t="s">
        <v>1188</v>
      </c>
      <c r="B532" s="37">
        <v>148128322</v>
      </c>
      <c r="C532" s="37">
        <v>148128322</v>
      </c>
      <c r="D532" s="37">
        <v>147128322</v>
      </c>
      <c r="E532" s="37">
        <v>147128322</v>
      </c>
      <c r="F532" s="37">
        <v>147128322</v>
      </c>
      <c r="G532" s="37">
        <v>0</v>
      </c>
      <c r="H532" s="37">
        <v>1000000</v>
      </c>
      <c r="I532" s="31">
        <v>1</v>
      </c>
      <c r="J532" s="31">
        <v>0.99324909655021942</v>
      </c>
    </row>
    <row r="533" spans="1:10" ht="28.8" x14ac:dyDescent="0.3">
      <c r="A533" s="19" t="s">
        <v>1543</v>
      </c>
      <c r="B533" s="38">
        <v>148128322</v>
      </c>
      <c r="C533" s="38">
        <v>148128322</v>
      </c>
      <c r="D533" s="38">
        <v>147128322</v>
      </c>
      <c r="E533" s="38">
        <v>147128322</v>
      </c>
      <c r="F533" s="38">
        <v>147128322</v>
      </c>
      <c r="G533" s="38">
        <v>0</v>
      </c>
      <c r="H533" s="38">
        <v>1000000</v>
      </c>
      <c r="I533" s="27">
        <v>1</v>
      </c>
      <c r="J533" s="27">
        <v>0.99324909655021942</v>
      </c>
    </row>
    <row r="534" spans="1:10" ht="28.8" x14ac:dyDescent="0.3">
      <c r="A534" s="18" t="s">
        <v>1194</v>
      </c>
      <c r="B534" s="37">
        <v>923703820</v>
      </c>
      <c r="C534" s="37">
        <v>923703820</v>
      </c>
      <c r="D534" s="37">
        <v>919207147.32000005</v>
      </c>
      <c r="E534" s="37">
        <v>782720496.01999998</v>
      </c>
      <c r="F534" s="37">
        <v>782720496.01999998</v>
      </c>
      <c r="G534" s="37">
        <v>3379944</v>
      </c>
      <c r="H534" s="37">
        <v>4496672.6799999475</v>
      </c>
      <c r="I534" s="31">
        <v>0.99634087904930391</v>
      </c>
      <c r="J534" s="31">
        <v>0.99513191070271856</v>
      </c>
    </row>
    <row r="535" spans="1:10" ht="28.8" x14ac:dyDescent="0.3">
      <c r="A535" s="19" t="s">
        <v>1295</v>
      </c>
      <c r="B535" s="38">
        <v>923703820</v>
      </c>
      <c r="C535" s="38">
        <v>923703820</v>
      </c>
      <c r="D535" s="38">
        <v>919207147.32000005</v>
      </c>
      <c r="E535" s="38">
        <v>782720496.01999998</v>
      </c>
      <c r="F535" s="38">
        <v>782720496.01999998</v>
      </c>
      <c r="G535" s="38">
        <v>3379944</v>
      </c>
      <c r="H535" s="38">
        <v>4496672.6799999475</v>
      </c>
      <c r="I535" s="27">
        <v>0.99634087904930391</v>
      </c>
      <c r="J535" s="27">
        <v>0.99513191070271856</v>
      </c>
    </row>
    <row r="536" spans="1:10" x14ac:dyDescent="0.3">
      <c r="A536" s="18" t="s">
        <v>1197</v>
      </c>
      <c r="B536" s="37">
        <v>107707847</v>
      </c>
      <c r="C536" s="37">
        <v>107707847</v>
      </c>
      <c r="D536" s="37">
        <v>107307847</v>
      </c>
      <c r="E536" s="37">
        <v>43600000</v>
      </c>
      <c r="F536" s="37">
        <v>43600000</v>
      </c>
      <c r="G536" s="37">
        <v>0</v>
      </c>
      <c r="H536" s="37">
        <v>400000</v>
      </c>
      <c r="I536" s="31">
        <v>1</v>
      </c>
      <c r="J536" s="31">
        <v>0.99628625015594263</v>
      </c>
    </row>
    <row r="537" spans="1:10" x14ac:dyDescent="0.3">
      <c r="A537" s="19" t="s">
        <v>1544</v>
      </c>
      <c r="B537" s="38">
        <v>107707847</v>
      </c>
      <c r="C537" s="38">
        <v>107707847</v>
      </c>
      <c r="D537" s="38">
        <v>107307847</v>
      </c>
      <c r="E537" s="38">
        <v>43600000</v>
      </c>
      <c r="F537" s="38">
        <v>43600000</v>
      </c>
      <c r="G537" s="38">
        <v>0</v>
      </c>
      <c r="H537" s="38">
        <v>400000</v>
      </c>
      <c r="I537" s="27">
        <v>1</v>
      </c>
      <c r="J537" s="27">
        <v>0.99628625015594263</v>
      </c>
    </row>
    <row r="538" spans="1:10" x14ac:dyDescent="0.3">
      <c r="A538" s="18" t="s">
        <v>1193</v>
      </c>
      <c r="B538" s="37">
        <v>414374881</v>
      </c>
      <c r="C538" s="37">
        <v>414374881</v>
      </c>
      <c r="D538" s="37">
        <v>405256666.66000003</v>
      </c>
      <c r="E538" s="37">
        <v>55256666.659999996</v>
      </c>
      <c r="F538" s="37">
        <v>49866666.659999996</v>
      </c>
      <c r="G538" s="37">
        <v>1</v>
      </c>
      <c r="H538" s="37">
        <v>9118214.3399999738</v>
      </c>
      <c r="I538" s="31">
        <v>0.99999999758672631</v>
      </c>
      <c r="J538" s="31">
        <v>0.97799525319200042</v>
      </c>
    </row>
    <row r="539" spans="1:10" ht="28.8" x14ac:dyDescent="0.3">
      <c r="A539" s="19" t="s">
        <v>1545</v>
      </c>
      <c r="B539" s="38">
        <v>414374881</v>
      </c>
      <c r="C539" s="38">
        <v>414374881</v>
      </c>
      <c r="D539" s="38">
        <v>405256666.66000003</v>
      </c>
      <c r="E539" s="38">
        <v>55256666.659999996</v>
      </c>
      <c r="F539" s="38">
        <v>49866666.659999996</v>
      </c>
      <c r="G539" s="38">
        <v>1</v>
      </c>
      <c r="H539" s="38">
        <v>9118214.3399999738</v>
      </c>
      <c r="I539" s="27">
        <v>0.99999999758672631</v>
      </c>
      <c r="J539" s="27">
        <v>0.97799525319200042</v>
      </c>
    </row>
    <row r="540" spans="1:10" x14ac:dyDescent="0.3">
      <c r="A540" s="18" t="s">
        <v>1196</v>
      </c>
      <c r="B540" s="37">
        <v>70433856</v>
      </c>
      <c r="C540" s="37">
        <v>70433856</v>
      </c>
      <c r="D540" s="37">
        <v>65880000</v>
      </c>
      <c r="E540" s="37">
        <v>65880000</v>
      </c>
      <c r="F540" s="37">
        <v>65880000</v>
      </c>
      <c r="G540" s="37">
        <v>1</v>
      </c>
      <c r="H540" s="37">
        <v>4553856</v>
      </c>
      <c r="I540" s="31">
        <v>0.99999998580228233</v>
      </c>
      <c r="J540" s="31">
        <v>0.93534563832484197</v>
      </c>
    </row>
    <row r="541" spans="1:10" ht="28.8" x14ac:dyDescent="0.3">
      <c r="A541" s="19" t="s">
        <v>1546</v>
      </c>
      <c r="B541" s="38">
        <v>70433856</v>
      </c>
      <c r="C541" s="38">
        <v>70433856</v>
      </c>
      <c r="D541" s="38">
        <v>65880000</v>
      </c>
      <c r="E541" s="38">
        <v>65880000</v>
      </c>
      <c r="F541" s="38">
        <v>65880000</v>
      </c>
      <c r="G541" s="38">
        <v>1</v>
      </c>
      <c r="H541" s="38">
        <v>4553856</v>
      </c>
      <c r="I541" s="27">
        <v>0.99999998580228233</v>
      </c>
      <c r="J541" s="27">
        <v>0.93534563832484197</v>
      </c>
    </row>
    <row r="542" spans="1:10" x14ac:dyDescent="0.3">
      <c r="A542" s="20" t="s">
        <v>1233</v>
      </c>
      <c r="B542" s="39">
        <v>18911698415</v>
      </c>
      <c r="C542" s="39">
        <v>26803259858.030003</v>
      </c>
      <c r="D542" s="39">
        <v>23633181179.619999</v>
      </c>
      <c r="E542" s="39">
        <v>23497408635.619999</v>
      </c>
      <c r="F542" s="39">
        <v>20346811042.049999</v>
      </c>
      <c r="G542" s="39">
        <v>3170078578.4100037</v>
      </c>
      <c r="H542" s="39">
        <v>3170078678.4100037</v>
      </c>
      <c r="I542" s="32">
        <v>0.88172787208716041</v>
      </c>
      <c r="J542" s="32">
        <v>0.88172786835627093</v>
      </c>
    </row>
    <row r="543" spans="1:10" x14ac:dyDescent="0.3">
      <c r="A543" s="16" t="s">
        <v>1030</v>
      </c>
      <c r="B543" s="35">
        <v>18911698415</v>
      </c>
      <c r="C543" s="35">
        <v>26803259858.030003</v>
      </c>
      <c r="D543" s="35">
        <v>23633181179.619999</v>
      </c>
      <c r="E543" s="35">
        <v>23497408635.619999</v>
      </c>
      <c r="F543" s="35">
        <v>20346811042.049999</v>
      </c>
      <c r="G543" s="35">
        <v>3170078578.4100037</v>
      </c>
      <c r="H543" s="35">
        <v>3170078678.4100037</v>
      </c>
      <c r="I543" s="29">
        <v>0.88172787208716041</v>
      </c>
      <c r="J543" s="29">
        <v>0.88172786835627093</v>
      </c>
    </row>
    <row r="544" spans="1:10" x14ac:dyDescent="0.3">
      <c r="A544" s="17" t="s">
        <v>1031</v>
      </c>
      <c r="B544" s="36">
        <v>18911698415</v>
      </c>
      <c r="C544" s="36">
        <v>26803259858.030003</v>
      </c>
      <c r="D544" s="36">
        <v>23633181179.619999</v>
      </c>
      <c r="E544" s="36">
        <v>23497408635.619999</v>
      </c>
      <c r="F544" s="36">
        <v>20346811042.049999</v>
      </c>
      <c r="G544" s="36">
        <v>3170078578.4100037</v>
      </c>
      <c r="H544" s="36">
        <v>3170078678.4100037</v>
      </c>
      <c r="I544" s="30">
        <v>0.88172787208716041</v>
      </c>
      <c r="J544" s="30">
        <v>0.88172786835627093</v>
      </c>
    </row>
    <row r="545" spans="1:10" x14ac:dyDescent="0.3">
      <c r="A545" s="18" t="s">
        <v>1040</v>
      </c>
      <c r="B545" s="37">
        <v>2564260684</v>
      </c>
      <c r="C545" s="37">
        <v>3141151319.1500006</v>
      </c>
      <c r="D545" s="37">
        <v>2873764114.4099998</v>
      </c>
      <c r="E545" s="37">
        <v>2780991508.4099998</v>
      </c>
      <c r="F545" s="37">
        <v>2212059329.4099998</v>
      </c>
      <c r="G545" s="37">
        <v>267387204.74000025</v>
      </c>
      <c r="H545" s="37">
        <v>267387204.74000025</v>
      </c>
      <c r="I545" s="31">
        <v>0.9148760509849122</v>
      </c>
      <c r="J545" s="31">
        <v>0.9148760509849122</v>
      </c>
    </row>
    <row r="546" spans="1:10" ht="28.8" x14ac:dyDescent="0.3">
      <c r="A546" s="19" t="s">
        <v>1547</v>
      </c>
      <c r="B546" s="38">
        <v>2202943908</v>
      </c>
      <c r="C546" s="38">
        <v>2205249673.9000001</v>
      </c>
      <c r="D546" s="38">
        <v>2187214833</v>
      </c>
      <c r="E546" s="38">
        <v>2187214833</v>
      </c>
      <c r="F546" s="38">
        <v>1911167718</v>
      </c>
      <c r="G546" s="38">
        <v>18034840.900000095</v>
      </c>
      <c r="H546" s="38">
        <v>18034840.900000095</v>
      </c>
      <c r="I546" s="27">
        <v>0.99182185984949933</v>
      </c>
      <c r="J546" s="27">
        <v>0.99182185984949933</v>
      </c>
    </row>
    <row r="547" spans="1:10" ht="28.8" x14ac:dyDescent="0.3">
      <c r="A547" s="19" t="s">
        <v>1548</v>
      </c>
      <c r="B547" s="38">
        <v>0</v>
      </c>
      <c r="C547" s="38">
        <v>5084182.32</v>
      </c>
      <c r="D547" s="38">
        <v>0</v>
      </c>
      <c r="E547" s="38">
        <v>0</v>
      </c>
      <c r="F547" s="38">
        <v>0</v>
      </c>
      <c r="G547" s="38">
        <v>5084182.32</v>
      </c>
      <c r="H547" s="38">
        <v>5084182.32</v>
      </c>
      <c r="I547" s="27">
        <v>0</v>
      </c>
      <c r="J547" s="27">
        <v>0</v>
      </c>
    </row>
    <row r="548" spans="1:10" ht="28.8" x14ac:dyDescent="0.3">
      <c r="A548" s="19" t="s">
        <v>1549</v>
      </c>
      <c r="B548" s="38">
        <v>0</v>
      </c>
      <c r="C548" s="38">
        <v>199826079.22999999</v>
      </c>
      <c r="D548" s="38">
        <v>92772606</v>
      </c>
      <c r="E548" s="38">
        <v>0</v>
      </c>
      <c r="F548" s="38">
        <v>0</v>
      </c>
      <c r="G548" s="38">
        <v>107053473.22999999</v>
      </c>
      <c r="H548" s="38">
        <v>107053473.22999999</v>
      </c>
      <c r="I548" s="27">
        <v>0.46426675816032326</v>
      </c>
      <c r="J548" s="27">
        <v>0.46426675816032326</v>
      </c>
    </row>
    <row r="549" spans="1:10" ht="43.2" x14ac:dyDescent="0.3">
      <c r="A549" s="19" t="s">
        <v>1550</v>
      </c>
      <c r="B549" s="38">
        <v>361316776</v>
      </c>
      <c r="C549" s="38">
        <v>730991383.70000005</v>
      </c>
      <c r="D549" s="38">
        <v>593776675.41000009</v>
      </c>
      <c r="E549" s="38">
        <v>593776675.41000009</v>
      </c>
      <c r="F549" s="38">
        <v>300891611.41000003</v>
      </c>
      <c r="G549" s="38">
        <v>137214708.28999996</v>
      </c>
      <c r="H549" s="38">
        <v>137214708.28999996</v>
      </c>
      <c r="I549" s="27">
        <v>0.81228956818140408</v>
      </c>
      <c r="J549" s="27">
        <v>0.81228956818140408</v>
      </c>
    </row>
    <row r="550" spans="1:10" x14ac:dyDescent="0.3">
      <c r="A550" s="18" t="s">
        <v>1034</v>
      </c>
      <c r="B550" s="37">
        <v>2381664013</v>
      </c>
      <c r="C550" s="37">
        <v>2875778533.02</v>
      </c>
      <c r="D550" s="37">
        <v>2254452896.8599997</v>
      </c>
      <c r="E550" s="37">
        <v>2254452896.8599997</v>
      </c>
      <c r="F550" s="37">
        <v>1626888000</v>
      </c>
      <c r="G550" s="37">
        <v>621325636.16000032</v>
      </c>
      <c r="H550" s="37">
        <v>621325636.16000032</v>
      </c>
      <c r="I550" s="31">
        <v>0.78394524160123169</v>
      </c>
      <c r="J550" s="31">
        <v>0.78394524160123169</v>
      </c>
    </row>
    <row r="551" spans="1:10" ht="43.2" x14ac:dyDescent="0.3">
      <c r="A551" s="19" t="s">
        <v>1551</v>
      </c>
      <c r="B551" s="38">
        <v>2381664013</v>
      </c>
      <c r="C551" s="38">
        <v>2875778533.02</v>
      </c>
      <c r="D551" s="38">
        <v>2254452896.8599997</v>
      </c>
      <c r="E551" s="38">
        <v>2254452896.8599997</v>
      </c>
      <c r="F551" s="38">
        <v>1626888000</v>
      </c>
      <c r="G551" s="38">
        <v>621325636.16000032</v>
      </c>
      <c r="H551" s="38">
        <v>621325636.16000032</v>
      </c>
      <c r="I551" s="27">
        <v>0.78394524160123169</v>
      </c>
      <c r="J551" s="27">
        <v>0.78394524160123169</v>
      </c>
    </row>
    <row r="552" spans="1:10" x14ac:dyDescent="0.3">
      <c r="A552" s="18" t="s">
        <v>1126</v>
      </c>
      <c r="B552" s="37">
        <v>2032948654</v>
      </c>
      <c r="C552" s="37">
        <v>2470308396.5500002</v>
      </c>
      <c r="D552" s="37">
        <v>1955558936.0900002</v>
      </c>
      <c r="E552" s="37">
        <v>1927558998.0900002</v>
      </c>
      <c r="F552" s="37">
        <v>958835624.08999991</v>
      </c>
      <c r="G552" s="37">
        <v>514749460.46000004</v>
      </c>
      <c r="H552" s="37">
        <v>514749460.46000004</v>
      </c>
      <c r="I552" s="31">
        <v>0.79162542572462113</v>
      </c>
      <c r="J552" s="31">
        <v>0.79162542572462113</v>
      </c>
    </row>
    <row r="553" spans="1:10" ht="43.2" x14ac:dyDescent="0.3">
      <c r="A553" s="19" t="s">
        <v>1552</v>
      </c>
      <c r="B553" s="38">
        <v>2032948654</v>
      </c>
      <c r="C553" s="38">
        <v>2078743363</v>
      </c>
      <c r="D553" s="38">
        <v>1840190839.0900002</v>
      </c>
      <c r="E553" s="38">
        <v>1812190901.0900002</v>
      </c>
      <c r="F553" s="38">
        <v>958835624.08999991</v>
      </c>
      <c r="G553" s="38">
        <v>238552523.90999985</v>
      </c>
      <c r="H553" s="38">
        <v>238552523.90999985</v>
      </c>
      <c r="I553" s="27">
        <v>0.88524195523312421</v>
      </c>
      <c r="J553" s="27">
        <v>0.88524195523312421</v>
      </c>
    </row>
    <row r="554" spans="1:10" ht="43.2" x14ac:dyDescent="0.3">
      <c r="A554" s="19" t="s">
        <v>1553</v>
      </c>
      <c r="B554" s="38">
        <v>0</v>
      </c>
      <c r="C554" s="38">
        <v>391565033.55000001</v>
      </c>
      <c r="D554" s="38">
        <v>115368097</v>
      </c>
      <c r="E554" s="38">
        <v>115368097</v>
      </c>
      <c r="F554" s="38">
        <v>0</v>
      </c>
      <c r="G554" s="38">
        <v>276196936.55000001</v>
      </c>
      <c r="H554" s="38">
        <v>276196936.55000001</v>
      </c>
      <c r="I554" s="27">
        <v>0.29463329744755756</v>
      </c>
      <c r="J554" s="27">
        <v>0.29463329744755756</v>
      </c>
    </row>
    <row r="555" spans="1:10" x14ac:dyDescent="0.3">
      <c r="A555" s="18" t="s">
        <v>1041</v>
      </c>
      <c r="B555" s="37">
        <v>2578666632</v>
      </c>
      <c r="C555" s="37">
        <v>2647968210</v>
      </c>
      <c r="D555" s="37">
        <v>2397211344.8400002</v>
      </c>
      <c r="E555" s="37">
        <v>2382211344.8400002</v>
      </c>
      <c r="F555" s="37">
        <v>2327211344.8400002</v>
      </c>
      <c r="G555" s="37">
        <v>250756865.15999985</v>
      </c>
      <c r="H555" s="37">
        <v>250756865.15999985</v>
      </c>
      <c r="I555" s="31">
        <v>0.9053021617808622</v>
      </c>
      <c r="J555" s="31">
        <v>0.9053021617808622</v>
      </c>
    </row>
    <row r="556" spans="1:10" ht="28.8" x14ac:dyDescent="0.3">
      <c r="A556" s="19" t="s">
        <v>1554</v>
      </c>
      <c r="B556" s="38">
        <v>2578666632</v>
      </c>
      <c r="C556" s="38">
        <v>2645140210</v>
      </c>
      <c r="D556" s="38">
        <v>2397211344.8400002</v>
      </c>
      <c r="E556" s="38">
        <v>2382211344.8400002</v>
      </c>
      <c r="F556" s="38">
        <v>2327211344.8400002</v>
      </c>
      <c r="G556" s="38">
        <v>247928865.15999985</v>
      </c>
      <c r="H556" s="38">
        <v>247928865.15999985</v>
      </c>
      <c r="I556" s="27">
        <v>0.90627004790797083</v>
      </c>
      <c r="J556" s="27">
        <v>0.90627004790797083</v>
      </c>
    </row>
    <row r="557" spans="1:10" ht="43.2" x14ac:dyDescent="0.3">
      <c r="A557" s="19" t="s">
        <v>1555</v>
      </c>
      <c r="B557" s="38">
        <v>0</v>
      </c>
      <c r="C557" s="38">
        <v>2828000</v>
      </c>
      <c r="D557" s="38">
        <v>0</v>
      </c>
      <c r="E557" s="38">
        <v>0</v>
      </c>
      <c r="F557" s="38">
        <v>0</v>
      </c>
      <c r="G557" s="38">
        <v>2828000</v>
      </c>
      <c r="H557" s="38">
        <v>2828000</v>
      </c>
      <c r="I557" s="27">
        <v>0</v>
      </c>
      <c r="J557" s="27">
        <v>0</v>
      </c>
    </row>
    <row r="558" spans="1:10" x14ac:dyDescent="0.3">
      <c r="A558" s="18" t="s">
        <v>1186</v>
      </c>
      <c r="B558" s="37">
        <v>1612571163</v>
      </c>
      <c r="C558" s="37">
        <v>1847170490.72</v>
      </c>
      <c r="D558" s="37">
        <v>1501268206.29</v>
      </c>
      <c r="E558" s="37">
        <v>1501268206.29</v>
      </c>
      <c r="F558" s="37">
        <v>1333664456.29</v>
      </c>
      <c r="G558" s="37">
        <v>345902284.43000007</v>
      </c>
      <c r="H558" s="37">
        <v>345902284.43000007</v>
      </c>
      <c r="I558" s="31">
        <v>0.81273938373973675</v>
      </c>
      <c r="J558" s="31">
        <v>0.81273938373973675</v>
      </c>
    </row>
    <row r="559" spans="1:10" ht="43.2" x14ac:dyDescent="0.3">
      <c r="A559" s="19" t="s">
        <v>1556</v>
      </c>
      <c r="B559" s="38">
        <v>1612571163</v>
      </c>
      <c r="C559" s="38">
        <v>1841170490.72</v>
      </c>
      <c r="D559" s="38">
        <v>1501268206.29</v>
      </c>
      <c r="E559" s="38">
        <v>1501268206.29</v>
      </c>
      <c r="F559" s="38">
        <v>1333664456.29</v>
      </c>
      <c r="G559" s="38">
        <v>339902284.43000007</v>
      </c>
      <c r="H559" s="38">
        <v>339902284.43000007</v>
      </c>
      <c r="I559" s="27">
        <v>0.81538793602048265</v>
      </c>
      <c r="J559" s="27">
        <v>0.81538793602048265</v>
      </c>
    </row>
    <row r="560" spans="1:10" ht="43.2" x14ac:dyDescent="0.3">
      <c r="A560" s="19" t="s">
        <v>1557</v>
      </c>
      <c r="B560" s="38">
        <v>0</v>
      </c>
      <c r="C560" s="38">
        <v>6000000</v>
      </c>
      <c r="D560" s="38">
        <v>0</v>
      </c>
      <c r="E560" s="38">
        <v>0</v>
      </c>
      <c r="F560" s="38">
        <v>0</v>
      </c>
      <c r="G560" s="38">
        <v>6000000</v>
      </c>
      <c r="H560" s="38">
        <v>6000000</v>
      </c>
      <c r="I560" s="27">
        <v>0</v>
      </c>
      <c r="J560" s="27">
        <v>0</v>
      </c>
    </row>
    <row r="561" spans="1:10" ht="43.2" x14ac:dyDescent="0.3">
      <c r="A561" s="18" t="s">
        <v>1203</v>
      </c>
      <c r="B561" s="37">
        <v>645433145</v>
      </c>
      <c r="C561" s="37">
        <v>695433145</v>
      </c>
      <c r="D561" s="37">
        <v>531009992.70999998</v>
      </c>
      <c r="E561" s="37">
        <v>531009992.70999998</v>
      </c>
      <c r="F561" s="37">
        <v>347372475</v>
      </c>
      <c r="G561" s="37">
        <v>164423152.29000002</v>
      </c>
      <c r="H561" s="37">
        <v>164423152.29000002</v>
      </c>
      <c r="I561" s="31">
        <v>0.76356727677971115</v>
      </c>
      <c r="J561" s="31">
        <v>0.76356727677971115</v>
      </c>
    </row>
    <row r="562" spans="1:10" ht="43.2" x14ac:dyDescent="0.3">
      <c r="A562" s="19" t="s">
        <v>1558</v>
      </c>
      <c r="B562" s="38">
        <v>645433145</v>
      </c>
      <c r="C562" s="38">
        <v>645433145</v>
      </c>
      <c r="D562" s="38">
        <v>524927660</v>
      </c>
      <c r="E562" s="38">
        <v>524927660</v>
      </c>
      <c r="F562" s="38">
        <v>347372475</v>
      </c>
      <c r="G562" s="38">
        <v>120505485</v>
      </c>
      <c r="H562" s="38">
        <v>120505485</v>
      </c>
      <c r="I562" s="27">
        <v>0.8132951709506645</v>
      </c>
      <c r="J562" s="27">
        <v>0.8132951709506645</v>
      </c>
    </row>
    <row r="563" spans="1:10" ht="43.2" x14ac:dyDescent="0.3">
      <c r="A563" s="19" t="s">
        <v>1559</v>
      </c>
      <c r="B563" s="38">
        <v>0</v>
      </c>
      <c r="C563" s="38">
        <v>50000000</v>
      </c>
      <c r="D563" s="38">
        <v>6082332.71</v>
      </c>
      <c r="E563" s="38">
        <v>6082332.71</v>
      </c>
      <c r="F563" s="38">
        <v>0</v>
      </c>
      <c r="G563" s="38">
        <v>43917667.289999999</v>
      </c>
      <c r="H563" s="38">
        <v>43917667.289999999</v>
      </c>
      <c r="I563" s="27">
        <v>0.1216466542</v>
      </c>
      <c r="J563" s="27">
        <v>0.1216466542</v>
      </c>
    </row>
    <row r="564" spans="1:10" ht="28.8" x14ac:dyDescent="0.3">
      <c r="A564" s="18" t="s">
        <v>1032</v>
      </c>
      <c r="B564" s="37">
        <v>7096154124</v>
      </c>
      <c r="C564" s="37">
        <v>13125449763.59</v>
      </c>
      <c r="D564" s="37">
        <v>12119915688.42</v>
      </c>
      <c r="E564" s="37">
        <v>12119915688.42</v>
      </c>
      <c r="F564" s="37">
        <v>11540779812.42</v>
      </c>
      <c r="G564" s="37">
        <v>1005533975.1700001</v>
      </c>
      <c r="H564" s="37">
        <v>1005534075.1700001</v>
      </c>
      <c r="I564" s="31">
        <v>0.92339051283717899</v>
      </c>
      <c r="J564" s="31">
        <v>0.9233905052183925</v>
      </c>
    </row>
    <row r="565" spans="1:10" ht="43.2" x14ac:dyDescent="0.3">
      <c r="A565" s="19" t="s">
        <v>1560</v>
      </c>
      <c r="B565" s="38">
        <v>7096154124</v>
      </c>
      <c r="C565" s="38">
        <v>10057845662</v>
      </c>
      <c r="D565" s="38">
        <v>9476597651.6399994</v>
      </c>
      <c r="E565" s="38">
        <v>9476597651.6399994</v>
      </c>
      <c r="F565" s="38">
        <v>9171426038.6399994</v>
      </c>
      <c r="G565" s="38">
        <v>581247910.36000061</v>
      </c>
      <c r="H565" s="38">
        <v>581248010.36000061</v>
      </c>
      <c r="I565" s="27">
        <v>0.94220950192584085</v>
      </c>
      <c r="J565" s="27">
        <v>0.94220949198335391</v>
      </c>
    </row>
    <row r="566" spans="1:10" ht="43.2" x14ac:dyDescent="0.3">
      <c r="A566" s="19" t="s">
        <v>1561</v>
      </c>
      <c r="B566" s="38">
        <v>0</v>
      </c>
      <c r="C566" s="38">
        <v>172070000</v>
      </c>
      <c r="D566" s="38">
        <v>0</v>
      </c>
      <c r="E566" s="38">
        <v>0</v>
      </c>
      <c r="F566" s="38">
        <v>0</v>
      </c>
      <c r="G566" s="38">
        <v>172070000</v>
      </c>
      <c r="H566" s="38">
        <v>172070000</v>
      </c>
      <c r="I566" s="27">
        <v>0</v>
      </c>
      <c r="J566" s="27">
        <v>0</v>
      </c>
    </row>
    <row r="567" spans="1:10" ht="43.2" x14ac:dyDescent="0.3">
      <c r="A567" s="19" t="s">
        <v>1562</v>
      </c>
      <c r="B567" s="38">
        <v>0</v>
      </c>
      <c r="C567" s="38">
        <v>2895534101.5900002</v>
      </c>
      <c r="D567" s="38">
        <v>2643318036.7800002</v>
      </c>
      <c r="E567" s="38">
        <v>2643318036.7800002</v>
      </c>
      <c r="F567" s="38">
        <v>2369353773.7800002</v>
      </c>
      <c r="G567" s="38">
        <v>252216064.80999994</v>
      </c>
      <c r="H567" s="38">
        <v>252216064.80999994</v>
      </c>
      <c r="I567" s="27">
        <v>0.91289480421884772</v>
      </c>
      <c r="J567" s="27">
        <v>0.91289480421884772</v>
      </c>
    </row>
    <row r="568" spans="1:10" x14ac:dyDescent="0.3">
      <c r="A568" s="20" t="s">
        <v>1234</v>
      </c>
      <c r="B568" s="39">
        <v>10121100528</v>
      </c>
      <c r="C568" s="39">
        <v>14985069342.76</v>
      </c>
      <c r="D568" s="39">
        <v>14702574871.450001</v>
      </c>
      <c r="E568" s="39">
        <v>14702574871.450001</v>
      </c>
      <c r="F568" s="39">
        <v>14588824533.530001</v>
      </c>
      <c r="G568" s="39">
        <v>282494471.30999947</v>
      </c>
      <c r="H568" s="39">
        <v>282494471.30999947</v>
      </c>
      <c r="I568" s="32">
        <v>0.98114827066539501</v>
      </c>
      <c r="J568" s="32">
        <v>0.98114827066539501</v>
      </c>
    </row>
    <row r="569" spans="1:10" x14ac:dyDescent="0.3">
      <c r="A569" s="16" t="s">
        <v>1026</v>
      </c>
      <c r="B569" s="35">
        <v>10121100528</v>
      </c>
      <c r="C569" s="35">
        <v>14985069342.76</v>
      </c>
      <c r="D569" s="35">
        <v>14702574871.450001</v>
      </c>
      <c r="E569" s="35">
        <v>14702574871.450001</v>
      </c>
      <c r="F569" s="35">
        <v>14588824533.530001</v>
      </c>
      <c r="G569" s="35">
        <v>282494471.30999947</v>
      </c>
      <c r="H569" s="35">
        <v>282494471.30999947</v>
      </c>
      <c r="I569" s="29">
        <v>0.98114827066539501</v>
      </c>
      <c r="J569" s="29">
        <v>0.98114827066539501</v>
      </c>
    </row>
    <row r="570" spans="1:10" x14ac:dyDescent="0.3">
      <c r="A570" s="17" t="s">
        <v>1072</v>
      </c>
      <c r="B570" s="36">
        <v>10121100528</v>
      </c>
      <c r="C570" s="36">
        <v>14985069342.76</v>
      </c>
      <c r="D570" s="36">
        <v>14702574871.450001</v>
      </c>
      <c r="E570" s="36">
        <v>14702574871.450001</v>
      </c>
      <c r="F570" s="36">
        <v>14588824533.530001</v>
      </c>
      <c r="G570" s="36">
        <v>282494471.30999947</v>
      </c>
      <c r="H570" s="36">
        <v>282494471.30999947</v>
      </c>
      <c r="I570" s="30">
        <v>0.98114827066539501</v>
      </c>
      <c r="J570" s="30">
        <v>0.98114827066539501</v>
      </c>
    </row>
    <row r="571" spans="1:10" x14ac:dyDescent="0.3">
      <c r="A571" s="18" t="s">
        <v>1073</v>
      </c>
      <c r="B571" s="37">
        <v>6872788736</v>
      </c>
      <c r="C571" s="37">
        <v>6872788736</v>
      </c>
      <c r="D571" s="37">
        <v>6844962736</v>
      </c>
      <c r="E571" s="37">
        <v>6844962736</v>
      </c>
      <c r="F571" s="37">
        <v>6844962736</v>
      </c>
      <c r="G571" s="37">
        <v>27826000</v>
      </c>
      <c r="H571" s="37">
        <v>27826000</v>
      </c>
      <c r="I571" s="31">
        <v>0.99595127959422847</v>
      </c>
      <c r="J571" s="31">
        <v>0.99595127959422847</v>
      </c>
    </row>
    <row r="572" spans="1:10" ht="43.2" x14ac:dyDescent="0.3">
      <c r="A572" s="19" t="s">
        <v>1563</v>
      </c>
      <c r="B572" s="38">
        <v>6872788736</v>
      </c>
      <c r="C572" s="38">
        <v>6872788736</v>
      </c>
      <c r="D572" s="38">
        <v>6844962736</v>
      </c>
      <c r="E572" s="38">
        <v>6844962736</v>
      </c>
      <c r="F572" s="38">
        <v>6844962736</v>
      </c>
      <c r="G572" s="38">
        <v>27826000</v>
      </c>
      <c r="H572" s="38">
        <v>27826000</v>
      </c>
      <c r="I572" s="27">
        <v>0.99595127959422847</v>
      </c>
      <c r="J572" s="27">
        <v>0.99595127959422847</v>
      </c>
    </row>
    <row r="573" spans="1:10" ht="43.2" x14ac:dyDescent="0.3">
      <c r="A573" s="19" t="s">
        <v>1564</v>
      </c>
      <c r="B573" s="38">
        <v>0</v>
      </c>
      <c r="C573" s="38">
        <v>0</v>
      </c>
      <c r="D573" s="38">
        <v>0</v>
      </c>
      <c r="E573" s="38">
        <v>0</v>
      </c>
      <c r="F573" s="38">
        <v>0</v>
      </c>
      <c r="G573" s="38">
        <v>0</v>
      </c>
      <c r="H573" s="38">
        <v>0</v>
      </c>
      <c r="I573" s="27" t="e">
        <v>#DIV/0!</v>
      </c>
      <c r="J573" s="27" t="e">
        <v>#DIV/0!</v>
      </c>
    </row>
    <row r="574" spans="1:10" x14ac:dyDescent="0.3">
      <c r="A574" s="18" t="s">
        <v>1074</v>
      </c>
      <c r="B574" s="37">
        <v>1804466261</v>
      </c>
      <c r="C574" s="37">
        <v>5767684737.8400002</v>
      </c>
      <c r="D574" s="37">
        <v>5743201853.5300007</v>
      </c>
      <c r="E574" s="37">
        <v>5743201853.5300007</v>
      </c>
      <c r="F574" s="37">
        <v>5688201853.5300007</v>
      </c>
      <c r="G574" s="37">
        <v>24482884.309999466</v>
      </c>
      <c r="H574" s="37">
        <v>24482884.309999466</v>
      </c>
      <c r="I574" s="31">
        <v>0.9957551625265898</v>
      </c>
      <c r="J574" s="31">
        <v>0.9957551625265898</v>
      </c>
    </row>
    <row r="575" spans="1:10" ht="43.2" x14ac:dyDescent="0.3">
      <c r="A575" s="19" t="s">
        <v>1565</v>
      </c>
      <c r="B575" s="38">
        <v>1804466261</v>
      </c>
      <c r="C575" s="38">
        <v>5767684737.8400002</v>
      </c>
      <c r="D575" s="38">
        <v>5743201853.5300007</v>
      </c>
      <c r="E575" s="38">
        <v>5743201853.5300007</v>
      </c>
      <c r="F575" s="38">
        <v>5688201853.5300007</v>
      </c>
      <c r="G575" s="38">
        <v>24482884.309999466</v>
      </c>
      <c r="H575" s="38">
        <v>24482884.309999466</v>
      </c>
      <c r="I575" s="27">
        <v>0.9957551625265898</v>
      </c>
      <c r="J575" s="27">
        <v>0.9957551625265898</v>
      </c>
    </row>
    <row r="576" spans="1:10" x14ac:dyDescent="0.3">
      <c r="A576" s="18" t="s">
        <v>1075</v>
      </c>
      <c r="B576" s="37">
        <v>872345752</v>
      </c>
      <c r="C576" s="37">
        <v>931096089.91999996</v>
      </c>
      <c r="D576" s="37">
        <v>771692281.91999996</v>
      </c>
      <c r="E576" s="37">
        <v>771692281.91999996</v>
      </c>
      <c r="F576" s="37">
        <v>712941944</v>
      </c>
      <c r="G576" s="37">
        <v>159403808</v>
      </c>
      <c r="H576" s="37">
        <v>159403808</v>
      </c>
      <c r="I576" s="31">
        <v>0.82879983094580922</v>
      </c>
      <c r="J576" s="31">
        <v>0.82879983094580922</v>
      </c>
    </row>
    <row r="577" spans="1:10" ht="28.8" x14ac:dyDescent="0.3">
      <c r="A577" s="19" t="s">
        <v>1566</v>
      </c>
      <c r="B577" s="38">
        <v>872345752</v>
      </c>
      <c r="C577" s="38">
        <v>931096089.91999996</v>
      </c>
      <c r="D577" s="38">
        <v>771692281.91999996</v>
      </c>
      <c r="E577" s="38">
        <v>771692281.91999996</v>
      </c>
      <c r="F577" s="38">
        <v>712941944</v>
      </c>
      <c r="G577" s="38">
        <v>159403808</v>
      </c>
      <c r="H577" s="38">
        <v>159403808</v>
      </c>
      <c r="I577" s="27">
        <v>0.82879983094580922</v>
      </c>
      <c r="J577" s="27">
        <v>0.82879983094580922</v>
      </c>
    </row>
    <row r="578" spans="1:10" x14ac:dyDescent="0.3">
      <c r="A578" s="18" t="s">
        <v>1148</v>
      </c>
      <c r="B578" s="37">
        <v>90861993</v>
      </c>
      <c r="C578" s="37">
        <v>90861993</v>
      </c>
      <c r="D578" s="37">
        <v>68000000</v>
      </c>
      <c r="E578" s="37">
        <v>68000000</v>
      </c>
      <c r="F578" s="37">
        <v>68000000</v>
      </c>
      <c r="G578" s="37">
        <v>22861993</v>
      </c>
      <c r="H578" s="37">
        <v>22861993</v>
      </c>
      <c r="I578" s="31">
        <v>0.74838772246609209</v>
      </c>
      <c r="J578" s="31">
        <v>0.74838772246609209</v>
      </c>
    </row>
    <row r="579" spans="1:10" ht="57.6" x14ac:dyDescent="0.3">
      <c r="A579" s="19" t="s">
        <v>1567</v>
      </c>
      <c r="B579" s="38">
        <v>90861993</v>
      </c>
      <c r="C579" s="38">
        <v>90861993</v>
      </c>
      <c r="D579" s="38">
        <v>68000000</v>
      </c>
      <c r="E579" s="38">
        <v>68000000</v>
      </c>
      <c r="F579" s="38">
        <v>68000000</v>
      </c>
      <c r="G579" s="38">
        <v>22861993</v>
      </c>
      <c r="H579" s="38">
        <v>22861993</v>
      </c>
      <c r="I579" s="27">
        <v>0.74838772246609209</v>
      </c>
      <c r="J579" s="27">
        <v>0.74838772246609209</v>
      </c>
    </row>
    <row r="580" spans="1:10" x14ac:dyDescent="0.3">
      <c r="A580" s="18" t="s">
        <v>1112</v>
      </c>
      <c r="B580" s="37">
        <v>480637786</v>
      </c>
      <c r="C580" s="37">
        <v>1322637786</v>
      </c>
      <c r="D580" s="37">
        <v>1274718000</v>
      </c>
      <c r="E580" s="37">
        <v>1274718000</v>
      </c>
      <c r="F580" s="37">
        <v>1274718000</v>
      </c>
      <c r="G580" s="37">
        <v>47919786</v>
      </c>
      <c r="H580" s="37">
        <v>47919786</v>
      </c>
      <c r="I580" s="31">
        <v>0.96376953198583426</v>
      </c>
      <c r="J580" s="31">
        <v>0.96376953198583426</v>
      </c>
    </row>
    <row r="581" spans="1:10" ht="43.2" x14ac:dyDescent="0.3">
      <c r="A581" s="19" t="s">
        <v>1568</v>
      </c>
      <c r="B581" s="38">
        <v>190861993</v>
      </c>
      <c r="C581" s="38">
        <v>190861993</v>
      </c>
      <c r="D581" s="38">
        <v>152718000</v>
      </c>
      <c r="E581" s="38">
        <v>152718000</v>
      </c>
      <c r="F581" s="38">
        <v>152718000</v>
      </c>
      <c r="G581" s="38">
        <v>38143993</v>
      </c>
      <c r="H581" s="38">
        <v>38143993</v>
      </c>
      <c r="I581" s="27">
        <v>0.80014882795444764</v>
      </c>
      <c r="J581" s="27">
        <v>0.80014882795444764</v>
      </c>
    </row>
    <row r="582" spans="1:10" ht="43.2" x14ac:dyDescent="0.3">
      <c r="A582" s="19" t="s">
        <v>1569</v>
      </c>
      <c r="B582" s="38">
        <v>81775793</v>
      </c>
      <c r="C582" s="38">
        <v>81775793</v>
      </c>
      <c r="D582" s="38">
        <v>72000000</v>
      </c>
      <c r="E582" s="38">
        <v>72000000</v>
      </c>
      <c r="F582" s="38">
        <v>72000000</v>
      </c>
      <c r="G582" s="38">
        <v>9775793</v>
      </c>
      <c r="H582" s="38">
        <v>9775793</v>
      </c>
      <c r="I582" s="27">
        <v>0.88045615161445145</v>
      </c>
      <c r="J582" s="27">
        <v>0.88045615161445145</v>
      </c>
    </row>
    <row r="583" spans="1:10" ht="43.2" x14ac:dyDescent="0.3">
      <c r="A583" s="19" t="s">
        <v>1570</v>
      </c>
      <c r="B583" s="38">
        <v>208000000</v>
      </c>
      <c r="C583" s="38">
        <v>1050000000</v>
      </c>
      <c r="D583" s="38">
        <v>1050000000</v>
      </c>
      <c r="E583" s="38">
        <v>1050000000</v>
      </c>
      <c r="F583" s="38">
        <v>1050000000</v>
      </c>
      <c r="G583" s="38">
        <v>0</v>
      </c>
      <c r="H583" s="38">
        <v>0</v>
      </c>
      <c r="I583" s="27">
        <v>1</v>
      </c>
      <c r="J583" s="27">
        <v>1</v>
      </c>
    </row>
    <row r="584" spans="1:10" x14ac:dyDescent="0.3">
      <c r="A584" s="20" t="s">
        <v>1235</v>
      </c>
      <c r="B584" s="39">
        <v>9643493637</v>
      </c>
      <c r="C584" s="39">
        <v>10307205504.25</v>
      </c>
      <c r="D584" s="39">
        <v>7841017237.8099995</v>
      </c>
      <c r="E584" s="39">
        <v>7595633110.7799988</v>
      </c>
      <c r="F584" s="39">
        <v>6975421458.7799988</v>
      </c>
      <c r="G584" s="39">
        <v>2466188266.4400005</v>
      </c>
      <c r="H584" s="39">
        <v>2466188266.4400005</v>
      </c>
      <c r="I584" s="32">
        <v>0.76073162940012107</v>
      </c>
      <c r="J584" s="32">
        <v>0.76073162940012107</v>
      </c>
    </row>
    <row r="585" spans="1:10" x14ac:dyDescent="0.3">
      <c r="A585" s="16" t="s">
        <v>1030</v>
      </c>
      <c r="B585" s="35">
        <v>9348493637</v>
      </c>
      <c r="C585" s="35">
        <v>10012205504.25</v>
      </c>
      <c r="D585" s="35">
        <v>7546017237.8099995</v>
      </c>
      <c r="E585" s="35">
        <v>7300633110.7799988</v>
      </c>
      <c r="F585" s="35">
        <v>6723589458.7799988</v>
      </c>
      <c r="G585" s="35">
        <v>2466188266.4400005</v>
      </c>
      <c r="H585" s="35">
        <v>2466188266.4400005</v>
      </c>
      <c r="I585" s="29">
        <v>0.75368181711880078</v>
      </c>
      <c r="J585" s="29">
        <v>0.75368181711880078</v>
      </c>
    </row>
    <row r="586" spans="1:10" ht="28.8" x14ac:dyDescent="0.3">
      <c r="A586" s="17" t="s">
        <v>1035</v>
      </c>
      <c r="B586" s="36">
        <v>9348493637</v>
      </c>
      <c r="C586" s="36">
        <v>10012205504.25</v>
      </c>
      <c r="D586" s="36">
        <v>7546017237.8099995</v>
      </c>
      <c r="E586" s="36">
        <v>7300633110.7799988</v>
      </c>
      <c r="F586" s="36">
        <v>6723589458.7799988</v>
      </c>
      <c r="G586" s="36">
        <v>2466188266.4400005</v>
      </c>
      <c r="H586" s="36">
        <v>2466188266.4400005</v>
      </c>
      <c r="I586" s="30">
        <v>0.75368181711880078</v>
      </c>
      <c r="J586" s="30">
        <v>0.75368181711880078</v>
      </c>
    </row>
    <row r="587" spans="1:10" x14ac:dyDescent="0.3">
      <c r="A587" s="18" t="s">
        <v>1036</v>
      </c>
      <c r="B587" s="37">
        <v>1163350515</v>
      </c>
      <c r="C587" s="37">
        <v>1163350515</v>
      </c>
      <c r="D587" s="37">
        <v>1083350515</v>
      </c>
      <c r="E587" s="37">
        <v>1025012886</v>
      </c>
      <c r="F587" s="37">
        <v>1005567010</v>
      </c>
      <c r="G587" s="37">
        <v>80000000</v>
      </c>
      <c r="H587" s="37">
        <v>80000000</v>
      </c>
      <c r="I587" s="31">
        <v>0.93123310733222997</v>
      </c>
      <c r="J587" s="31">
        <v>0.93123310733222997</v>
      </c>
    </row>
    <row r="588" spans="1:10" ht="28.8" x14ac:dyDescent="0.3">
      <c r="A588" s="19" t="s">
        <v>1571</v>
      </c>
      <c r="B588" s="38">
        <v>1163350515</v>
      </c>
      <c r="C588" s="38">
        <v>1163350515</v>
      </c>
      <c r="D588" s="38">
        <v>1083350515</v>
      </c>
      <c r="E588" s="38">
        <v>1025012886</v>
      </c>
      <c r="F588" s="38">
        <v>1005567010</v>
      </c>
      <c r="G588" s="38">
        <v>80000000</v>
      </c>
      <c r="H588" s="38">
        <v>80000000</v>
      </c>
      <c r="I588" s="27">
        <v>0.93123310733222997</v>
      </c>
      <c r="J588" s="27">
        <v>0.93123310733222997</v>
      </c>
    </row>
    <row r="589" spans="1:10" ht="28.8" x14ac:dyDescent="0.3">
      <c r="A589" s="18" t="s">
        <v>1037</v>
      </c>
      <c r="B589" s="37">
        <v>1095793651</v>
      </c>
      <c r="C589" s="37">
        <v>1137372775.73</v>
      </c>
      <c r="D589" s="37">
        <v>865721814.73000002</v>
      </c>
      <c r="E589" s="37">
        <v>807609668.5</v>
      </c>
      <c r="F589" s="37">
        <v>686134507.5</v>
      </c>
      <c r="G589" s="37">
        <v>271650961</v>
      </c>
      <c r="H589" s="37">
        <v>271650961</v>
      </c>
      <c r="I589" s="31">
        <v>0.76115925508622606</v>
      </c>
      <c r="J589" s="31">
        <v>0.76115925508622606</v>
      </c>
    </row>
    <row r="590" spans="1:10" ht="28.8" x14ac:dyDescent="0.3">
      <c r="A590" s="19" t="s">
        <v>1572</v>
      </c>
      <c r="B590" s="38">
        <v>597962307</v>
      </c>
      <c r="C590" s="38">
        <v>632308339</v>
      </c>
      <c r="D590" s="38">
        <v>552308339</v>
      </c>
      <c r="E590" s="38">
        <v>507647954.5</v>
      </c>
      <c r="F590" s="38">
        <v>395996993.5</v>
      </c>
      <c r="G590" s="38">
        <v>80000000</v>
      </c>
      <c r="H590" s="38">
        <v>80000000</v>
      </c>
      <c r="I590" s="27">
        <v>0.87347944813361067</v>
      </c>
      <c r="J590" s="27">
        <v>0.87347944813361067</v>
      </c>
    </row>
    <row r="591" spans="1:10" ht="28.8" x14ac:dyDescent="0.3">
      <c r="A591" s="19" t="s">
        <v>1573</v>
      </c>
      <c r="B591" s="38">
        <v>497831344</v>
      </c>
      <c r="C591" s="38">
        <v>497831344</v>
      </c>
      <c r="D591" s="38">
        <v>306180383</v>
      </c>
      <c r="E591" s="38">
        <v>299961714</v>
      </c>
      <c r="F591" s="38">
        <v>290137514</v>
      </c>
      <c r="G591" s="38">
        <v>191650961</v>
      </c>
      <c r="H591" s="38">
        <v>191650961</v>
      </c>
      <c r="I591" s="27">
        <v>0.61502833578112348</v>
      </c>
      <c r="J591" s="27">
        <v>0.61502833578112348</v>
      </c>
    </row>
    <row r="592" spans="1:10" ht="28.8" x14ac:dyDescent="0.3">
      <c r="A592" s="19" t="s">
        <v>1574</v>
      </c>
      <c r="B592" s="38">
        <v>0</v>
      </c>
      <c r="C592" s="38">
        <v>7233092.7300000004</v>
      </c>
      <c r="D592" s="38">
        <v>7233092.7300000004</v>
      </c>
      <c r="E592" s="38">
        <v>0</v>
      </c>
      <c r="F592" s="38">
        <v>0</v>
      </c>
      <c r="G592" s="38">
        <v>0</v>
      </c>
      <c r="H592" s="38">
        <v>0</v>
      </c>
      <c r="I592" s="27">
        <v>1</v>
      </c>
      <c r="J592" s="27">
        <v>1</v>
      </c>
    </row>
    <row r="593" spans="1:10" ht="28.8" x14ac:dyDescent="0.3">
      <c r="A593" s="18" t="s">
        <v>1125</v>
      </c>
      <c r="B593" s="37">
        <v>1755791152</v>
      </c>
      <c r="C593" s="37">
        <v>1755791152</v>
      </c>
      <c r="D593" s="37">
        <v>1085663402</v>
      </c>
      <c r="E593" s="37">
        <v>1060541936</v>
      </c>
      <c r="F593" s="37">
        <v>1016032485</v>
      </c>
      <c r="G593" s="37">
        <v>670127750</v>
      </c>
      <c r="H593" s="37">
        <v>670127750</v>
      </c>
      <c r="I593" s="31">
        <v>0.61833288131298203</v>
      </c>
      <c r="J593" s="31">
        <v>0.61833288131298203</v>
      </c>
    </row>
    <row r="594" spans="1:10" ht="43.2" x14ac:dyDescent="0.3">
      <c r="A594" s="19" t="s">
        <v>1575</v>
      </c>
      <c r="B594" s="38">
        <v>240728798</v>
      </c>
      <c r="C594" s="38">
        <v>240728798</v>
      </c>
      <c r="D594" s="38">
        <v>240668798</v>
      </c>
      <c r="E594" s="38">
        <v>215547332</v>
      </c>
      <c r="F594" s="38">
        <v>203046598</v>
      </c>
      <c r="G594" s="38">
        <v>60000</v>
      </c>
      <c r="H594" s="38">
        <v>60000</v>
      </c>
      <c r="I594" s="27">
        <v>0.99975075686623915</v>
      </c>
      <c r="J594" s="27">
        <v>0.99975075686623915</v>
      </c>
    </row>
    <row r="595" spans="1:10" ht="28.8" x14ac:dyDescent="0.3">
      <c r="A595" s="19" t="s">
        <v>1576</v>
      </c>
      <c r="B595" s="38">
        <v>1515062354</v>
      </c>
      <c r="C595" s="38">
        <v>1515062354</v>
      </c>
      <c r="D595" s="38">
        <v>844994604</v>
      </c>
      <c r="E595" s="38">
        <v>844994604</v>
      </c>
      <c r="F595" s="38">
        <v>812985887</v>
      </c>
      <c r="G595" s="38">
        <v>670067750</v>
      </c>
      <c r="H595" s="38">
        <v>670067750</v>
      </c>
      <c r="I595" s="27">
        <v>0.55772925897675629</v>
      </c>
      <c r="J595" s="27">
        <v>0.55772925897675629</v>
      </c>
    </row>
    <row r="596" spans="1:10" ht="28.8" x14ac:dyDescent="0.3">
      <c r="A596" s="18" t="s">
        <v>1095</v>
      </c>
      <c r="B596" s="37">
        <v>2273103806</v>
      </c>
      <c r="C596" s="37">
        <v>2273103806</v>
      </c>
      <c r="D596" s="37">
        <v>2009901825.2800002</v>
      </c>
      <c r="E596" s="37">
        <v>1925627857.6399999</v>
      </c>
      <c r="F596" s="37">
        <v>1895492855.6399999</v>
      </c>
      <c r="G596" s="37">
        <v>263201980.72000003</v>
      </c>
      <c r="H596" s="37">
        <v>263201980.72000003</v>
      </c>
      <c r="I596" s="31">
        <v>0.88421031189809196</v>
      </c>
      <c r="J596" s="31">
        <v>0.88421031189809196</v>
      </c>
    </row>
    <row r="597" spans="1:10" ht="28.8" x14ac:dyDescent="0.3">
      <c r="A597" s="19" t="s">
        <v>1577</v>
      </c>
      <c r="B597" s="38">
        <v>386551903</v>
      </c>
      <c r="C597" s="38">
        <v>386551903</v>
      </c>
      <c r="D597" s="38">
        <v>254950912.63999999</v>
      </c>
      <c r="E597" s="38">
        <v>205660912.63999999</v>
      </c>
      <c r="F597" s="38">
        <v>184270911.63999999</v>
      </c>
      <c r="G597" s="38">
        <v>131600990.36000001</v>
      </c>
      <c r="H597" s="38">
        <v>131600990.36000001</v>
      </c>
      <c r="I597" s="27">
        <v>0.65955156516200097</v>
      </c>
      <c r="J597" s="27">
        <v>0.65955156516200097</v>
      </c>
    </row>
    <row r="598" spans="1:10" ht="28.8" x14ac:dyDescent="0.3">
      <c r="A598" s="19" t="s">
        <v>1578</v>
      </c>
      <c r="B598" s="38">
        <v>1886551903</v>
      </c>
      <c r="C598" s="38">
        <v>1886551903</v>
      </c>
      <c r="D598" s="38">
        <v>1754950912.6400001</v>
      </c>
      <c r="E598" s="38">
        <v>1719966945</v>
      </c>
      <c r="F598" s="38">
        <v>1711221944</v>
      </c>
      <c r="G598" s="38">
        <v>131600990.3599999</v>
      </c>
      <c r="H598" s="38">
        <v>131600990.3599999</v>
      </c>
      <c r="I598" s="27">
        <v>0.93024258163757512</v>
      </c>
      <c r="J598" s="27">
        <v>0.93024258163757512</v>
      </c>
    </row>
    <row r="599" spans="1:10" ht="28.8" x14ac:dyDescent="0.3">
      <c r="A599" s="18" t="s">
        <v>1078</v>
      </c>
      <c r="B599" s="37">
        <v>1010577707</v>
      </c>
      <c r="C599" s="37">
        <v>1010577707</v>
      </c>
      <c r="D599" s="37">
        <v>300450383.48000002</v>
      </c>
      <c r="E599" s="37">
        <v>280911465.31999999</v>
      </c>
      <c r="F599" s="37">
        <v>200454306.31999999</v>
      </c>
      <c r="G599" s="37">
        <v>710127323.51999998</v>
      </c>
      <c r="H599" s="37">
        <v>710127323.51999998</v>
      </c>
      <c r="I599" s="31">
        <v>0.29730557224730075</v>
      </c>
      <c r="J599" s="31">
        <v>0.29730557224730075</v>
      </c>
    </row>
    <row r="600" spans="1:10" ht="28.8" x14ac:dyDescent="0.3">
      <c r="A600" s="19" t="s">
        <v>1579</v>
      </c>
      <c r="B600" s="38">
        <v>843344198</v>
      </c>
      <c r="C600" s="38">
        <v>843344198</v>
      </c>
      <c r="D600" s="38">
        <v>133216875.16</v>
      </c>
      <c r="E600" s="38">
        <v>113677957</v>
      </c>
      <c r="F600" s="38">
        <v>33220798</v>
      </c>
      <c r="G600" s="38">
        <v>710127322.84000003</v>
      </c>
      <c r="H600" s="38">
        <v>710127322.84000003</v>
      </c>
      <c r="I600" s="27">
        <v>0.15796263906946331</v>
      </c>
      <c r="J600" s="27">
        <v>0.15796263906946331</v>
      </c>
    </row>
    <row r="601" spans="1:10" ht="28.8" x14ac:dyDescent="0.3">
      <c r="A601" s="19" t="s">
        <v>1580</v>
      </c>
      <c r="B601" s="38">
        <v>167233509</v>
      </c>
      <c r="C601" s="38">
        <v>167233509</v>
      </c>
      <c r="D601" s="38">
        <v>167233508.31999999</v>
      </c>
      <c r="E601" s="38">
        <v>167233508.31999999</v>
      </c>
      <c r="F601" s="38">
        <v>167233508.31999999</v>
      </c>
      <c r="G601" s="38">
        <v>0.68000000715255737</v>
      </c>
      <c r="H601" s="38">
        <v>0.68000000715255737</v>
      </c>
      <c r="I601" s="27">
        <v>0.99999999593382927</v>
      </c>
      <c r="J601" s="27">
        <v>0.99999999593382927</v>
      </c>
    </row>
    <row r="602" spans="1:10" x14ac:dyDescent="0.3">
      <c r="A602" s="18" t="s">
        <v>1097</v>
      </c>
      <c r="B602" s="37">
        <v>2049876806</v>
      </c>
      <c r="C602" s="37">
        <v>2672009548.52</v>
      </c>
      <c r="D602" s="37">
        <v>2200929297.3200002</v>
      </c>
      <c r="E602" s="37">
        <v>2200929297.3200002</v>
      </c>
      <c r="F602" s="37">
        <v>1919908294.3200002</v>
      </c>
      <c r="G602" s="37">
        <v>471080251.19999981</v>
      </c>
      <c r="H602" s="37">
        <v>471080251.19999981</v>
      </c>
      <c r="I602" s="31">
        <v>0.82369814080158266</v>
      </c>
      <c r="J602" s="31">
        <v>0.82369814080158266</v>
      </c>
    </row>
    <row r="603" spans="1:10" ht="28.8" x14ac:dyDescent="0.3">
      <c r="A603" s="19" t="s">
        <v>1581</v>
      </c>
      <c r="B603" s="38">
        <v>2049876806</v>
      </c>
      <c r="C603" s="38">
        <v>2617368051</v>
      </c>
      <c r="D603" s="38">
        <v>2146887890.3200002</v>
      </c>
      <c r="E603" s="38">
        <v>2146887890.3200002</v>
      </c>
      <c r="F603" s="38">
        <v>1919908294.3200002</v>
      </c>
      <c r="G603" s="38">
        <v>470480160.67999983</v>
      </c>
      <c r="H603" s="38">
        <v>470480160.67999983</v>
      </c>
      <c r="I603" s="27">
        <v>0.82024684663654901</v>
      </c>
      <c r="J603" s="27">
        <v>0.82024684663654901</v>
      </c>
    </row>
    <row r="604" spans="1:10" ht="28.8" x14ac:dyDescent="0.3">
      <c r="A604" s="19" t="s">
        <v>1582</v>
      </c>
      <c r="B604" s="38">
        <v>0</v>
      </c>
      <c r="C604" s="38">
        <v>54641497.520000003</v>
      </c>
      <c r="D604" s="38">
        <v>54041407</v>
      </c>
      <c r="E604" s="38">
        <v>54041407</v>
      </c>
      <c r="F604" s="38">
        <v>0</v>
      </c>
      <c r="G604" s="38">
        <v>600090.52000000328</v>
      </c>
      <c r="H604" s="38">
        <v>600090.52000000328</v>
      </c>
      <c r="I604" s="27">
        <v>0.9890176780059815</v>
      </c>
      <c r="J604" s="27">
        <v>0.9890176780059815</v>
      </c>
    </row>
    <row r="605" spans="1:10" x14ac:dyDescent="0.3">
      <c r="A605" s="16" t="s">
        <v>1018</v>
      </c>
      <c r="B605" s="35">
        <v>130000000</v>
      </c>
      <c r="C605" s="35">
        <v>130000000</v>
      </c>
      <c r="D605" s="35">
        <v>130000000</v>
      </c>
      <c r="E605" s="35">
        <v>130000000</v>
      </c>
      <c r="F605" s="35">
        <v>87282000</v>
      </c>
      <c r="G605" s="35">
        <v>0</v>
      </c>
      <c r="H605" s="35">
        <v>0</v>
      </c>
      <c r="I605" s="29">
        <v>1</v>
      </c>
      <c r="J605" s="29">
        <v>1</v>
      </c>
    </row>
    <row r="606" spans="1:10" x14ac:dyDescent="0.3">
      <c r="A606" s="17" t="s">
        <v>1162</v>
      </c>
      <c r="B606" s="36">
        <v>130000000</v>
      </c>
      <c r="C606" s="36">
        <v>130000000</v>
      </c>
      <c r="D606" s="36">
        <v>130000000</v>
      </c>
      <c r="E606" s="36">
        <v>130000000</v>
      </c>
      <c r="F606" s="36">
        <v>87282000</v>
      </c>
      <c r="G606" s="36">
        <v>0</v>
      </c>
      <c r="H606" s="36">
        <v>0</v>
      </c>
      <c r="I606" s="30">
        <v>1</v>
      </c>
      <c r="J606" s="30">
        <v>1</v>
      </c>
    </row>
    <row r="607" spans="1:10" x14ac:dyDescent="0.3">
      <c r="A607" s="18" t="s">
        <v>1195</v>
      </c>
      <c r="B607" s="37">
        <v>130000000</v>
      </c>
      <c r="C607" s="37">
        <v>130000000</v>
      </c>
      <c r="D607" s="37">
        <v>130000000</v>
      </c>
      <c r="E607" s="37">
        <v>130000000</v>
      </c>
      <c r="F607" s="37">
        <v>87282000</v>
      </c>
      <c r="G607" s="37">
        <v>0</v>
      </c>
      <c r="H607" s="37">
        <v>0</v>
      </c>
      <c r="I607" s="31">
        <v>1</v>
      </c>
      <c r="J607" s="31">
        <v>1</v>
      </c>
    </row>
    <row r="608" spans="1:10" ht="43.2" x14ac:dyDescent="0.3">
      <c r="A608" s="19" t="s">
        <v>1583</v>
      </c>
      <c r="B608" s="38">
        <v>130000000</v>
      </c>
      <c r="C608" s="38">
        <v>130000000</v>
      </c>
      <c r="D608" s="38">
        <v>130000000</v>
      </c>
      <c r="E608" s="38">
        <v>130000000</v>
      </c>
      <c r="F608" s="38">
        <v>87282000</v>
      </c>
      <c r="G608" s="38">
        <v>0</v>
      </c>
      <c r="H608" s="38">
        <v>0</v>
      </c>
      <c r="I608" s="27">
        <v>1</v>
      </c>
      <c r="J608" s="27">
        <v>1</v>
      </c>
    </row>
    <row r="609" spans="1:10" ht="28.8" x14ac:dyDescent="0.3">
      <c r="A609" s="16" t="s">
        <v>1060</v>
      </c>
      <c r="B609" s="35">
        <v>165000000</v>
      </c>
      <c r="C609" s="35">
        <v>165000000</v>
      </c>
      <c r="D609" s="35">
        <v>165000000</v>
      </c>
      <c r="E609" s="35">
        <v>165000000</v>
      </c>
      <c r="F609" s="35">
        <v>164550000</v>
      </c>
      <c r="G609" s="35">
        <v>0</v>
      </c>
      <c r="H609" s="35">
        <v>0</v>
      </c>
      <c r="I609" s="29">
        <v>1</v>
      </c>
      <c r="J609" s="29">
        <v>1</v>
      </c>
    </row>
    <row r="610" spans="1:10" ht="28.8" x14ac:dyDescent="0.3">
      <c r="A610" s="17" t="s">
        <v>1127</v>
      </c>
      <c r="B610" s="36">
        <v>75000000</v>
      </c>
      <c r="C610" s="36">
        <v>75000000</v>
      </c>
      <c r="D610" s="36">
        <v>75000000</v>
      </c>
      <c r="E610" s="36">
        <v>75000000</v>
      </c>
      <c r="F610" s="36">
        <v>75000000</v>
      </c>
      <c r="G610" s="36">
        <v>0</v>
      </c>
      <c r="H610" s="36">
        <v>0</v>
      </c>
      <c r="I610" s="30">
        <v>1</v>
      </c>
      <c r="J610" s="30">
        <v>1</v>
      </c>
    </row>
    <row r="611" spans="1:10" x14ac:dyDescent="0.3">
      <c r="A611" s="18" t="s">
        <v>1129</v>
      </c>
      <c r="B611" s="37">
        <v>75000000</v>
      </c>
      <c r="C611" s="37">
        <v>75000000</v>
      </c>
      <c r="D611" s="37">
        <v>75000000</v>
      </c>
      <c r="E611" s="37">
        <v>75000000</v>
      </c>
      <c r="F611" s="37">
        <v>75000000</v>
      </c>
      <c r="G611" s="37">
        <v>0</v>
      </c>
      <c r="H611" s="37">
        <v>0</v>
      </c>
      <c r="I611" s="31">
        <v>1</v>
      </c>
      <c r="J611" s="31">
        <v>1</v>
      </c>
    </row>
    <row r="612" spans="1:10" ht="43.2" x14ac:dyDescent="0.3">
      <c r="A612" s="19" t="s">
        <v>1584</v>
      </c>
      <c r="B612" s="38">
        <v>75000000</v>
      </c>
      <c r="C612" s="38">
        <v>75000000</v>
      </c>
      <c r="D612" s="38">
        <v>75000000</v>
      </c>
      <c r="E612" s="38">
        <v>75000000</v>
      </c>
      <c r="F612" s="38">
        <v>75000000</v>
      </c>
      <c r="G612" s="38">
        <v>0</v>
      </c>
      <c r="H612" s="38">
        <v>0</v>
      </c>
      <c r="I612" s="27">
        <v>1</v>
      </c>
      <c r="J612" s="27">
        <v>1</v>
      </c>
    </row>
    <row r="613" spans="1:10" x14ac:dyDescent="0.3">
      <c r="A613" s="17" t="s">
        <v>1080</v>
      </c>
      <c r="B613" s="36">
        <v>90000000</v>
      </c>
      <c r="C613" s="36">
        <v>90000000</v>
      </c>
      <c r="D613" s="36">
        <v>90000000</v>
      </c>
      <c r="E613" s="36">
        <v>90000000</v>
      </c>
      <c r="F613" s="36">
        <v>89550000</v>
      </c>
      <c r="G613" s="36">
        <v>0</v>
      </c>
      <c r="H613" s="36">
        <v>0</v>
      </c>
      <c r="I613" s="30">
        <v>1</v>
      </c>
      <c r="J613" s="30">
        <v>1</v>
      </c>
    </row>
    <row r="614" spans="1:10" x14ac:dyDescent="0.3">
      <c r="A614" s="18" t="s">
        <v>1082</v>
      </c>
      <c r="B614" s="37">
        <v>90000000</v>
      </c>
      <c r="C614" s="37">
        <v>90000000</v>
      </c>
      <c r="D614" s="37">
        <v>90000000</v>
      </c>
      <c r="E614" s="37">
        <v>90000000</v>
      </c>
      <c r="F614" s="37">
        <v>89550000</v>
      </c>
      <c r="G614" s="37">
        <v>0</v>
      </c>
      <c r="H614" s="37">
        <v>0</v>
      </c>
      <c r="I614" s="31">
        <v>1</v>
      </c>
      <c r="J614" s="31">
        <v>1</v>
      </c>
    </row>
    <row r="615" spans="1:10" ht="28.8" x14ac:dyDescent="0.3">
      <c r="A615" s="19" t="s">
        <v>1585</v>
      </c>
      <c r="B615" s="38">
        <v>90000000</v>
      </c>
      <c r="C615" s="38">
        <v>90000000</v>
      </c>
      <c r="D615" s="38">
        <v>90000000</v>
      </c>
      <c r="E615" s="38">
        <v>90000000</v>
      </c>
      <c r="F615" s="38">
        <v>89550000</v>
      </c>
      <c r="G615" s="38">
        <v>0</v>
      </c>
      <c r="H615" s="38">
        <v>0</v>
      </c>
      <c r="I615" s="27">
        <v>1</v>
      </c>
      <c r="J615" s="27">
        <v>1</v>
      </c>
    </row>
    <row r="616" spans="1:10" x14ac:dyDescent="0.3">
      <c r="A616" s="20" t="s">
        <v>1236</v>
      </c>
      <c r="B616" s="39">
        <v>7067634819</v>
      </c>
      <c r="C616" s="39">
        <v>11806690674.370001</v>
      </c>
      <c r="D616" s="39">
        <v>3321834818</v>
      </c>
      <c r="E616" s="39">
        <v>3321834818</v>
      </c>
      <c r="F616" s="39">
        <v>3171834818</v>
      </c>
      <c r="G616" s="39">
        <v>8484855856.3700008</v>
      </c>
      <c r="H616" s="39">
        <v>8484855856.3700008</v>
      </c>
      <c r="I616" s="32">
        <v>0.28135189695543128</v>
      </c>
      <c r="J616" s="32">
        <v>0.28135189695543128</v>
      </c>
    </row>
    <row r="617" spans="1:10" x14ac:dyDescent="0.3">
      <c r="A617" s="16" t="s">
        <v>1026</v>
      </c>
      <c r="B617" s="35">
        <v>7067634819</v>
      </c>
      <c r="C617" s="35">
        <v>11806690674.370001</v>
      </c>
      <c r="D617" s="35">
        <v>3321834818</v>
      </c>
      <c r="E617" s="35">
        <v>3321834818</v>
      </c>
      <c r="F617" s="35">
        <v>3171834818</v>
      </c>
      <c r="G617" s="35">
        <v>8484855856.3700008</v>
      </c>
      <c r="H617" s="35">
        <v>8484855856.3700008</v>
      </c>
      <c r="I617" s="29">
        <v>0.28135189695543128</v>
      </c>
      <c r="J617" s="29">
        <v>0.28135189695543128</v>
      </c>
    </row>
    <row r="618" spans="1:10" x14ac:dyDescent="0.3">
      <c r="A618" s="17" t="s">
        <v>1084</v>
      </c>
      <c r="B618" s="36">
        <v>5767634819</v>
      </c>
      <c r="C618" s="36">
        <v>8935012020.5900002</v>
      </c>
      <c r="D618" s="36">
        <v>3321834818</v>
      </c>
      <c r="E618" s="36">
        <v>3321834818</v>
      </c>
      <c r="F618" s="36">
        <v>3171834818</v>
      </c>
      <c r="G618" s="36">
        <v>5613177202.5900002</v>
      </c>
      <c r="H618" s="36">
        <v>5613177202.5900002</v>
      </c>
      <c r="I618" s="30">
        <v>0.37177731941995207</v>
      </c>
      <c r="J618" s="30">
        <v>0.37177731941995207</v>
      </c>
    </row>
    <row r="619" spans="1:10" ht="28.8" x14ac:dyDescent="0.3">
      <c r="A619" s="18" t="s">
        <v>1096</v>
      </c>
      <c r="B619" s="37">
        <v>2260000000</v>
      </c>
      <c r="C619" s="37">
        <v>2620944284.29</v>
      </c>
      <c r="D619" s="37">
        <v>2260000000</v>
      </c>
      <c r="E619" s="37">
        <v>2260000000</v>
      </c>
      <c r="F619" s="37">
        <v>2260000000</v>
      </c>
      <c r="G619" s="37">
        <v>360944284.28999996</v>
      </c>
      <c r="H619" s="37">
        <v>360944284.28999996</v>
      </c>
      <c r="I619" s="31">
        <v>0.86228464051925546</v>
      </c>
      <c r="J619" s="31">
        <v>0.86228464051925546</v>
      </c>
    </row>
    <row r="620" spans="1:10" ht="28.8" x14ac:dyDescent="0.3">
      <c r="A620" s="19" t="s">
        <v>1586</v>
      </c>
      <c r="B620" s="38">
        <v>260000000</v>
      </c>
      <c r="C620" s="38">
        <v>260000000</v>
      </c>
      <c r="D620" s="38">
        <v>260000000</v>
      </c>
      <c r="E620" s="38">
        <v>260000000</v>
      </c>
      <c r="F620" s="38">
        <v>260000000</v>
      </c>
      <c r="G620" s="38">
        <v>0</v>
      </c>
      <c r="H620" s="38">
        <v>0</v>
      </c>
      <c r="I620" s="27">
        <v>1</v>
      </c>
      <c r="J620" s="27">
        <v>1</v>
      </c>
    </row>
    <row r="621" spans="1:10" ht="28.8" x14ac:dyDescent="0.3">
      <c r="A621" s="19" t="s">
        <v>1587</v>
      </c>
      <c r="B621" s="38">
        <v>1000000000</v>
      </c>
      <c r="C621" s="38">
        <v>1000000000</v>
      </c>
      <c r="D621" s="38">
        <v>1000000000</v>
      </c>
      <c r="E621" s="38">
        <v>1000000000</v>
      </c>
      <c r="F621" s="38">
        <v>1000000000</v>
      </c>
      <c r="G621" s="38">
        <v>0</v>
      </c>
      <c r="H621" s="38">
        <v>0</v>
      </c>
      <c r="I621" s="27">
        <v>1</v>
      </c>
      <c r="J621" s="27">
        <v>1</v>
      </c>
    </row>
    <row r="622" spans="1:10" ht="28.8" x14ac:dyDescent="0.3">
      <c r="A622" s="19" t="s">
        <v>1588</v>
      </c>
      <c r="B622" s="38">
        <v>0</v>
      </c>
      <c r="C622" s="38">
        <v>320944284.29000002</v>
      </c>
      <c r="D622" s="38">
        <v>0</v>
      </c>
      <c r="E622" s="38">
        <v>0</v>
      </c>
      <c r="F622" s="38">
        <v>0</v>
      </c>
      <c r="G622" s="38">
        <v>320944284.29000002</v>
      </c>
      <c r="H622" s="38">
        <v>320944284.29000002</v>
      </c>
      <c r="I622" s="27">
        <v>0</v>
      </c>
      <c r="J622" s="27">
        <v>0</v>
      </c>
    </row>
    <row r="623" spans="1:10" ht="28.8" x14ac:dyDescent="0.3">
      <c r="A623" s="19" t="s">
        <v>1589</v>
      </c>
      <c r="B623" s="38">
        <v>0</v>
      </c>
      <c r="C623" s="38">
        <v>40000000</v>
      </c>
      <c r="D623" s="38">
        <v>0</v>
      </c>
      <c r="E623" s="38">
        <v>0</v>
      </c>
      <c r="F623" s="38">
        <v>0</v>
      </c>
      <c r="G623" s="38">
        <v>40000000</v>
      </c>
      <c r="H623" s="38">
        <v>40000000</v>
      </c>
      <c r="I623" s="27">
        <v>0</v>
      </c>
      <c r="J623" s="27">
        <v>0</v>
      </c>
    </row>
    <row r="624" spans="1:10" ht="28.8" x14ac:dyDescent="0.3">
      <c r="A624" s="19" t="s">
        <v>1590</v>
      </c>
      <c r="B624" s="38">
        <v>1000000000</v>
      </c>
      <c r="C624" s="38">
        <v>1000000000</v>
      </c>
      <c r="D624" s="38">
        <v>1000000000</v>
      </c>
      <c r="E624" s="38">
        <v>1000000000</v>
      </c>
      <c r="F624" s="38">
        <v>1000000000</v>
      </c>
      <c r="G624" s="38">
        <v>0</v>
      </c>
      <c r="H624" s="38">
        <v>0</v>
      </c>
      <c r="I624" s="27">
        <v>1</v>
      </c>
      <c r="J624" s="27">
        <v>1</v>
      </c>
    </row>
    <row r="625" spans="1:10" ht="28.8" x14ac:dyDescent="0.3">
      <c r="A625" s="18" t="s">
        <v>1170</v>
      </c>
      <c r="B625" s="37">
        <v>428834818</v>
      </c>
      <c r="C625" s="37">
        <v>428834818</v>
      </c>
      <c r="D625" s="37">
        <v>361834818</v>
      </c>
      <c r="E625" s="37">
        <v>361834818</v>
      </c>
      <c r="F625" s="37">
        <v>361834818</v>
      </c>
      <c r="G625" s="37">
        <v>67000000</v>
      </c>
      <c r="H625" s="37">
        <v>67000000</v>
      </c>
      <c r="I625" s="31">
        <v>0.84376268626583395</v>
      </c>
      <c r="J625" s="31">
        <v>0.84376268626583395</v>
      </c>
    </row>
    <row r="626" spans="1:10" ht="43.2" x14ac:dyDescent="0.3">
      <c r="A626" s="19" t="s">
        <v>1591</v>
      </c>
      <c r="B626" s="38">
        <v>250000000</v>
      </c>
      <c r="C626" s="38">
        <v>250000000</v>
      </c>
      <c r="D626" s="38">
        <v>183000000</v>
      </c>
      <c r="E626" s="38">
        <v>183000000</v>
      </c>
      <c r="F626" s="38">
        <v>183000000</v>
      </c>
      <c r="G626" s="38">
        <v>67000000</v>
      </c>
      <c r="H626" s="38">
        <v>67000000</v>
      </c>
      <c r="I626" s="27">
        <v>0.73199999999999998</v>
      </c>
      <c r="J626" s="27">
        <v>0.73199999999999998</v>
      </c>
    </row>
    <row r="627" spans="1:10" ht="43.2" x14ac:dyDescent="0.3">
      <c r="A627" s="19" t="s">
        <v>1592</v>
      </c>
      <c r="B627" s="38">
        <v>178834818</v>
      </c>
      <c r="C627" s="38">
        <v>178834818</v>
      </c>
      <c r="D627" s="38">
        <v>178834818</v>
      </c>
      <c r="E627" s="38">
        <v>178834818</v>
      </c>
      <c r="F627" s="38">
        <v>178834818</v>
      </c>
      <c r="G627" s="38">
        <v>0</v>
      </c>
      <c r="H627" s="38">
        <v>0</v>
      </c>
      <c r="I627" s="27">
        <v>1</v>
      </c>
      <c r="J627" s="27">
        <v>1</v>
      </c>
    </row>
    <row r="628" spans="1:10" ht="28.8" x14ac:dyDescent="0.3">
      <c r="A628" s="18" t="s">
        <v>1086</v>
      </c>
      <c r="B628" s="37">
        <v>1200000000</v>
      </c>
      <c r="C628" s="37">
        <v>1799999999.8899999</v>
      </c>
      <c r="D628" s="37">
        <v>300000000</v>
      </c>
      <c r="E628" s="37">
        <v>300000000</v>
      </c>
      <c r="F628" s="37">
        <v>150000000</v>
      </c>
      <c r="G628" s="37">
        <v>1499999999.8899999</v>
      </c>
      <c r="H628" s="37">
        <v>1499999999.8899999</v>
      </c>
      <c r="I628" s="31">
        <v>0.16666666667685187</v>
      </c>
      <c r="J628" s="31">
        <v>0.16666666667685187</v>
      </c>
    </row>
    <row r="629" spans="1:10" ht="28.8" x14ac:dyDescent="0.3">
      <c r="A629" s="19" t="s">
        <v>1593</v>
      </c>
      <c r="B629" s="38">
        <v>1200000000</v>
      </c>
      <c r="C629" s="38">
        <v>1200000000</v>
      </c>
      <c r="D629" s="38">
        <v>300000000</v>
      </c>
      <c r="E629" s="38">
        <v>300000000</v>
      </c>
      <c r="F629" s="38">
        <v>150000000</v>
      </c>
      <c r="G629" s="38">
        <v>900000000</v>
      </c>
      <c r="H629" s="38">
        <v>900000000</v>
      </c>
      <c r="I629" s="27">
        <v>0.25</v>
      </c>
      <c r="J629" s="27">
        <v>0.25</v>
      </c>
    </row>
    <row r="630" spans="1:10" ht="28.8" x14ac:dyDescent="0.3">
      <c r="A630" s="19" t="s">
        <v>1594</v>
      </c>
      <c r="B630" s="38">
        <v>0</v>
      </c>
      <c r="C630" s="38">
        <v>599999999.88999999</v>
      </c>
      <c r="D630" s="38">
        <v>0</v>
      </c>
      <c r="E630" s="38">
        <v>0</v>
      </c>
      <c r="F630" s="38">
        <v>0</v>
      </c>
      <c r="G630" s="38">
        <v>599999999.88999999</v>
      </c>
      <c r="H630" s="38">
        <v>599999999.88999999</v>
      </c>
      <c r="I630" s="27">
        <v>0</v>
      </c>
      <c r="J630" s="27">
        <v>0</v>
      </c>
    </row>
    <row r="631" spans="1:10" ht="28.8" x14ac:dyDescent="0.3">
      <c r="A631" s="18" t="s">
        <v>1090</v>
      </c>
      <c r="B631" s="37">
        <v>78800000</v>
      </c>
      <c r="C631" s="37">
        <v>190398707.96000001</v>
      </c>
      <c r="D631" s="37">
        <v>0</v>
      </c>
      <c r="E631" s="37">
        <v>0</v>
      </c>
      <c r="F631" s="37">
        <v>0</v>
      </c>
      <c r="G631" s="37">
        <v>190398707.96000001</v>
      </c>
      <c r="H631" s="37">
        <v>190398707.96000001</v>
      </c>
      <c r="I631" s="31">
        <v>0</v>
      </c>
      <c r="J631" s="31">
        <v>0</v>
      </c>
    </row>
    <row r="632" spans="1:10" ht="28.8" x14ac:dyDescent="0.3">
      <c r="A632" s="19" t="s">
        <v>1595</v>
      </c>
      <c r="B632" s="38">
        <v>0</v>
      </c>
      <c r="C632" s="38">
        <v>40719600.549999997</v>
      </c>
      <c r="D632" s="38">
        <v>0</v>
      </c>
      <c r="E632" s="38">
        <v>0</v>
      </c>
      <c r="F632" s="38">
        <v>0</v>
      </c>
      <c r="G632" s="38">
        <v>40719600.549999997</v>
      </c>
      <c r="H632" s="38">
        <v>40719600.549999997</v>
      </c>
      <c r="I632" s="27">
        <v>0</v>
      </c>
      <c r="J632" s="27">
        <v>0</v>
      </c>
    </row>
    <row r="633" spans="1:10" ht="28.8" x14ac:dyDescent="0.3">
      <c r="A633" s="19" t="s">
        <v>1596</v>
      </c>
      <c r="B633" s="38">
        <v>78799999</v>
      </c>
      <c r="C633" s="38">
        <v>78799999</v>
      </c>
      <c r="D633" s="38">
        <v>0</v>
      </c>
      <c r="E633" s="38">
        <v>0</v>
      </c>
      <c r="F633" s="38">
        <v>0</v>
      </c>
      <c r="G633" s="38">
        <v>78799999</v>
      </c>
      <c r="H633" s="38">
        <v>78799999</v>
      </c>
      <c r="I633" s="27">
        <v>0</v>
      </c>
      <c r="J633" s="27">
        <v>0</v>
      </c>
    </row>
    <row r="634" spans="1:10" ht="28.8" x14ac:dyDescent="0.3">
      <c r="A634" s="19" t="s">
        <v>1597</v>
      </c>
      <c r="B634" s="38">
        <v>0</v>
      </c>
      <c r="C634" s="38">
        <v>48000000</v>
      </c>
      <c r="D634" s="38">
        <v>0</v>
      </c>
      <c r="E634" s="38">
        <v>0</v>
      </c>
      <c r="F634" s="38">
        <v>0</v>
      </c>
      <c r="G634" s="38">
        <v>48000000</v>
      </c>
      <c r="H634" s="38">
        <v>48000000</v>
      </c>
      <c r="I634" s="27">
        <v>0</v>
      </c>
      <c r="J634" s="27">
        <v>0</v>
      </c>
    </row>
    <row r="635" spans="1:10" ht="28.8" x14ac:dyDescent="0.3">
      <c r="A635" s="19" t="s">
        <v>1598</v>
      </c>
      <c r="B635" s="38">
        <v>1</v>
      </c>
      <c r="C635" s="38">
        <v>1</v>
      </c>
      <c r="D635" s="38">
        <v>0</v>
      </c>
      <c r="E635" s="38">
        <v>0</v>
      </c>
      <c r="F635" s="38">
        <v>0</v>
      </c>
      <c r="G635" s="38">
        <v>1</v>
      </c>
      <c r="H635" s="38">
        <v>1</v>
      </c>
      <c r="I635" s="27">
        <v>0</v>
      </c>
      <c r="J635" s="27">
        <v>0</v>
      </c>
    </row>
    <row r="636" spans="1:10" ht="28.8" x14ac:dyDescent="0.3">
      <c r="A636" s="19" t="s">
        <v>1599</v>
      </c>
      <c r="B636" s="38">
        <v>0</v>
      </c>
      <c r="C636" s="38">
        <v>22879107.41</v>
      </c>
      <c r="D636" s="38">
        <v>0</v>
      </c>
      <c r="E636" s="38">
        <v>0</v>
      </c>
      <c r="F636" s="38">
        <v>0</v>
      </c>
      <c r="G636" s="38">
        <v>22879107.41</v>
      </c>
      <c r="H636" s="38">
        <v>22879107.41</v>
      </c>
      <c r="I636" s="27">
        <v>0</v>
      </c>
      <c r="J636" s="27">
        <v>0</v>
      </c>
    </row>
    <row r="637" spans="1:10" ht="28.8" x14ac:dyDescent="0.3">
      <c r="A637" s="18" t="s">
        <v>1168</v>
      </c>
      <c r="B637" s="37">
        <v>1400000001</v>
      </c>
      <c r="C637" s="37">
        <v>2571112282.8499999</v>
      </c>
      <c r="D637" s="37">
        <v>0</v>
      </c>
      <c r="E637" s="37">
        <v>0</v>
      </c>
      <c r="F637" s="37">
        <v>0</v>
      </c>
      <c r="G637" s="37">
        <v>2571112282.8499999</v>
      </c>
      <c r="H637" s="37">
        <v>2571112282.8499999</v>
      </c>
      <c r="I637" s="31">
        <v>0</v>
      </c>
      <c r="J637" s="31">
        <v>0</v>
      </c>
    </row>
    <row r="638" spans="1:10" ht="28.8" x14ac:dyDescent="0.3">
      <c r="A638" s="19" t="s">
        <v>1600</v>
      </c>
      <c r="B638" s="38">
        <v>1400000001</v>
      </c>
      <c r="C638" s="38">
        <v>1400000001</v>
      </c>
      <c r="D638" s="38">
        <v>0</v>
      </c>
      <c r="E638" s="38">
        <v>0</v>
      </c>
      <c r="F638" s="38">
        <v>0</v>
      </c>
      <c r="G638" s="38">
        <v>1400000001</v>
      </c>
      <c r="H638" s="38">
        <v>1400000001</v>
      </c>
      <c r="I638" s="27">
        <v>0</v>
      </c>
      <c r="J638" s="27">
        <v>0</v>
      </c>
    </row>
    <row r="639" spans="1:10" ht="28.8" x14ac:dyDescent="0.3">
      <c r="A639" s="19" t="s">
        <v>1601</v>
      </c>
      <c r="B639" s="38">
        <v>0</v>
      </c>
      <c r="C639" s="38">
        <v>1171112281.8499999</v>
      </c>
      <c r="D639" s="38">
        <v>0</v>
      </c>
      <c r="E639" s="38">
        <v>0</v>
      </c>
      <c r="F639" s="38">
        <v>0</v>
      </c>
      <c r="G639" s="38">
        <v>1171112281.8499999</v>
      </c>
      <c r="H639" s="38">
        <v>1171112281.8499999</v>
      </c>
      <c r="I639" s="27">
        <v>0</v>
      </c>
      <c r="J639" s="27">
        <v>0</v>
      </c>
    </row>
    <row r="640" spans="1:10" ht="28.8" x14ac:dyDescent="0.3">
      <c r="A640" s="18" t="s">
        <v>1085</v>
      </c>
      <c r="B640" s="37">
        <v>150000000</v>
      </c>
      <c r="C640" s="37">
        <v>150000000</v>
      </c>
      <c r="D640" s="37">
        <v>150000000</v>
      </c>
      <c r="E640" s="37">
        <v>150000000</v>
      </c>
      <c r="F640" s="37">
        <v>150000000</v>
      </c>
      <c r="G640" s="37">
        <v>0</v>
      </c>
      <c r="H640" s="37">
        <v>0</v>
      </c>
      <c r="I640" s="31">
        <v>1</v>
      </c>
      <c r="J640" s="31">
        <v>1</v>
      </c>
    </row>
    <row r="641" spans="1:10" ht="43.2" x14ac:dyDescent="0.3">
      <c r="A641" s="19" t="s">
        <v>1602</v>
      </c>
      <c r="B641" s="38">
        <v>150000000</v>
      </c>
      <c r="C641" s="38">
        <v>150000000</v>
      </c>
      <c r="D641" s="38">
        <v>150000000</v>
      </c>
      <c r="E641" s="38">
        <v>150000000</v>
      </c>
      <c r="F641" s="38">
        <v>150000000</v>
      </c>
      <c r="G641" s="38">
        <v>0</v>
      </c>
      <c r="H641" s="38">
        <v>0</v>
      </c>
      <c r="I641" s="27">
        <v>1</v>
      </c>
      <c r="J641" s="27">
        <v>1</v>
      </c>
    </row>
    <row r="642" spans="1:10" ht="28.8" x14ac:dyDescent="0.3">
      <c r="A642" s="18" t="s">
        <v>1180</v>
      </c>
      <c r="B642" s="37">
        <v>250000000</v>
      </c>
      <c r="C642" s="37">
        <v>1173721927.5999999</v>
      </c>
      <c r="D642" s="37">
        <v>250000000</v>
      </c>
      <c r="E642" s="37">
        <v>250000000</v>
      </c>
      <c r="F642" s="37">
        <v>250000000</v>
      </c>
      <c r="G642" s="37">
        <v>923721927.5999999</v>
      </c>
      <c r="H642" s="37">
        <v>923721927.5999999</v>
      </c>
      <c r="I642" s="31">
        <v>0.21299763949302231</v>
      </c>
      <c r="J642" s="31">
        <v>0.21299763949302231</v>
      </c>
    </row>
    <row r="643" spans="1:10" ht="28.8" x14ac:dyDescent="0.3">
      <c r="A643" s="19" t="s">
        <v>1603</v>
      </c>
      <c r="B643" s="38">
        <v>250000000</v>
      </c>
      <c r="C643" s="38">
        <v>250000000</v>
      </c>
      <c r="D643" s="38">
        <v>250000000</v>
      </c>
      <c r="E643" s="38">
        <v>250000000</v>
      </c>
      <c r="F643" s="38">
        <v>250000000</v>
      </c>
      <c r="G643" s="38">
        <v>0</v>
      </c>
      <c r="H643" s="38">
        <v>0</v>
      </c>
      <c r="I643" s="27">
        <v>1</v>
      </c>
      <c r="J643" s="27">
        <v>1</v>
      </c>
    </row>
    <row r="644" spans="1:10" ht="28.8" x14ac:dyDescent="0.3">
      <c r="A644" s="19" t="s">
        <v>1604</v>
      </c>
      <c r="B644" s="38">
        <v>0</v>
      </c>
      <c r="C644" s="38">
        <v>923721927.60000002</v>
      </c>
      <c r="D644" s="38">
        <v>0</v>
      </c>
      <c r="E644" s="38">
        <v>0</v>
      </c>
      <c r="F644" s="38">
        <v>0</v>
      </c>
      <c r="G644" s="38">
        <v>923721927.60000002</v>
      </c>
      <c r="H644" s="38">
        <v>923721927.60000002</v>
      </c>
      <c r="I644" s="27">
        <v>0</v>
      </c>
      <c r="J644" s="27">
        <v>0</v>
      </c>
    </row>
    <row r="645" spans="1:10" x14ac:dyDescent="0.3">
      <c r="A645" s="17" t="s">
        <v>1091</v>
      </c>
      <c r="B645" s="36">
        <v>1300000000</v>
      </c>
      <c r="C645" s="36">
        <v>2871678653.7799997</v>
      </c>
      <c r="D645" s="36">
        <v>0</v>
      </c>
      <c r="E645" s="36">
        <v>0</v>
      </c>
      <c r="F645" s="36">
        <v>0</v>
      </c>
      <c r="G645" s="36">
        <v>2871678653.7799997</v>
      </c>
      <c r="H645" s="36">
        <v>2871678653.7799997</v>
      </c>
      <c r="I645" s="30">
        <v>0</v>
      </c>
      <c r="J645" s="30">
        <v>0</v>
      </c>
    </row>
    <row r="646" spans="1:10" ht="28.8" x14ac:dyDescent="0.3">
      <c r="A646" s="18" t="s">
        <v>1092</v>
      </c>
      <c r="B646" s="37">
        <v>1300000000</v>
      </c>
      <c r="C646" s="37">
        <v>2871678653.7799997</v>
      </c>
      <c r="D646" s="37">
        <v>0</v>
      </c>
      <c r="E646" s="37">
        <v>0</v>
      </c>
      <c r="F646" s="37">
        <v>0</v>
      </c>
      <c r="G646" s="37">
        <v>2871678653.7799997</v>
      </c>
      <c r="H646" s="37">
        <v>2871678653.7799997</v>
      </c>
      <c r="I646" s="31">
        <v>0</v>
      </c>
      <c r="J646" s="31">
        <v>0</v>
      </c>
    </row>
    <row r="647" spans="1:10" ht="43.2" x14ac:dyDescent="0.3">
      <c r="A647" s="19" t="s">
        <v>1605</v>
      </c>
      <c r="B647" s="38">
        <v>0</v>
      </c>
      <c r="C647" s="38">
        <v>1571678653.78</v>
      </c>
      <c r="D647" s="38">
        <v>0</v>
      </c>
      <c r="E647" s="38">
        <v>0</v>
      </c>
      <c r="F647" s="38">
        <v>0</v>
      </c>
      <c r="G647" s="38">
        <v>1571678653.78</v>
      </c>
      <c r="H647" s="38">
        <v>1571678653.78</v>
      </c>
      <c r="I647" s="27">
        <v>0</v>
      </c>
      <c r="J647" s="27">
        <v>0</v>
      </c>
    </row>
    <row r="648" spans="1:10" ht="28.8" x14ac:dyDescent="0.3">
      <c r="A648" s="19" t="s">
        <v>1606</v>
      </c>
      <c r="B648" s="38">
        <v>1300000000</v>
      </c>
      <c r="C648" s="38">
        <v>1300000000</v>
      </c>
      <c r="D648" s="38">
        <v>0</v>
      </c>
      <c r="E648" s="38">
        <v>0</v>
      </c>
      <c r="F648" s="38">
        <v>0</v>
      </c>
      <c r="G648" s="38">
        <v>1300000000</v>
      </c>
      <c r="H648" s="38">
        <v>1300000000</v>
      </c>
      <c r="I648" s="27">
        <v>0</v>
      </c>
      <c r="J648" s="27">
        <v>0</v>
      </c>
    </row>
    <row r="649" spans="1:10" x14ac:dyDescent="0.3">
      <c r="A649" s="20" t="s">
        <v>1237</v>
      </c>
      <c r="B649" s="39">
        <v>5931940766</v>
      </c>
      <c r="C649" s="39">
        <v>11420158527.880001</v>
      </c>
      <c r="D649" s="39">
        <v>6469549249.5900002</v>
      </c>
      <c r="E649" s="39">
        <v>6469549249.5900002</v>
      </c>
      <c r="F649" s="39">
        <v>6400755773.5900002</v>
      </c>
      <c r="G649" s="39">
        <v>4948106298.6900015</v>
      </c>
      <c r="H649" s="39">
        <v>4950609278.2900009</v>
      </c>
      <c r="I649" s="32">
        <v>0.56672175026202976</v>
      </c>
      <c r="J649" s="32">
        <v>0.56650257820816652</v>
      </c>
    </row>
    <row r="650" spans="1:10" x14ac:dyDescent="0.3">
      <c r="A650" s="16" t="s">
        <v>1018</v>
      </c>
      <c r="B650" s="35">
        <v>5931940766</v>
      </c>
      <c r="C650" s="35">
        <v>11420158527.880001</v>
      </c>
      <c r="D650" s="35">
        <v>6469549249.5900002</v>
      </c>
      <c r="E650" s="35">
        <v>6469549249.5900002</v>
      </c>
      <c r="F650" s="35">
        <v>6400755773.5900002</v>
      </c>
      <c r="G650" s="35">
        <v>4948106298.6900015</v>
      </c>
      <c r="H650" s="35">
        <v>4950609278.2900009</v>
      </c>
      <c r="I650" s="29">
        <v>0.56672175026202976</v>
      </c>
      <c r="J650" s="29">
        <v>0.56650257820816652</v>
      </c>
    </row>
    <row r="651" spans="1:10" x14ac:dyDescent="0.3">
      <c r="A651" s="17" t="s">
        <v>1021</v>
      </c>
      <c r="B651" s="36">
        <v>5931940766</v>
      </c>
      <c r="C651" s="36">
        <v>11420158527.880001</v>
      </c>
      <c r="D651" s="36">
        <v>6469549249.5900002</v>
      </c>
      <c r="E651" s="36">
        <v>6469549249.5900002</v>
      </c>
      <c r="F651" s="36">
        <v>6400755773.5900002</v>
      </c>
      <c r="G651" s="36">
        <v>4948106298.6900015</v>
      </c>
      <c r="H651" s="36">
        <v>4950609278.2900009</v>
      </c>
      <c r="I651" s="30">
        <v>0.56672175026202976</v>
      </c>
      <c r="J651" s="30">
        <v>0.56650257820816652</v>
      </c>
    </row>
    <row r="652" spans="1:10" x14ac:dyDescent="0.3">
      <c r="A652" s="18" t="s">
        <v>1209</v>
      </c>
      <c r="B652" s="37">
        <v>1444666499</v>
      </c>
      <c r="C652" s="37">
        <v>2143358774.8800001</v>
      </c>
      <c r="D652" s="37">
        <v>352539099</v>
      </c>
      <c r="E652" s="37">
        <v>352539099</v>
      </c>
      <c r="F652" s="37">
        <v>283745623</v>
      </c>
      <c r="G652" s="37">
        <v>1790819675.8800001</v>
      </c>
      <c r="H652" s="37">
        <v>1790819675.8800001</v>
      </c>
      <c r="I652" s="31">
        <v>0.16447974232393153</v>
      </c>
      <c r="J652" s="31">
        <v>0.16447974232393153</v>
      </c>
    </row>
    <row r="653" spans="1:10" ht="28.8" x14ac:dyDescent="0.3">
      <c r="A653" s="19" t="s">
        <v>1607</v>
      </c>
      <c r="B653" s="38">
        <v>1444666499</v>
      </c>
      <c r="C653" s="38">
        <v>1444666499</v>
      </c>
      <c r="D653" s="38">
        <v>0</v>
      </c>
      <c r="E653" s="38">
        <v>0</v>
      </c>
      <c r="F653" s="38">
        <v>0</v>
      </c>
      <c r="G653" s="38">
        <v>1444666499</v>
      </c>
      <c r="H653" s="38">
        <v>1444666499</v>
      </c>
      <c r="I653" s="27">
        <v>0</v>
      </c>
      <c r="J653" s="27">
        <v>0</v>
      </c>
    </row>
    <row r="654" spans="1:10" ht="28.8" x14ac:dyDescent="0.3">
      <c r="A654" s="19" t="s">
        <v>1608</v>
      </c>
      <c r="B654" s="38">
        <v>0</v>
      </c>
      <c r="C654" s="38">
        <v>698692275.88</v>
      </c>
      <c r="D654" s="38">
        <v>352539099</v>
      </c>
      <c r="E654" s="38">
        <v>352539099</v>
      </c>
      <c r="F654" s="38">
        <v>283745623</v>
      </c>
      <c r="G654" s="38">
        <v>346153176.88</v>
      </c>
      <c r="H654" s="38">
        <v>346153176.88</v>
      </c>
      <c r="I654" s="27">
        <v>0.50456991034569332</v>
      </c>
      <c r="J654" s="27">
        <v>0.50456991034569332</v>
      </c>
    </row>
    <row r="655" spans="1:10" x14ac:dyDescent="0.3">
      <c r="A655" s="18" t="s">
        <v>1152</v>
      </c>
      <c r="B655" s="37">
        <v>300000000</v>
      </c>
      <c r="C655" s="37">
        <v>300000000</v>
      </c>
      <c r="D655" s="37">
        <v>300000000</v>
      </c>
      <c r="E655" s="37">
        <v>300000000</v>
      </c>
      <c r="F655" s="37">
        <v>300000000</v>
      </c>
      <c r="G655" s="37">
        <v>0</v>
      </c>
      <c r="H655" s="37">
        <v>0</v>
      </c>
      <c r="I655" s="31">
        <v>1</v>
      </c>
      <c r="J655" s="31">
        <v>1</v>
      </c>
    </row>
    <row r="656" spans="1:10" ht="28.8" x14ac:dyDescent="0.3">
      <c r="A656" s="19" t="s">
        <v>1609</v>
      </c>
      <c r="B656" s="38">
        <v>300000000</v>
      </c>
      <c r="C656" s="38">
        <v>300000000</v>
      </c>
      <c r="D656" s="38">
        <v>300000000</v>
      </c>
      <c r="E656" s="38">
        <v>300000000</v>
      </c>
      <c r="F656" s="38">
        <v>300000000</v>
      </c>
      <c r="G656" s="38">
        <v>0</v>
      </c>
      <c r="H656" s="38">
        <v>0</v>
      </c>
      <c r="I656" s="27">
        <v>1</v>
      </c>
      <c r="J656" s="27">
        <v>1</v>
      </c>
    </row>
    <row r="657" spans="1:10" ht="28.8" x14ac:dyDescent="0.3">
      <c r="A657" s="18" t="s">
        <v>1155</v>
      </c>
      <c r="B657" s="37">
        <v>2529106804</v>
      </c>
      <c r="C657" s="37">
        <v>4295011580</v>
      </c>
      <c r="D657" s="37">
        <v>2500253520.96</v>
      </c>
      <c r="E657" s="37">
        <v>2500253520.96</v>
      </c>
      <c r="F657" s="37">
        <v>2500253520.96</v>
      </c>
      <c r="G657" s="37">
        <v>1794758059.04</v>
      </c>
      <c r="H657" s="37">
        <v>1794758059.04</v>
      </c>
      <c r="I657" s="31">
        <v>0.58212963443511834</v>
      </c>
      <c r="J657" s="31">
        <v>0.58212963443511834</v>
      </c>
    </row>
    <row r="658" spans="1:10" ht="28.8" x14ac:dyDescent="0.3">
      <c r="A658" s="19" t="s">
        <v>1610</v>
      </c>
      <c r="B658" s="38">
        <v>0</v>
      </c>
      <c r="C658" s="38">
        <v>1765904776</v>
      </c>
      <c r="D658" s="38">
        <v>0</v>
      </c>
      <c r="E658" s="38">
        <v>0</v>
      </c>
      <c r="F658" s="38">
        <v>0</v>
      </c>
      <c r="G658" s="38">
        <v>1765904776</v>
      </c>
      <c r="H658" s="38">
        <v>1765904776</v>
      </c>
      <c r="I658" s="27">
        <v>0</v>
      </c>
      <c r="J658" s="27">
        <v>0</v>
      </c>
    </row>
    <row r="659" spans="1:10" ht="28.8" x14ac:dyDescent="0.3">
      <c r="A659" s="19" t="s">
        <v>1611</v>
      </c>
      <c r="B659" s="38">
        <v>2529106804</v>
      </c>
      <c r="C659" s="38">
        <v>2529106804</v>
      </c>
      <c r="D659" s="38">
        <v>2500253520.96</v>
      </c>
      <c r="E659" s="38">
        <v>2500253520.96</v>
      </c>
      <c r="F659" s="38">
        <v>2500253520.96</v>
      </c>
      <c r="G659" s="38">
        <v>28853283.039999962</v>
      </c>
      <c r="H659" s="38">
        <v>28853283.039999962</v>
      </c>
      <c r="I659" s="27">
        <v>0.98859151262636835</v>
      </c>
      <c r="J659" s="27">
        <v>0.98859151262636835</v>
      </c>
    </row>
    <row r="660" spans="1:10" ht="28.8" x14ac:dyDescent="0.3">
      <c r="A660" s="18" t="s">
        <v>1165</v>
      </c>
      <c r="B660" s="37">
        <v>1658167463</v>
      </c>
      <c r="C660" s="37">
        <v>4681788173</v>
      </c>
      <c r="D660" s="37">
        <v>3316756629.6300001</v>
      </c>
      <c r="E660" s="37">
        <v>3316756629.6300001</v>
      </c>
      <c r="F660" s="37">
        <v>3316756629.6300001</v>
      </c>
      <c r="G660" s="37">
        <v>1362528563.77</v>
      </c>
      <c r="H660" s="37">
        <v>1365031543.3699999</v>
      </c>
      <c r="I660" s="31">
        <v>0.70897261614104212</v>
      </c>
      <c r="J660" s="31">
        <v>0.70843799571237032</v>
      </c>
    </row>
    <row r="661" spans="1:10" ht="28.8" x14ac:dyDescent="0.3">
      <c r="A661" s="19" t="s">
        <v>1612</v>
      </c>
      <c r="B661" s="38">
        <v>1658167463</v>
      </c>
      <c r="C661" s="38">
        <v>1658167463</v>
      </c>
      <c r="D661" s="38">
        <v>1503269528.6299999</v>
      </c>
      <c r="E661" s="38">
        <v>1503269528.6299999</v>
      </c>
      <c r="F661" s="38">
        <v>1503269528.6299999</v>
      </c>
      <c r="G661" s="38">
        <v>152394954.76999998</v>
      </c>
      <c r="H661" s="38">
        <v>154897934.37000012</v>
      </c>
      <c r="I661" s="27">
        <v>0.9080943522469781</v>
      </c>
      <c r="J661" s="27">
        <v>0.90658486683259676</v>
      </c>
    </row>
    <row r="662" spans="1:10" ht="28.8" x14ac:dyDescent="0.3">
      <c r="A662" s="19" t="s">
        <v>1613</v>
      </c>
      <c r="B662" s="38">
        <v>0</v>
      </c>
      <c r="C662" s="38">
        <v>1210133609</v>
      </c>
      <c r="D662" s="38">
        <v>0</v>
      </c>
      <c r="E662" s="38">
        <v>0</v>
      </c>
      <c r="F662" s="38">
        <v>0</v>
      </c>
      <c r="G662" s="38">
        <v>1210133609</v>
      </c>
      <c r="H662" s="38">
        <v>1210133609</v>
      </c>
      <c r="I662" s="27">
        <v>0</v>
      </c>
      <c r="J662" s="27">
        <v>0</v>
      </c>
    </row>
    <row r="663" spans="1:10" ht="28.8" x14ac:dyDescent="0.3">
      <c r="A663" s="19" t="s">
        <v>1614</v>
      </c>
      <c r="B663" s="38">
        <v>0</v>
      </c>
      <c r="C663" s="38">
        <v>1813487101</v>
      </c>
      <c r="D663" s="38">
        <v>1813487101</v>
      </c>
      <c r="E663" s="38">
        <v>1813487101</v>
      </c>
      <c r="F663" s="38">
        <v>1813487101</v>
      </c>
      <c r="G663" s="38">
        <v>0</v>
      </c>
      <c r="H663" s="38">
        <v>0</v>
      </c>
      <c r="I663" s="27">
        <v>1</v>
      </c>
      <c r="J663" s="27">
        <v>1</v>
      </c>
    </row>
    <row r="664" spans="1:10" x14ac:dyDescent="0.3">
      <c r="A664" s="20" t="s">
        <v>1238</v>
      </c>
      <c r="B664" s="39">
        <v>11998162744.85</v>
      </c>
      <c r="C664" s="39">
        <v>15120710445.690001</v>
      </c>
      <c r="D664" s="39">
        <v>8819339441.7099991</v>
      </c>
      <c r="E664" s="39">
        <v>4921223889.1800003</v>
      </c>
      <c r="F664" s="39">
        <v>4425451796.6800003</v>
      </c>
      <c r="G664" s="39">
        <v>6234672003.8299999</v>
      </c>
      <c r="H664" s="39">
        <v>6301371003.9800014</v>
      </c>
      <c r="I664" s="32">
        <v>0.58767334205469646</v>
      </c>
      <c r="J664" s="32">
        <v>0.58326223978608482</v>
      </c>
    </row>
    <row r="665" spans="1:10" x14ac:dyDescent="0.3">
      <c r="A665" s="16" t="s">
        <v>1018</v>
      </c>
      <c r="B665" s="35">
        <v>11998162744.85</v>
      </c>
      <c r="C665" s="35">
        <v>15120710445.690001</v>
      </c>
      <c r="D665" s="35">
        <v>8819339441.7099991</v>
      </c>
      <c r="E665" s="35">
        <v>4921223889.1800003</v>
      </c>
      <c r="F665" s="35">
        <v>4425451796.6800003</v>
      </c>
      <c r="G665" s="35">
        <v>6234672003.8299999</v>
      </c>
      <c r="H665" s="35">
        <v>6301371003.9800014</v>
      </c>
      <c r="I665" s="29">
        <v>0.58767334205469646</v>
      </c>
      <c r="J665" s="29">
        <v>0.58326223978608482</v>
      </c>
    </row>
    <row r="666" spans="1:10" x14ac:dyDescent="0.3">
      <c r="A666" s="17" t="s">
        <v>1019</v>
      </c>
      <c r="B666" s="36">
        <v>11998162744.85</v>
      </c>
      <c r="C666" s="36">
        <v>15120710445.690001</v>
      </c>
      <c r="D666" s="36">
        <v>8819339441.7099991</v>
      </c>
      <c r="E666" s="36">
        <v>4921223889.1800003</v>
      </c>
      <c r="F666" s="36">
        <v>4425451796.6800003</v>
      </c>
      <c r="G666" s="36">
        <v>6234672003.8299999</v>
      </c>
      <c r="H666" s="36">
        <v>6301371003.9800014</v>
      </c>
      <c r="I666" s="30">
        <v>0.58767334205469646</v>
      </c>
      <c r="J666" s="30">
        <v>0.58326223978608482</v>
      </c>
    </row>
    <row r="667" spans="1:10" ht="28.8" x14ac:dyDescent="0.3">
      <c r="A667" s="18" t="s">
        <v>1020</v>
      </c>
      <c r="B667" s="37">
        <v>11998162744.85</v>
      </c>
      <c r="C667" s="37">
        <v>15120710445.690001</v>
      </c>
      <c r="D667" s="37">
        <v>8819339441.7099991</v>
      </c>
      <c r="E667" s="37">
        <v>4921223889.1800003</v>
      </c>
      <c r="F667" s="37">
        <v>4425451796.6800003</v>
      </c>
      <c r="G667" s="37">
        <v>6234672003.8299999</v>
      </c>
      <c r="H667" s="37">
        <v>6301371003.9800014</v>
      </c>
      <c r="I667" s="31">
        <v>0.58767334205469646</v>
      </c>
      <c r="J667" s="31">
        <v>0.58326223978608482</v>
      </c>
    </row>
    <row r="668" spans="1:10" ht="28.8" x14ac:dyDescent="0.3">
      <c r="A668" s="19" t="s">
        <v>1615</v>
      </c>
      <c r="B668" s="38">
        <v>11998162744.85</v>
      </c>
      <c r="C668" s="38">
        <v>4366672003.8299999</v>
      </c>
      <c r="D668" s="38">
        <v>1031524239.5</v>
      </c>
      <c r="E668" s="38">
        <v>970505977.5</v>
      </c>
      <c r="F668" s="38">
        <v>970505977.5</v>
      </c>
      <c r="G668" s="38">
        <v>3334672003.8299999</v>
      </c>
      <c r="H668" s="38">
        <v>3335147764.3299999</v>
      </c>
      <c r="I668" s="27">
        <v>0.23633558900115115</v>
      </c>
      <c r="J668" s="27">
        <v>0.23622663634805913</v>
      </c>
    </row>
    <row r="669" spans="1:10" ht="43.2" x14ac:dyDescent="0.3">
      <c r="A669" s="19" t="s">
        <v>1616</v>
      </c>
      <c r="B669" s="38">
        <v>0</v>
      </c>
      <c r="C669" s="38">
        <v>200000000</v>
      </c>
      <c r="D669" s="38">
        <v>0</v>
      </c>
      <c r="E669" s="38">
        <v>0</v>
      </c>
      <c r="F669" s="38">
        <v>0</v>
      </c>
      <c r="G669" s="38">
        <v>200000000</v>
      </c>
      <c r="H669" s="38">
        <v>200000000</v>
      </c>
      <c r="I669" s="27">
        <v>0</v>
      </c>
      <c r="J669" s="27">
        <v>0</v>
      </c>
    </row>
    <row r="670" spans="1:10" ht="57.6" x14ac:dyDescent="0.3">
      <c r="A670" s="19" t="s">
        <v>1617</v>
      </c>
      <c r="B670" s="38">
        <v>0</v>
      </c>
      <c r="C670" s="38">
        <v>300000000</v>
      </c>
      <c r="D670" s="38">
        <v>292367850</v>
      </c>
      <c r="E670" s="38">
        <v>292367850</v>
      </c>
      <c r="F670" s="38">
        <v>292367850</v>
      </c>
      <c r="G670" s="38">
        <v>0</v>
      </c>
      <c r="H670" s="38">
        <v>7632150</v>
      </c>
      <c r="I670" s="27">
        <v>1</v>
      </c>
      <c r="J670" s="27">
        <v>0.97455950000000002</v>
      </c>
    </row>
    <row r="671" spans="1:10" ht="43.2" x14ac:dyDescent="0.3">
      <c r="A671" s="19" t="s">
        <v>1618</v>
      </c>
      <c r="B671" s="38">
        <v>0</v>
      </c>
      <c r="C671" s="38">
        <v>200000000</v>
      </c>
      <c r="D671" s="38">
        <v>200000000</v>
      </c>
      <c r="E671" s="38">
        <v>0</v>
      </c>
      <c r="F671" s="38">
        <v>0</v>
      </c>
      <c r="G671" s="38">
        <v>0</v>
      </c>
      <c r="H671" s="38">
        <v>0</v>
      </c>
      <c r="I671" s="27">
        <v>1</v>
      </c>
      <c r="J671" s="27">
        <v>1</v>
      </c>
    </row>
    <row r="672" spans="1:10" ht="43.2" x14ac:dyDescent="0.3">
      <c r="A672" s="19" t="s">
        <v>1619</v>
      </c>
      <c r="B672" s="38">
        <v>0</v>
      </c>
      <c r="C672" s="38">
        <v>400000000</v>
      </c>
      <c r="D672" s="38">
        <v>388031946</v>
      </c>
      <c r="E672" s="38">
        <v>388031946</v>
      </c>
      <c r="F672" s="38">
        <v>388031946</v>
      </c>
      <c r="G672" s="38">
        <v>0</v>
      </c>
      <c r="H672" s="38">
        <v>11968054</v>
      </c>
      <c r="I672" s="27">
        <v>1</v>
      </c>
      <c r="J672" s="27">
        <v>0.97007986499999999</v>
      </c>
    </row>
    <row r="673" spans="1:10" ht="57.6" x14ac:dyDescent="0.3">
      <c r="A673" s="19" t="s">
        <v>1620</v>
      </c>
      <c r="B673" s="38">
        <v>0</v>
      </c>
      <c r="C673" s="38">
        <v>400000000</v>
      </c>
      <c r="D673" s="38">
        <v>400000000</v>
      </c>
      <c r="E673" s="38">
        <v>0</v>
      </c>
      <c r="F673" s="38">
        <v>0</v>
      </c>
      <c r="G673" s="38">
        <v>0</v>
      </c>
      <c r="H673" s="38">
        <v>0</v>
      </c>
      <c r="I673" s="27">
        <v>1</v>
      </c>
      <c r="J673" s="27">
        <v>1</v>
      </c>
    </row>
    <row r="674" spans="1:10" ht="57.6" x14ac:dyDescent="0.3">
      <c r="A674" s="19" t="s">
        <v>1621</v>
      </c>
      <c r="B674" s="38">
        <v>0</v>
      </c>
      <c r="C674" s="38">
        <v>400000000</v>
      </c>
      <c r="D674" s="38">
        <v>400000000</v>
      </c>
      <c r="E674" s="38">
        <v>400000000</v>
      </c>
      <c r="F674" s="38">
        <v>400000000</v>
      </c>
      <c r="G674" s="38">
        <v>0</v>
      </c>
      <c r="H674" s="38">
        <v>0</v>
      </c>
      <c r="I674" s="27">
        <v>1</v>
      </c>
      <c r="J674" s="27">
        <v>1</v>
      </c>
    </row>
    <row r="675" spans="1:10" ht="43.2" x14ac:dyDescent="0.3">
      <c r="A675" s="19" t="s">
        <v>1622</v>
      </c>
      <c r="B675" s="38">
        <v>0</v>
      </c>
      <c r="C675" s="38">
        <v>800000000</v>
      </c>
      <c r="D675" s="38">
        <v>789200000</v>
      </c>
      <c r="E675" s="38">
        <v>789200000</v>
      </c>
      <c r="F675" s="38">
        <v>789200000</v>
      </c>
      <c r="G675" s="38">
        <v>0</v>
      </c>
      <c r="H675" s="38">
        <v>10800000</v>
      </c>
      <c r="I675" s="27">
        <v>1</v>
      </c>
      <c r="J675" s="27">
        <v>0.98650000000000004</v>
      </c>
    </row>
    <row r="676" spans="1:10" ht="28.8" x14ac:dyDescent="0.3">
      <c r="A676" s="19" t="s">
        <v>1623</v>
      </c>
      <c r="B676" s="38">
        <v>0</v>
      </c>
      <c r="C676" s="38">
        <v>400000000</v>
      </c>
      <c r="D676" s="38">
        <v>388279550</v>
      </c>
      <c r="E676" s="38">
        <v>388279550</v>
      </c>
      <c r="F676" s="38">
        <v>388279550</v>
      </c>
      <c r="G676" s="38">
        <v>0</v>
      </c>
      <c r="H676" s="38">
        <v>11720450</v>
      </c>
      <c r="I676" s="27">
        <v>1</v>
      </c>
      <c r="J676" s="27">
        <v>0.97069887499999996</v>
      </c>
    </row>
    <row r="677" spans="1:10" ht="43.2" x14ac:dyDescent="0.3">
      <c r="A677" s="19" t="s">
        <v>1624</v>
      </c>
      <c r="B677" s="38">
        <v>0</v>
      </c>
      <c r="C677" s="38">
        <v>400000000</v>
      </c>
      <c r="D677" s="38">
        <v>400000000</v>
      </c>
      <c r="E677" s="38">
        <v>400000000</v>
      </c>
      <c r="F677" s="38">
        <v>400000000</v>
      </c>
      <c r="G677" s="38">
        <v>0</v>
      </c>
      <c r="H677" s="38">
        <v>0</v>
      </c>
      <c r="I677" s="27">
        <v>1</v>
      </c>
      <c r="J677" s="27">
        <v>1</v>
      </c>
    </row>
    <row r="678" spans="1:10" ht="28.8" x14ac:dyDescent="0.3">
      <c r="A678" s="19" t="s">
        <v>1625</v>
      </c>
      <c r="B678" s="38">
        <v>0</v>
      </c>
      <c r="C678" s="38">
        <v>200000000</v>
      </c>
      <c r="D678" s="38">
        <v>200000000</v>
      </c>
      <c r="E678" s="38">
        <v>0</v>
      </c>
      <c r="F678" s="38">
        <v>0</v>
      </c>
      <c r="G678" s="38">
        <v>0</v>
      </c>
      <c r="H678" s="38">
        <v>0</v>
      </c>
      <c r="I678" s="27">
        <v>1</v>
      </c>
      <c r="J678" s="27">
        <v>1</v>
      </c>
    </row>
    <row r="679" spans="1:10" ht="43.2" x14ac:dyDescent="0.3">
      <c r="A679" s="19" t="s">
        <v>1626</v>
      </c>
      <c r="B679" s="38">
        <v>0</v>
      </c>
      <c r="C679" s="38">
        <v>400000000</v>
      </c>
      <c r="D679" s="38">
        <v>395303101</v>
      </c>
      <c r="E679" s="38">
        <v>0</v>
      </c>
      <c r="F679" s="38">
        <v>0</v>
      </c>
      <c r="G679" s="38">
        <v>0</v>
      </c>
      <c r="H679" s="38">
        <v>4696899</v>
      </c>
      <c r="I679" s="27">
        <v>1</v>
      </c>
      <c r="J679" s="27">
        <v>0.98825775250000003</v>
      </c>
    </row>
    <row r="680" spans="1:10" ht="28.8" x14ac:dyDescent="0.3">
      <c r="A680" s="19" t="s">
        <v>1627</v>
      </c>
      <c r="B680" s="38">
        <v>0</v>
      </c>
      <c r="C680" s="38">
        <v>400000000</v>
      </c>
      <c r="D680" s="38">
        <v>400000000</v>
      </c>
      <c r="E680" s="38">
        <v>400000000</v>
      </c>
      <c r="F680" s="38">
        <v>400000000</v>
      </c>
      <c r="G680" s="38">
        <v>0</v>
      </c>
      <c r="H680" s="38">
        <v>0</v>
      </c>
      <c r="I680" s="27">
        <v>1</v>
      </c>
      <c r="J680" s="27">
        <v>1</v>
      </c>
    </row>
    <row r="681" spans="1:10" ht="43.2" x14ac:dyDescent="0.3">
      <c r="A681" s="19" t="s">
        <v>1628</v>
      </c>
      <c r="B681" s="38">
        <v>0</v>
      </c>
      <c r="C681" s="38">
        <v>200000000</v>
      </c>
      <c r="D681" s="38">
        <v>0</v>
      </c>
      <c r="E681" s="38">
        <v>0</v>
      </c>
      <c r="F681" s="38">
        <v>0</v>
      </c>
      <c r="G681" s="38">
        <v>200000000</v>
      </c>
      <c r="H681" s="38">
        <v>200000000</v>
      </c>
      <c r="I681" s="27">
        <v>0</v>
      </c>
      <c r="J681" s="27">
        <v>0</v>
      </c>
    </row>
    <row r="682" spans="1:10" ht="28.8" x14ac:dyDescent="0.3">
      <c r="A682" s="19" t="s">
        <v>1629</v>
      </c>
      <c r="B682" s="38">
        <v>0</v>
      </c>
      <c r="C682" s="38">
        <v>400000000</v>
      </c>
      <c r="D682" s="38">
        <v>400000000</v>
      </c>
      <c r="E682" s="38">
        <v>200000000</v>
      </c>
      <c r="F682" s="38">
        <v>0</v>
      </c>
      <c r="G682" s="38">
        <v>0</v>
      </c>
      <c r="H682" s="38">
        <v>0</v>
      </c>
      <c r="I682" s="27">
        <v>1</v>
      </c>
      <c r="J682" s="27">
        <v>1</v>
      </c>
    </row>
    <row r="683" spans="1:10" ht="43.2" x14ac:dyDescent="0.3">
      <c r="A683" s="19" t="s">
        <v>1630</v>
      </c>
      <c r="B683" s="38">
        <v>0</v>
      </c>
      <c r="C683" s="38">
        <v>400000000</v>
      </c>
      <c r="D683" s="38">
        <v>398083750</v>
      </c>
      <c r="E683" s="38">
        <v>199041875</v>
      </c>
      <c r="F683" s="38">
        <v>199041875</v>
      </c>
      <c r="G683" s="38">
        <v>0</v>
      </c>
      <c r="H683" s="38">
        <v>1916250</v>
      </c>
      <c r="I683" s="27">
        <v>1</v>
      </c>
      <c r="J683" s="27">
        <v>0.99520937499999995</v>
      </c>
    </row>
    <row r="684" spans="1:10" ht="28.8" x14ac:dyDescent="0.3">
      <c r="A684" s="19" t="s">
        <v>1631</v>
      </c>
      <c r="B684" s="38">
        <v>0</v>
      </c>
      <c r="C684" s="38">
        <v>400000000</v>
      </c>
      <c r="D684" s="38">
        <v>396049196.35000002</v>
      </c>
      <c r="E684" s="38">
        <v>198024598.18000001</v>
      </c>
      <c r="F684" s="38">
        <v>198024598.18000001</v>
      </c>
      <c r="G684" s="38">
        <v>0</v>
      </c>
      <c r="H684" s="38">
        <v>3950803.6499999762</v>
      </c>
      <c r="I684" s="27">
        <v>1</v>
      </c>
      <c r="J684" s="27">
        <v>0.99012299087500011</v>
      </c>
    </row>
    <row r="685" spans="1:10" ht="28.8" x14ac:dyDescent="0.3">
      <c r="A685" s="19" t="s">
        <v>1632</v>
      </c>
      <c r="B685" s="38">
        <v>0</v>
      </c>
      <c r="C685" s="38">
        <v>487875697</v>
      </c>
      <c r="D685" s="38">
        <v>487875697</v>
      </c>
      <c r="E685" s="38">
        <v>0</v>
      </c>
      <c r="F685" s="38">
        <v>0</v>
      </c>
      <c r="G685" s="38">
        <v>0</v>
      </c>
      <c r="H685" s="38">
        <v>0</v>
      </c>
      <c r="I685" s="27">
        <v>1</v>
      </c>
      <c r="J685" s="27">
        <v>1</v>
      </c>
    </row>
    <row r="686" spans="1:10" ht="28.8" x14ac:dyDescent="0.3">
      <c r="A686" s="19" t="s">
        <v>1633</v>
      </c>
      <c r="B686" s="38">
        <v>0</v>
      </c>
      <c r="C686" s="38">
        <v>400000000</v>
      </c>
      <c r="D686" s="38">
        <v>394917196</v>
      </c>
      <c r="E686" s="38">
        <v>0</v>
      </c>
      <c r="F686" s="38">
        <v>0</v>
      </c>
      <c r="G686" s="38">
        <v>0</v>
      </c>
      <c r="H686" s="38">
        <v>5082804</v>
      </c>
      <c r="I686" s="27">
        <v>1</v>
      </c>
      <c r="J686" s="27">
        <v>0.98729299000000004</v>
      </c>
    </row>
    <row r="687" spans="1:10" ht="43.2" x14ac:dyDescent="0.3">
      <c r="A687" s="19" t="s">
        <v>1634</v>
      </c>
      <c r="B687" s="38">
        <v>0</v>
      </c>
      <c r="C687" s="38">
        <v>266162744.86000001</v>
      </c>
      <c r="D687" s="38">
        <v>266162744.86000001</v>
      </c>
      <c r="E687" s="38">
        <v>0</v>
      </c>
      <c r="F687" s="38">
        <v>0</v>
      </c>
      <c r="G687" s="38">
        <v>0</v>
      </c>
      <c r="H687" s="38">
        <v>0</v>
      </c>
      <c r="I687" s="27">
        <v>1</v>
      </c>
      <c r="J687" s="27">
        <v>1</v>
      </c>
    </row>
    <row r="688" spans="1:10" ht="43.2" x14ac:dyDescent="0.3">
      <c r="A688" s="19" t="s">
        <v>1635</v>
      </c>
      <c r="B688" s="38">
        <v>0</v>
      </c>
      <c r="C688" s="38">
        <v>400000000</v>
      </c>
      <c r="D688" s="38">
        <v>400000000</v>
      </c>
      <c r="E688" s="38">
        <v>0</v>
      </c>
      <c r="F688" s="38">
        <v>0</v>
      </c>
      <c r="G688" s="38">
        <v>0</v>
      </c>
      <c r="H688" s="38">
        <v>0</v>
      </c>
      <c r="I688" s="27">
        <v>1</v>
      </c>
      <c r="J688" s="27">
        <v>1</v>
      </c>
    </row>
    <row r="689" spans="1:10" ht="28.8" x14ac:dyDescent="0.3">
      <c r="A689" s="19" t="s">
        <v>1636</v>
      </c>
      <c r="B689" s="38">
        <v>0</v>
      </c>
      <c r="C689" s="38">
        <v>600000000</v>
      </c>
      <c r="D689" s="38">
        <v>591544185</v>
      </c>
      <c r="E689" s="38">
        <v>295772092.5</v>
      </c>
      <c r="F689" s="38">
        <v>0</v>
      </c>
      <c r="G689" s="38">
        <v>0</v>
      </c>
      <c r="H689" s="38">
        <v>8455815</v>
      </c>
      <c r="I689" s="27">
        <v>1</v>
      </c>
      <c r="J689" s="27">
        <v>0.98590697500000002</v>
      </c>
    </row>
    <row r="690" spans="1:10" ht="43.2" x14ac:dyDescent="0.3">
      <c r="A690" s="19" t="s">
        <v>1637</v>
      </c>
      <c r="B690" s="38">
        <v>0</v>
      </c>
      <c r="C690" s="38">
        <v>200000000</v>
      </c>
      <c r="D690" s="38">
        <v>199999986</v>
      </c>
      <c r="E690" s="38">
        <v>0</v>
      </c>
      <c r="F690" s="38">
        <v>0</v>
      </c>
      <c r="G690" s="38">
        <v>0</v>
      </c>
      <c r="H690" s="38">
        <v>14</v>
      </c>
      <c r="I690" s="27">
        <v>1</v>
      </c>
      <c r="J690" s="27">
        <v>0.99999992999999998</v>
      </c>
    </row>
    <row r="691" spans="1:10" ht="28.8" x14ac:dyDescent="0.3">
      <c r="A691" s="19" t="s">
        <v>1638</v>
      </c>
      <c r="B691" s="38">
        <v>0</v>
      </c>
      <c r="C691" s="38">
        <v>2500000000</v>
      </c>
      <c r="D691" s="38">
        <v>0</v>
      </c>
      <c r="E691" s="38">
        <v>0</v>
      </c>
      <c r="F691" s="38">
        <v>0</v>
      </c>
      <c r="G691" s="38">
        <v>2500000000</v>
      </c>
      <c r="H691" s="38">
        <v>2500000000</v>
      </c>
      <c r="I691" s="27">
        <v>0</v>
      </c>
      <c r="J691" s="27">
        <v>0</v>
      </c>
    </row>
    <row r="692" spans="1:10" x14ac:dyDescent="0.3">
      <c r="A692" s="20" t="s">
        <v>1239</v>
      </c>
      <c r="B692" s="39">
        <v>4100000000</v>
      </c>
      <c r="C692" s="39">
        <v>4100000000</v>
      </c>
      <c r="D692" s="39">
        <v>4000000000</v>
      </c>
      <c r="E692" s="39">
        <v>4000000000</v>
      </c>
      <c r="F692" s="39">
        <v>4000000000</v>
      </c>
      <c r="G692" s="39">
        <v>100000000</v>
      </c>
      <c r="H692" s="39">
        <v>100000000</v>
      </c>
      <c r="I692" s="32">
        <v>0.97560975609756095</v>
      </c>
      <c r="J692" s="32">
        <v>0.97560975609756095</v>
      </c>
    </row>
    <row r="693" spans="1:10" x14ac:dyDescent="0.3">
      <c r="A693" s="16" t="s">
        <v>1030</v>
      </c>
      <c r="B693" s="35">
        <v>4100000000</v>
      </c>
      <c r="C693" s="35">
        <v>4100000000</v>
      </c>
      <c r="D693" s="35">
        <v>4000000000</v>
      </c>
      <c r="E693" s="35">
        <v>4000000000</v>
      </c>
      <c r="F693" s="35">
        <v>4000000000</v>
      </c>
      <c r="G693" s="35">
        <v>100000000</v>
      </c>
      <c r="H693" s="35">
        <v>100000000</v>
      </c>
      <c r="I693" s="29">
        <v>0.97560975609756095</v>
      </c>
      <c r="J693" s="29">
        <v>0.97560975609756095</v>
      </c>
    </row>
    <row r="694" spans="1:10" ht="28.8" x14ac:dyDescent="0.3">
      <c r="A694" s="17" t="s">
        <v>1038</v>
      </c>
      <c r="B694" s="36">
        <v>4100000000</v>
      </c>
      <c r="C694" s="36">
        <v>4100000000</v>
      </c>
      <c r="D694" s="36">
        <v>4000000000</v>
      </c>
      <c r="E694" s="36">
        <v>4000000000</v>
      </c>
      <c r="F694" s="36">
        <v>4000000000</v>
      </c>
      <c r="G694" s="36">
        <v>100000000</v>
      </c>
      <c r="H694" s="36">
        <v>100000000</v>
      </c>
      <c r="I694" s="30">
        <v>0.97560975609756095</v>
      </c>
      <c r="J694" s="30">
        <v>0.97560975609756095</v>
      </c>
    </row>
    <row r="695" spans="1:10" ht="28.8" x14ac:dyDescent="0.3">
      <c r="A695" s="18" t="s">
        <v>1137</v>
      </c>
      <c r="B695" s="37">
        <v>4100000000</v>
      </c>
      <c r="C695" s="37">
        <v>4100000000</v>
      </c>
      <c r="D695" s="37">
        <v>4000000000</v>
      </c>
      <c r="E695" s="37">
        <v>4000000000</v>
      </c>
      <c r="F695" s="37">
        <v>4000000000</v>
      </c>
      <c r="G695" s="37">
        <v>100000000</v>
      </c>
      <c r="H695" s="37">
        <v>100000000</v>
      </c>
      <c r="I695" s="31">
        <v>0.97560975609756095</v>
      </c>
      <c r="J695" s="31">
        <v>0.97560975609756095</v>
      </c>
    </row>
    <row r="696" spans="1:10" ht="43.2" x14ac:dyDescent="0.3">
      <c r="A696" s="19" t="s">
        <v>1639</v>
      </c>
      <c r="B696" s="38">
        <v>1200000000</v>
      </c>
      <c r="C696" s="38">
        <v>1200000000</v>
      </c>
      <c r="D696" s="38">
        <v>1200000000</v>
      </c>
      <c r="E696" s="38">
        <v>1200000000</v>
      </c>
      <c r="F696" s="38">
        <v>1200000000</v>
      </c>
      <c r="G696" s="38">
        <v>0</v>
      </c>
      <c r="H696" s="38">
        <v>0</v>
      </c>
      <c r="I696" s="27">
        <v>1</v>
      </c>
      <c r="J696" s="27">
        <v>1</v>
      </c>
    </row>
    <row r="697" spans="1:10" ht="28.8" x14ac:dyDescent="0.3">
      <c r="A697" s="19" t="s">
        <v>1640</v>
      </c>
      <c r="B697" s="38">
        <v>2900000000</v>
      </c>
      <c r="C697" s="38">
        <v>2900000000</v>
      </c>
      <c r="D697" s="38">
        <v>2800000000</v>
      </c>
      <c r="E697" s="38">
        <v>2800000000</v>
      </c>
      <c r="F697" s="38">
        <v>2800000000</v>
      </c>
      <c r="G697" s="38">
        <v>100000000</v>
      </c>
      <c r="H697" s="38">
        <v>100000000</v>
      </c>
      <c r="I697" s="27">
        <v>0.96551724137931039</v>
      </c>
      <c r="J697" s="27">
        <v>0.96551724137931039</v>
      </c>
    </row>
    <row r="698" spans="1:10" x14ac:dyDescent="0.3">
      <c r="A698" s="19" t="s">
        <v>1673</v>
      </c>
      <c r="B698" s="38">
        <v>1706133394953.0002</v>
      </c>
      <c r="C698" s="38">
        <v>2198677514667.9309</v>
      </c>
      <c r="D698" s="38">
        <v>2045915733317.7192</v>
      </c>
      <c r="E698" s="38">
        <v>1872225742943.3599</v>
      </c>
      <c r="F698" s="38">
        <v>1802297559023.2698</v>
      </c>
      <c r="G698" s="38">
        <v>113853008553.7605</v>
      </c>
      <c r="H698" s="38">
        <v>152761781350.21094</v>
      </c>
      <c r="I698" s="27">
        <v>0.94821750447975273</v>
      </c>
      <c r="J698" s="27">
        <v>0.93052106080537111</v>
      </c>
    </row>
  </sheetData>
  <pageMargins left="0.7" right="0.7" top="0.75" bottom="0.75" header="0.3" footer="0.3"/>
  <pageSetup orientation="portrait" verticalDpi="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F1:I461"/>
  <sheetViews>
    <sheetView workbookViewId="0">
      <selection activeCell="F1" sqref="F1:I1048576"/>
    </sheetView>
  </sheetViews>
  <sheetFormatPr baseColWidth="10" defaultRowHeight="14.4" x14ac:dyDescent="0.3"/>
  <cols>
    <col min="6" max="6" width="14" style="2" bestFit="1" customWidth="1"/>
  </cols>
  <sheetData>
    <row r="1" spans="6:9" x14ac:dyDescent="0.3">
      <c r="F1" s="2" t="s">
        <v>1013</v>
      </c>
      <c r="G1" t="s">
        <v>1015</v>
      </c>
      <c r="H1" t="s">
        <v>1016</v>
      </c>
      <c r="I1" t="s">
        <v>1017</v>
      </c>
    </row>
    <row r="2" spans="6:9" x14ac:dyDescent="0.3">
      <c r="F2" s="2">
        <v>130010402</v>
      </c>
      <c r="G2" t="s">
        <v>1018</v>
      </c>
      <c r="H2" t="s">
        <v>1019</v>
      </c>
      <c r="I2" t="s">
        <v>1020</v>
      </c>
    </row>
    <row r="3" spans="6:9" x14ac:dyDescent="0.3">
      <c r="F3" s="2">
        <v>130011101</v>
      </c>
      <c r="G3" t="s">
        <v>1018</v>
      </c>
      <c r="H3" t="s">
        <v>1019</v>
      </c>
      <c r="I3" t="s">
        <v>1020</v>
      </c>
    </row>
    <row r="4" spans="6:9" x14ac:dyDescent="0.3">
      <c r="F4" s="2">
        <v>130012303</v>
      </c>
      <c r="G4" t="s">
        <v>1018</v>
      </c>
      <c r="H4" t="s">
        <v>1019</v>
      </c>
      <c r="I4" t="s">
        <v>1020</v>
      </c>
    </row>
    <row r="5" spans="6:9" x14ac:dyDescent="0.3">
      <c r="F5" s="2">
        <v>202213001006</v>
      </c>
      <c r="G5" t="s">
        <v>1018</v>
      </c>
      <c r="H5" t="s">
        <v>1019</v>
      </c>
      <c r="I5" t="s">
        <v>1020</v>
      </c>
    </row>
    <row r="6" spans="6:9" x14ac:dyDescent="0.3">
      <c r="F6" s="2">
        <v>202213001008</v>
      </c>
      <c r="G6" t="s">
        <v>1018</v>
      </c>
      <c r="H6" t="s">
        <v>1019</v>
      </c>
      <c r="I6" t="s">
        <v>1020</v>
      </c>
    </row>
    <row r="7" spans="6:9" x14ac:dyDescent="0.3">
      <c r="F7" s="2">
        <v>2019130010081</v>
      </c>
      <c r="G7" t="s">
        <v>1018</v>
      </c>
      <c r="H7" t="s">
        <v>1019</v>
      </c>
      <c r="I7" t="s">
        <v>1020</v>
      </c>
    </row>
    <row r="8" spans="6:9" x14ac:dyDescent="0.3">
      <c r="F8" s="2">
        <v>2020130010030</v>
      </c>
      <c r="G8" t="s">
        <v>1018</v>
      </c>
      <c r="H8" t="s">
        <v>1021</v>
      </c>
      <c r="I8" t="s">
        <v>1022</v>
      </c>
    </row>
    <row r="9" spans="6:9" x14ac:dyDescent="0.3">
      <c r="F9" s="2">
        <v>2020130010031</v>
      </c>
      <c r="G9" t="s">
        <v>1018</v>
      </c>
      <c r="H9" t="s">
        <v>1021</v>
      </c>
      <c r="I9" t="s">
        <v>1023</v>
      </c>
    </row>
    <row r="10" spans="6:9" x14ac:dyDescent="0.3">
      <c r="F10" s="2">
        <v>2020130010032</v>
      </c>
      <c r="G10" t="s">
        <v>1018</v>
      </c>
      <c r="H10" t="s">
        <v>1024</v>
      </c>
      <c r="I10" t="s">
        <v>1025</v>
      </c>
    </row>
    <row r="11" spans="6:9" x14ac:dyDescent="0.3">
      <c r="F11" s="2">
        <v>2020130010033</v>
      </c>
      <c r="G11" t="s">
        <v>1026</v>
      </c>
      <c r="H11" t="s">
        <v>1027</v>
      </c>
      <c r="I11" t="s">
        <v>1028</v>
      </c>
    </row>
    <row r="12" spans="6:9" x14ac:dyDescent="0.3">
      <c r="F12" s="2">
        <v>2020130010034</v>
      </c>
      <c r="G12" t="s">
        <v>1026</v>
      </c>
      <c r="H12" t="s">
        <v>1027</v>
      </c>
      <c r="I12" t="s">
        <v>1029</v>
      </c>
    </row>
    <row r="13" spans="6:9" x14ac:dyDescent="0.3">
      <c r="F13" s="2">
        <v>2020130010036</v>
      </c>
      <c r="G13" t="s">
        <v>1030</v>
      </c>
      <c r="H13" t="s">
        <v>1031</v>
      </c>
      <c r="I13" t="s">
        <v>1032</v>
      </c>
    </row>
    <row r="14" spans="6:9" x14ac:dyDescent="0.3">
      <c r="F14" s="2">
        <v>2020130010037</v>
      </c>
      <c r="G14" t="s">
        <v>1018</v>
      </c>
      <c r="H14" t="s">
        <v>1021</v>
      </c>
      <c r="I14" t="s">
        <v>1033</v>
      </c>
    </row>
    <row r="15" spans="6:9" x14ac:dyDescent="0.3">
      <c r="F15" s="2">
        <v>2020130010038</v>
      </c>
      <c r="G15" t="s">
        <v>1030</v>
      </c>
      <c r="H15" t="s">
        <v>1031</v>
      </c>
      <c r="I15" t="s">
        <v>1034</v>
      </c>
    </row>
    <row r="16" spans="6:9" x14ac:dyDescent="0.3">
      <c r="F16" s="2">
        <v>2020130010042</v>
      </c>
      <c r="G16" t="s">
        <v>1030</v>
      </c>
      <c r="H16" t="s">
        <v>1035</v>
      </c>
      <c r="I16" t="s">
        <v>1036</v>
      </c>
    </row>
    <row r="17" spans="6:9" x14ac:dyDescent="0.3">
      <c r="F17" s="2">
        <v>2020130010043</v>
      </c>
      <c r="G17" t="s">
        <v>1030</v>
      </c>
      <c r="H17" t="s">
        <v>1035</v>
      </c>
      <c r="I17" t="s">
        <v>1037</v>
      </c>
    </row>
    <row r="18" spans="6:9" x14ac:dyDescent="0.3">
      <c r="F18" s="2">
        <v>2020130010045</v>
      </c>
      <c r="G18" t="s">
        <v>1030</v>
      </c>
      <c r="H18" t="s">
        <v>1035</v>
      </c>
      <c r="I18" t="s">
        <v>1037</v>
      </c>
    </row>
    <row r="19" spans="6:9" x14ac:dyDescent="0.3">
      <c r="F19" s="2">
        <v>2020130010052</v>
      </c>
      <c r="G19" t="s">
        <v>1030</v>
      </c>
      <c r="H19" t="s">
        <v>1038</v>
      </c>
      <c r="I19" t="s">
        <v>1039</v>
      </c>
    </row>
    <row r="20" spans="6:9" x14ac:dyDescent="0.3">
      <c r="F20" s="2">
        <v>2020130010053</v>
      </c>
      <c r="G20" t="s">
        <v>1030</v>
      </c>
      <c r="H20" t="s">
        <v>1031</v>
      </c>
      <c r="I20" t="s">
        <v>1040</v>
      </c>
    </row>
    <row r="21" spans="6:9" x14ac:dyDescent="0.3">
      <c r="F21" s="2">
        <v>2020130010055</v>
      </c>
      <c r="G21" t="s">
        <v>1030</v>
      </c>
      <c r="H21" t="s">
        <v>1031</v>
      </c>
      <c r="I21" t="s">
        <v>1041</v>
      </c>
    </row>
    <row r="22" spans="6:9" x14ac:dyDescent="0.3">
      <c r="F22" s="2">
        <v>2020130010057</v>
      </c>
      <c r="G22" t="s">
        <v>1030</v>
      </c>
      <c r="H22" t="s">
        <v>1038</v>
      </c>
      <c r="I22" t="s">
        <v>1039</v>
      </c>
    </row>
    <row r="23" spans="6:9" x14ac:dyDescent="0.3">
      <c r="F23" s="2">
        <v>2020130010058</v>
      </c>
      <c r="G23" t="s">
        <v>1030</v>
      </c>
      <c r="H23" t="s">
        <v>1042</v>
      </c>
      <c r="I23" t="s">
        <v>1043</v>
      </c>
    </row>
    <row r="24" spans="6:9" x14ac:dyDescent="0.3">
      <c r="F24" s="2">
        <v>2020130010060</v>
      </c>
      <c r="G24" t="s">
        <v>1030</v>
      </c>
      <c r="H24" t="s">
        <v>1042</v>
      </c>
      <c r="I24" t="s">
        <v>1043</v>
      </c>
    </row>
    <row r="25" spans="6:9" x14ac:dyDescent="0.3">
      <c r="F25" s="2">
        <v>2020130010061</v>
      </c>
      <c r="G25" t="s">
        <v>1018</v>
      </c>
      <c r="H25" t="s">
        <v>1044</v>
      </c>
      <c r="I25" t="s">
        <v>1045</v>
      </c>
    </row>
    <row r="26" spans="6:9" x14ac:dyDescent="0.3">
      <c r="F26" s="2">
        <v>2020130010063</v>
      </c>
      <c r="G26" t="s">
        <v>1030</v>
      </c>
      <c r="H26" t="s">
        <v>1042</v>
      </c>
      <c r="I26" t="s">
        <v>1046</v>
      </c>
    </row>
    <row r="27" spans="6:9" x14ac:dyDescent="0.3">
      <c r="F27" s="2">
        <v>2020130010065</v>
      </c>
      <c r="G27" t="s">
        <v>1030</v>
      </c>
      <c r="H27" t="s">
        <v>1038</v>
      </c>
      <c r="I27" t="s">
        <v>1039</v>
      </c>
    </row>
    <row r="28" spans="6:9" x14ac:dyDescent="0.3">
      <c r="F28" s="2">
        <v>2020130010069</v>
      </c>
      <c r="G28" t="s">
        <v>1030</v>
      </c>
      <c r="H28" t="s">
        <v>1042</v>
      </c>
      <c r="I28" t="s">
        <v>1047</v>
      </c>
    </row>
    <row r="29" spans="6:9" x14ac:dyDescent="0.3">
      <c r="F29" s="2">
        <v>2020130010070</v>
      </c>
      <c r="G29" t="s">
        <v>1030</v>
      </c>
      <c r="H29" t="s">
        <v>1042</v>
      </c>
      <c r="I29" t="s">
        <v>1047</v>
      </c>
    </row>
    <row r="30" spans="6:9" x14ac:dyDescent="0.3">
      <c r="F30" s="2">
        <v>2020130010071</v>
      </c>
      <c r="G30" t="s">
        <v>1030</v>
      </c>
      <c r="H30" t="s">
        <v>1048</v>
      </c>
      <c r="I30" t="s">
        <v>1049</v>
      </c>
    </row>
    <row r="31" spans="6:9" x14ac:dyDescent="0.3">
      <c r="F31" s="2">
        <v>2020130010072</v>
      </c>
      <c r="G31" t="s">
        <v>1030</v>
      </c>
      <c r="H31" t="s">
        <v>1042</v>
      </c>
      <c r="I31" t="s">
        <v>1050</v>
      </c>
    </row>
    <row r="32" spans="6:9" x14ac:dyDescent="0.3">
      <c r="F32" s="2">
        <v>2020130010075</v>
      </c>
      <c r="G32" t="s">
        <v>1026</v>
      </c>
      <c r="H32" t="s">
        <v>1051</v>
      </c>
      <c r="I32" t="s">
        <v>1052</v>
      </c>
    </row>
    <row r="33" spans="6:9" x14ac:dyDescent="0.3">
      <c r="F33" s="2">
        <v>2020130010079</v>
      </c>
      <c r="G33" t="s">
        <v>1030</v>
      </c>
      <c r="H33" t="s">
        <v>1048</v>
      </c>
      <c r="I33" t="s">
        <v>1053</v>
      </c>
    </row>
    <row r="34" spans="6:9" x14ac:dyDescent="0.3">
      <c r="F34" s="2">
        <v>2020130010082</v>
      </c>
      <c r="G34" t="s">
        <v>1030</v>
      </c>
      <c r="H34" t="s">
        <v>1038</v>
      </c>
      <c r="I34" t="s">
        <v>1039</v>
      </c>
    </row>
    <row r="35" spans="6:9" x14ac:dyDescent="0.3">
      <c r="F35" s="2">
        <v>2020130010084</v>
      </c>
      <c r="G35" t="s">
        <v>1018</v>
      </c>
      <c r="H35" t="s">
        <v>1021</v>
      </c>
      <c r="I35" t="s">
        <v>1054</v>
      </c>
    </row>
    <row r="36" spans="6:9" x14ac:dyDescent="0.3">
      <c r="F36" s="2">
        <v>2020130010085</v>
      </c>
      <c r="G36" t="s">
        <v>1030</v>
      </c>
      <c r="H36" t="s">
        <v>1038</v>
      </c>
      <c r="I36" t="s">
        <v>1039</v>
      </c>
    </row>
    <row r="37" spans="6:9" x14ac:dyDescent="0.3">
      <c r="F37" s="2">
        <v>2020130010094</v>
      </c>
      <c r="G37" t="s">
        <v>1030</v>
      </c>
      <c r="H37" t="s">
        <v>1038</v>
      </c>
      <c r="I37" t="s">
        <v>1039</v>
      </c>
    </row>
    <row r="38" spans="6:9" x14ac:dyDescent="0.3">
      <c r="F38" s="2">
        <v>2020130010101</v>
      </c>
      <c r="G38" t="s">
        <v>1055</v>
      </c>
      <c r="H38" t="s">
        <v>1056</v>
      </c>
      <c r="I38" t="s">
        <v>1057</v>
      </c>
    </row>
    <row r="39" spans="6:9" x14ac:dyDescent="0.3">
      <c r="F39" s="2">
        <v>2020130010102</v>
      </c>
      <c r="G39" t="s">
        <v>1055</v>
      </c>
      <c r="H39" t="s">
        <v>1056</v>
      </c>
      <c r="I39" t="s">
        <v>1058</v>
      </c>
    </row>
    <row r="40" spans="6:9" x14ac:dyDescent="0.3">
      <c r="F40" s="2">
        <v>2020130010103</v>
      </c>
      <c r="G40" t="s">
        <v>1055</v>
      </c>
      <c r="H40" t="s">
        <v>1056</v>
      </c>
      <c r="I40" t="s">
        <v>1059</v>
      </c>
    </row>
    <row r="41" spans="6:9" x14ac:dyDescent="0.3">
      <c r="F41" s="2">
        <v>2020130010110</v>
      </c>
      <c r="G41" t="s">
        <v>1060</v>
      </c>
      <c r="H41" t="s">
        <v>1061</v>
      </c>
      <c r="I41" t="s">
        <v>1062</v>
      </c>
    </row>
    <row r="42" spans="6:9" x14ac:dyDescent="0.3">
      <c r="F42" s="2">
        <v>2020130010112</v>
      </c>
      <c r="G42" t="s">
        <v>1060</v>
      </c>
      <c r="H42" t="s">
        <v>1061</v>
      </c>
      <c r="I42" t="s">
        <v>1063</v>
      </c>
    </row>
    <row r="43" spans="6:9" x14ac:dyDescent="0.3">
      <c r="F43" s="2">
        <v>2020130010117</v>
      </c>
      <c r="G43" t="s">
        <v>1030</v>
      </c>
      <c r="H43" t="s">
        <v>1038</v>
      </c>
      <c r="I43" t="s">
        <v>1039</v>
      </c>
    </row>
    <row r="44" spans="6:9" x14ac:dyDescent="0.3">
      <c r="F44" s="2">
        <v>2020130010119</v>
      </c>
      <c r="G44" t="s">
        <v>1060</v>
      </c>
      <c r="H44" t="s">
        <v>1061</v>
      </c>
      <c r="I44" t="s">
        <v>1064</v>
      </c>
    </row>
    <row r="45" spans="6:9" x14ac:dyDescent="0.3">
      <c r="F45" s="2">
        <v>2020130010120</v>
      </c>
      <c r="G45" t="s">
        <v>1060</v>
      </c>
      <c r="H45" t="s">
        <v>1061</v>
      </c>
      <c r="I45" t="s">
        <v>1065</v>
      </c>
    </row>
    <row r="46" spans="6:9" x14ac:dyDescent="0.3">
      <c r="F46" s="2">
        <v>2020130010124</v>
      </c>
      <c r="G46" t="s">
        <v>1030</v>
      </c>
      <c r="H46" t="s">
        <v>1042</v>
      </c>
      <c r="I46" t="s">
        <v>1043</v>
      </c>
    </row>
    <row r="47" spans="6:9" x14ac:dyDescent="0.3">
      <c r="F47" s="2">
        <v>2020130010129</v>
      </c>
      <c r="G47" t="s">
        <v>1030</v>
      </c>
      <c r="H47" t="s">
        <v>1042</v>
      </c>
      <c r="I47" t="s">
        <v>1066</v>
      </c>
    </row>
    <row r="48" spans="6:9" x14ac:dyDescent="0.3">
      <c r="F48" s="2">
        <v>2020130010130</v>
      </c>
      <c r="G48" t="s">
        <v>1030</v>
      </c>
      <c r="H48" t="s">
        <v>1042</v>
      </c>
      <c r="I48" t="s">
        <v>1067</v>
      </c>
    </row>
    <row r="49" spans="6:9" x14ac:dyDescent="0.3">
      <c r="F49" s="2">
        <v>2020130010132</v>
      </c>
      <c r="G49" t="s">
        <v>1030</v>
      </c>
      <c r="H49" t="s">
        <v>1042</v>
      </c>
      <c r="I49" t="s">
        <v>1046</v>
      </c>
    </row>
    <row r="50" spans="6:9" x14ac:dyDescent="0.3">
      <c r="F50" s="2">
        <v>2020130010133</v>
      </c>
      <c r="G50" t="s">
        <v>1060</v>
      </c>
      <c r="H50" t="s">
        <v>1068</v>
      </c>
      <c r="I50" t="s">
        <v>1069</v>
      </c>
    </row>
    <row r="51" spans="6:9" x14ac:dyDescent="0.3">
      <c r="F51" s="2">
        <v>2020130010136</v>
      </c>
      <c r="G51" t="s">
        <v>1030</v>
      </c>
      <c r="H51" t="s">
        <v>1038</v>
      </c>
      <c r="I51" t="s">
        <v>1039</v>
      </c>
    </row>
    <row r="52" spans="6:9" x14ac:dyDescent="0.3">
      <c r="F52" s="2">
        <v>2020130010139</v>
      </c>
      <c r="G52" t="s">
        <v>1030</v>
      </c>
      <c r="H52" t="s">
        <v>1038</v>
      </c>
      <c r="I52" t="s">
        <v>1070</v>
      </c>
    </row>
    <row r="53" spans="6:9" x14ac:dyDescent="0.3">
      <c r="F53" s="2">
        <v>2020130010144</v>
      </c>
      <c r="G53" t="s">
        <v>1030</v>
      </c>
      <c r="H53" t="s">
        <v>1042</v>
      </c>
      <c r="I53" t="s">
        <v>1067</v>
      </c>
    </row>
    <row r="54" spans="6:9" x14ac:dyDescent="0.3">
      <c r="F54" s="2">
        <v>2020130010145</v>
      </c>
      <c r="G54" t="s">
        <v>1030</v>
      </c>
      <c r="H54" t="s">
        <v>1042</v>
      </c>
      <c r="I54" t="s">
        <v>1067</v>
      </c>
    </row>
    <row r="55" spans="6:9" x14ac:dyDescent="0.3">
      <c r="F55" s="2">
        <v>2020130010146</v>
      </c>
      <c r="G55" t="s">
        <v>1030</v>
      </c>
      <c r="H55" t="s">
        <v>1042</v>
      </c>
      <c r="I55" t="s">
        <v>1067</v>
      </c>
    </row>
    <row r="56" spans="6:9" x14ac:dyDescent="0.3">
      <c r="F56" s="2">
        <v>2020130010150</v>
      </c>
      <c r="G56" t="s">
        <v>1030</v>
      </c>
      <c r="H56" t="s">
        <v>1042</v>
      </c>
      <c r="I56" t="s">
        <v>1071</v>
      </c>
    </row>
    <row r="57" spans="6:9" x14ac:dyDescent="0.3">
      <c r="F57" s="2">
        <v>2020130010151</v>
      </c>
      <c r="G57" t="s">
        <v>1030</v>
      </c>
      <c r="H57" t="s">
        <v>1042</v>
      </c>
      <c r="I57" t="s">
        <v>1046</v>
      </c>
    </row>
    <row r="58" spans="6:9" x14ac:dyDescent="0.3">
      <c r="F58" s="2">
        <v>2020130010152</v>
      </c>
      <c r="G58" t="s">
        <v>1026</v>
      </c>
      <c r="H58" t="s">
        <v>1072</v>
      </c>
      <c r="I58" t="s">
        <v>1073</v>
      </c>
    </row>
    <row r="59" spans="6:9" x14ac:dyDescent="0.3">
      <c r="F59" s="2">
        <v>2020130010153</v>
      </c>
      <c r="G59" t="s">
        <v>1026</v>
      </c>
      <c r="H59" t="s">
        <v>1072</v>
      </c>
      <c r="I59" t="s">
        <v>1074</v>
      </c>
    </row>
    <row r="60" spans="6:9" x14ac:dyDescent="0.3">
      <c r="F60" s="2">
        <v>2020130010154</v>
      </c>
      <c r="G60" t="s">
        <v>1026</v>
      </c>
      <c r="H60" t="s">
        <v>1072</v>
      </c>
      <c r="I60" t="s">
        <v>1075</v>
      </c>
    </row>
    <row r="61" spans="6:9" x14ac:dyDescent="0.3">
      <c r="F61" s="2">
        <v>2020130010157</v>
      </c>
      <c r="G61" t="s">
        <v>1030</v>
      </c>
      <c r="H61" t="s">
        <v>1042</v>
      </c>
      <c r="I61" t="s">
        <v>1046</v>
      </c>
    </row>
    <row r="62" spans="6:9" x14ac:dyDescent="0.3">
      <c r="F62" s="2">
        <v>2020130010158</v>
      </c>
      <c r="G62" t="s">
        <v>1030</v>
      </c>
      <c r="H62" t="s">
        <v>1042</v>
      </c>
      <c r="I62" t="s">
        <v>1050</v>
      </c>
    </row>
    <row r="63" spans="6:9" x14ac:dyDescent="0.3">
      <c r="F63" s="2">
        <v>2020130010160</v>
      </c>
      <c r="G63" t="s">
        <v>1026</v>
      </c>
      <c r="H63" t="s">
        <v>1051</v>
      </c>
      <c r="I63" t="s">
        <v>1076</v>
      </c>
    </row>
    <row r="64" spans="6:9" x14ac:dyDescent="0.3">
      <c r="F64" s="2">
        <v>2020130010162</v>
      </c>
      <c r="G64" t="s">
        <v>1030</v>
      </c>
      <c r="H64" t="s">
        <v>1038</v>
      </c>
      <c r="I64" t="s">
        <v>1077</v>
      </c>
    </row>
    <row r="65" spans="6:9" x14ac:dyDescent="0.3">
      <c r="F65" s="2">
        <v>2020130010163</v>
      </c>
      <c r="G65" t="s">
        <v>1030</v>
      </c>
      <c r="H65" t="s">
        <v>1035</v>
      </c>
      <c r="I65" t="s">
        <v>1078</v>
      </c>
    </row>
    <row r="66" spans="6:9" x14ac:dyDescent="0.3">
      <c r="F66" s="2">
        <v>2020130010164</v>
      </c>
      <c r="G66" t="s">
        <v>1030</v>
      </c>
      <c r="H66" t="s">
        <v>1042</v>
      </c>
      <c r="I66" t="s">
        <v>1043</v>
      </c>
    </row>
    <row r="67" spans="6:9" x14ac:dyDescent="0.3">
      <c r="F67" s="2">
        <v>2020130010165</v>
      </c>
      <c r="G67" t="s">
        <v>1030</v>
      </c>
      <c r="H67" t="s">
        <v>1038</v>
      </c>
      <c r="I67" t="s">
        <v>1070</v>
      </c>
    </row>
    <row r="68" spans="6:9" x14ac:dyDescent="0.3">
      <c r="F68" s="2">
        <v>2020130010166</v>
      </c>
      <c r="G68" t="s">
        <v>1030</v>
      </c>
      <c r="H68" t="s">
        <v>1042</v>
      </c>
      <c r="I68" t="s">
        <v>1079</v>
      </c>
    </row>
    <row r="69" spans="6:9" x14ac:dyDescent="0.3">
      <c r="F69" s="2">
        <v>2020130010168</v>
      </c>
      <c r="G69" t="s">
        <v>1060</v>
      </c>
      <c r="H69" t="s">
        <v>1080</v>
      </c>
      <c r="I69" t="s">
        <v>1081</v>
      </c>
    </row>
    <row r="70" spans="6:9" x14ac:dyDescent="0.3">
      <c r="F70" s="2">
        <v>2020130010169</v>
      </c>
      <c r="G70" t="s">
        <v>1030</v>
      </c>
      <c r="H70" t="s">
        <v>1042</v>
      </c>
      <c r="I70" t="s">
        <v>1071</v>
      </c>
    </row>
    <row r="71" spans="6:9" x14ac:dyDescent="0.3">
      <c r="F71" s="2">
        <v>2020130010170</v>
      </c>
      <c r="G71" t="s">
        <v>1060</v>
      </c>
      <c r="H71" t="s">
        <v>1080</v>
      </c>
      <c r="I71" t="s">
        <v>1082</v>
      </c>
    </row>
    <row r="72" spans="6:9" x14ac:dyDescent="0.3">
      <c r="F72" s="2">
        <v>2020130010173</v>
      </c>
      <c r="G72" t="s">
        <v>1030</v>
      </c>
      <c r="H72" t="s">
        <v>1042</v>
      </c>
      <c r="I72" t="s">
        <v>1043</v>
      </c>
    </row>
    <row r="73" spans="6:9" x14ac:dyDescent="0.3">
      <c r="F73" s="2">
        <v>2020130010175</v>
      </c>
      <c r="G73" t="s">
        <v>1030</v>
      </c>
      <c r="H73" t="s">
        <v>1042</v>
      </c>
      <c r="I73" t="s">
        <v>1071</v>
      </c>
    </row>
    <row r="74" spans="6:9" x14ac:dyDescent="0.3">
      <c r="F74" s="2">
        <v>2020130010177</v>
      </c>
      <c r="G74" t="s">
        <v>1030</v>
      </c>
      <c r="H74" t="s">
        <v>1042</v>
      </c>
      <c r="I74" t="s">
        <v>1083</v>
      </c>
    </row>
    <row r="75" spans="6:9" x14ac:dyDescent="0.3">
      <c r="F75" s="2">
        <v>2020130010179</v>
      </c>
      <c r="G75" t="s">
        <v>1026</v>
      </c>
      <c r="H75" t="s">
        <v>1084</v>
      </c>
      <c r="I75" t="s">
        <v>1085</v>
      </c>
    </row>
    <row r="76" spans="6:9" x14ac:dyDescent="0.3">
      <c r="F76" s="2">
        <v>2020130010183</v>
      </c>
      <c r="G76" t="s">
        <v>1026</v>
      </c>
      <c r="H76" t="s">
        <v>1084</v>
      </c>
      <c r="I76" t="s">
        <v>1086</v>
      </c>
    </row>
    <row r="77" spans="6:9" x14ac:dyDescent="0.3">
      <c r="F77" s="2">
        <v>2020130010185</v>
      </c>
      <c r="G77" t="s">
        <v>1030</v>
      </c>
      <c r="H77" t="s">
        <v>1038</v>
      </c>
      <c r="I77" t="s">
        <v>1087</v>
      </c>
    </row>
    <row r="78" spans="6:9" x14ac:dyDescent="0.3">
      <c r="F78" s="2">
        <v>2020130010186</v>
      </c>
      <c r="G78" t="s">
        <v>1030</v>
      </c>
      <c r="H78" t="s">
        <v>1038</v>
      </c>
      <c r="I78" t="s">
        <v>1088</v>
      </c>
    </row>
    <row r="79" spans="6:9" x14ac:dyDescent="0.3">
      <c r="F79" s="2">
        <v>2020130010187</v>
      </c>
      <c r="G79" t="s">
        <v>1018</v>
      </c>
      <c r="H79" t="s">
        <v>1044</v>
      </c>
      <c r="I79" t="s">
        <v>1089</v>
      </c>
    </row>
    <row r="80" spans="6:9" x14ac:dyDescent="0.3">
      <c r="F80" s="2">
        <v>2020130010194</v>
      </c>
      <c r="G80" t="s">
        <v>1030</v>
      </c>
      <c r="H80" t="s">
        <v>1031</v>
      </c>
      <c r="I80" t="s">
        <v>1040</v>
      </c>
    </row>
    <row r="81" spans="6:9" x14ac:dyDescent="0.3">
      <c r="F81" s="2">
        <v>2020130010195</v>
      </c>
      <c r="G81" t="s">
        <v>1030</v>
      </c>
      <c r="H81" t="s">
        <v>1038</v>
      </c>
      <c r="I81" t="s">
        <v>1039</v>
      </c>
    </row>
    <row r="82" spans="6:9" x14ac:dyDescent="0.3">
      <c r="F82" s="2">
        <v>2020130010201</v>
      </c>
      <c r="G82" t="s">
        <v>1026</v>
      </c>
      <c r="H82" t="s">
        <v>1084</v>
      </c>
      <c r="I82" t="s">
        <v>1090</v>
      </c>
    </row>
    <row r="83" spans="6:9" x14ac:dyDescent="0.3">
      <c r="F83" s="2">
        <v>2020130010203</v>
      </c>
      <c r="G83" t="s">
        <v>1026</v>
      </c>
      <c r="H83" t="s">
        <v>1091</v>
      </c>
      <c r="I83" t="s">
        <v>1092</v>
      </c>
    </row>
    <row r="84" spans="6:9" x14ac:dyDescent="0.3">
      <c r="F84" s="2">
        <v>2020130010210</v>
      </c>
      <c r="G84" t="s">
        <v>1018</v>
      </c>
      <c r="H84" t="s">
        <v>1021</v>
      </c>
      <c r="I84" t="s">
        <v>1093</v>
      </c>
    </row>
    <row r="85" spans="6:9" x14ac:dyDescent="0.3">
      <c r="F85" s="2">
        <v>2020130010211</v>
      </c>
      <c r="G85" t="s">
        <v>1026</v>
      </c>
      <c r="H85" t="s">
        <v>1051</v>
      </c>
      <c r="I85" t="s">
        <v>1094</v>
      </c>
    </row>
    <row r="86" spans="6:9" x14ac:dyDescent="0.3">
      <c r="F86" s="2">
        <v>2020130010213</v>
      </c>
      <c r="G86" t="s">
        <v>1030</v>
      </c>
      <c r="H86" t="s">
        <v>1035</v>
      </c>
      <c r="I86" t="s">
        <v>1095</v>
      </c>
    </row>
    <row r="87" spans="6:9" x14ac:dyDescent="0.3">
      <c r="F87" s="2">
        <v>2020130010216</v>
      </c>
      <c r="G87" t="s">
        <v>1026</v>
      </c>
      <c r="H87" t="s">
        <v>1084</v>
      </c>
      <c r="I87" t="s">
        <v>1096</v>
      </c>
    </row>
    <row r="88" spans="6:9" x14ac:dyDescent="0.3">
      <c r="F88" s="2">
        <v>2020130010218</v>
      </c>
      <c r="G88" t="s">
        <v>1030</v>
      </c>
      <c r="H88" t="s">
        <v>1035</v>
      </c>
      <c r="I88" t="s">
        <v>1097</v>
      </c>
    </row>
    <row r="89" spans="6:9" x14ac:dyDescent="0.3">
      <c r="F89" s="2">
        <v>2020130010239</v>
      </c>
      <c r="G89" t="s">
        <v>1026</v>
      </c>
      <c r="H89" t="s">
        <v>1098</v>
      </c>
      <c r="I89" t="s">
        <v>1099</v>
      </c>
    </row>
    <row r="90" spans="6:9" x14ac:dyDescent="0.3">
      <c r="F90" s="2">
        <v>2020130010240</v>
      </c>
      <c r="G90" t="s">
        <v>1030</v>
      </c>
      <c r="H90" t="s">
        <v>1038</v>
      </c>
      <c r="I90" t="s">
        <v>1100</v>
      </c>
    </row>
    <row r="91" spans="6:9" x14ac:dyDescent="0.3">
      <c r="F91" s="2">
        <v>2020130010241</v>
      </c>
      <c r="G91" t="s">
        <v>1026</v>
      </c>
      <c r="H91" t="s">
        <v>1098</v>
      </c>
      <c r="I91" t="s">
        <v>1101</v>
      </c>
    </row>
    <row r="92" spans="6:9" x14ac:dyDescent="0.3">
      <c r="F92" s="2">
        <v>2020130010254</v>
      </c>
      <c r="G92" t="s">
        <v>1018</v>
      </c>
      <c r="H92" t="s">
        <v>1021</v>
      </c>
      <c r="I92" t="s">
        <v>1102</v>
      </c>
    </row>
    <row r="93" spans="6:9" x14ac:dyDescent="0.3">
      <c r="F93" s="2">
        <v>2020130010256</v>
      </c>
      <c r="G93" t="s">
        <v>1030</v>
      </c>
      <c r="H93" t="s">
        <v>1038</v>
      </c>
      <c r="I93" t="s">
        <v>1103</v>
      </c>
    </row>
    <row r="94" spans="6:9" x14ac:dyDescent="0.3">
      <c r="F94" s="2">
        <v>2020130010257</v>
      </c>
      <c r="G94" t="s">
        <v>1030</v>
      </c>
      <c r="H94" t="s">
        <v>1038</v>
      </c>
      <c r="I94" t="s">
        <v>1088</v>
      </c>
    </row>
    <row r="95" spans="6:9" x14ac:dyDescent="0.3">
      <c r="F95" s="2">
        <v>2020130010268</v>
      </c>
      <c r="G95" t="s">
        <v>1030</v>
      </c>
      <c r="H95" t="s">
        <v>1038</v>
      </c>
      <c r="I95" t="s">
        <v>1077</v>
      </c>
    </row>
    <row r="96" spans="6:9" x14ac:dyDescent="0.3">
      <c r="F96" s="2">
        <v>2020130010270</v>
      </c>
      <c r="G96" t="s">
        <v>1030</v>
      </c>
      <c r="H96" t="s">
        <v>1038</v>
      </c>
      <c r="I96" t="s">
        <v>1103</v>
      </c>
    </row>
    <row r="97" spans="6:9" x14ac:dyDescent="0.3">
      <c r="F97" s="2">
        <v>2020130010272</v>
      </c>
      <c r="G97" t="s">
        <v>1018</v>
      </c>
      <c r="H97" t="s">
        <v>1021</v>
      </c>
      <c r="I97" t="s">
        <v>1102</v>
      </c>
    </row>
    <row r="98" spans="6:9" x14ac:dyDescent="0.3">
      <c r="F98" s="2">
        <v>2020130010277</v>
      </c>
      <c r="G98" t="s">
        <v>1018</v>
      </c>
      <c r="H98" t="s">
        <v>1104</v>
      </c>
      <c r="I98" t="s">
        <v>1105</v>
      </c>
    </row>
    <row r="99" spans="6:9" x14ac:dyDescent="0.3">
      <c r="F99" s="2">
        <v>2020130010292</v>
      </c>
      <c r="G99" t="s">
        <v>1026</v>
      </c>
      <c r="H99" t="s">
        <v>1106</v>
      </c>
      <c r="I99" t="s">
        <v>1107</v>
      </c>
    </row>
    <row r="100" spans="6:9" x14ac:dyDescent="0.3">
      <c r="F100" s="2">
        <v>2020130010296</v>
      </c>
      <c r="G100" t="s">
        <v>1055</v>
      </c>
      <c r="H100" t="s">
        <v>1056</v>
      </c>
      <c r="I100" t="s">
        <v>1108</v>
      </c>
    </row>
    <row r="101" spans="6:9" x14ac:dyDescent="0.3">
      <c r="F101" s="2">
        <v>2020130010297</v>
      </c>
      <c r="G101" t="s">
        <v>1055</v>
      </c>
      <c r="H101" t="s">
        <v>1109</v>
      </c>
      <c r="I101" t="s">
        <v>1110</v>
      </c>
    </row>
    <row r="102" spans="6:9" x14ac:dyDescent="0.3">
      <c r="F102" s="2">
        <v>2020130010300</v>
      </c>
      <c r="G102" t="s">
        <v>1026</v>
      </c>
      <c r="H102" t="s">
        <v>1091</v>
      </c>
      <c r="I102" t="s">
        <v>1111</v>
      </c>
    </row>
    <row r="103" spans="6:9" x14ac:dyDescent="0.3">
      <c r="F103" s="2">
        <v>2020130010304</v>
      </c>
      <c r="G103" t="s">
        <v>1018</v>
      </c>
      <c r="H103" t="s">
        <v>1021</v>
      </c>
      <c r="I103" t="s">
        <v>1102</v>
      </c>
    </row>
    <row r="104" spans="6:9" x14ac:dyDescent="0.3">
      <c r="F104" s="2">
        <v>2020130010306</v>
      </c>
      <c r="G104" t="s">
        <v>1026</v>
      </c>
      <c r="H104" t="s">
        <v>1072</v>
      </c>
      <c r="I104" t="s">
        <v>1112</v>
      </c>
    </row>
    <row r="105" spans="6:9" x14ac:dyDescent="0.3">
      <c r="F105" s="2">
        <v>2020130010307</v>
      </c>
      <c r="G105" t="s">
        <v>1026</v>
      </c>
      <c r="H105" t="s">
        <v>1072</v>
      </c>
      <c r="I105" t="s">
        <v>1112</v>
      </c>
    </row>
    <row r="106" spans="6:9" x14ac:dyDescent="0.3">
      <c r="F106" s="2">
        <v>2020130010308</v>
      </c>
      <c r="G106" t="s">
        <v>1026</v>
      </c>
      <c r="H106" t="s">
        <v>1072</v>
      </c>
      <c r="I106" t="s">
        <v>1112</v>
      </c>
    </row>
    <row r="107" spans="6:9" x14ac:dyDescent="0.3">
      <c r="F107" s="2">
        <v>2020130010309</v>
      </c>
      <c r="G107" t="s">
        <v>1030</v>
      </c>
      <c r="H107" t="s">
        <v>1038</v>
      </c>
      <c r="I107" t="s">
        <v>1077</v>
      </c>
    </row>
    <row r="108" spans="6:9" x14ac:dyDescent="0.3">
      <c r="F108" s="2">
        <v>2020130010319</v>
      </c>
      <c r="G108" t="s">
        <v>1060</v>
      </c>
      <c r="H108" t="s">
        <v>1068</v>
      </c>
      <c r="I108" t="s">
        <v>1069</v>
      </c>
    </row>
    <row r="109" spans="6:9" x14ac:dyDescent="0.3">
      <c r="F109" s="2">
        <v>2020130010320</v>
      </c>
      <c r="G109" t="s">
        <v>1055</v>
      </c>
      <c r="H109" t="s">
        <v>1113</v>
      </c>
      <c r="I109" t="s">
        <v>1114</v>
      </c>
    </row>
    <row r="110" spans="6:9" x14ac:dyDescent="0.3">
      <c r="F110" s="2">
        <v>2020130010321</v>
      </c>
      <c r="G110" t="s">
        <v>1060</v>
      </c>
      <c r="H110" t="s">
        <v>1115</v>
      </c>
      <c r="I110" t="s">
        <v>1116</v>
      </c>
    </row>
    <row r="111" spans="6:9" x14ac:dyDescent="0.3">
      <c r="F111" s="2">
        <v>2020130010324</v>
      </c>
      <c r="G111" t="s">
        <v>1055</v>
      </c>
      <c r="H111" t="s">
        <v>1056</v>
      </c>
      <c r="I111" t="s">
        <v>1117</v>
      </c>
    </row>
    <row r="112" spans="6:9" x14ac:dyDescent="0.3">
      <c r="F112" s="2">
        <v>2020130010325</v>
      </c>
      <c r="G112" t="s">
        <v>1055</v>
      </c>
      <c r="H112" t="s">
        <v>1056</v>
      </c>
      <c r="I112" t="s">
        <v>1118</v>
      </c>
    </row>
    <row r="113" spans="6:9" x14ac:dyDescent="0.3">
      <c r="F113" s="2">
        <v>2020130010326</v>
      </c>
      <c r="G113" t="s">
        <v>1055</v>
      </c>
      <c r="H113" t="s">
        <v>1109</v>
      </c>
      <c r="I113" t="s">
        <v>1119</v>
      </c>
    </row>
    <row r="114" spans="6:9" x14ac:dyDescent="0.3">
      <c r="F114" s="2">
        <v>2020130010327</v>
      </c>
      <c r="G114" t="s">
        <v>1055</v>
      </c>
      <c r="H114" t="s">
        <v>1056</v>
      </c>
      <c r="I114" t="s">
        <v>1120</v>
      </c>
    </row>
    <row r="115" spans="6:9" x14ac:dyDescent="0.3">
      <c r="F115" s="2">
        <v>2020130010329</v>
      </c>
      <c r="G115" t="s">
        <v>1026</v>
      </c>
      <c r="H115" t="s">
        <v>1051</v>
      </c>
      <c r="I115" t="s">
        <v>1121</v>
      </c>
    </row>
    <row r="116" spans="6:9" x14ac:dyDescent="0.3">
      <c r="F116" s="2">
        <v>2020130010331</v>
      </c>
      <c r="G116" t="s">
        <v>1055</v>
      </c>
      <c r="H116" t="s">
        <v>1056</v>
      </c>
      <c r="I116" t="s">
        <v>1122</v>
      </c>
    </row>
    <row r="117" spans="6:9" x14ac:dyDescent="0.3">
      <c r="F117" s="2">
        <v>2020130010332</v>
      </c>
      <c r="G117" t="s">
        <v>1018</v>
      </c>
      <c r="H117" t="s">
        <v>1019</v>
      </c>
      <c r="I117" t="s">
        <v>1020</v>
      </c>
    </row>
    <row r="118" spans="6:9" x14ac:dyDescent="0.3">
      <c r="F118" s="2">
        <v>2021130010001</v>
      </c>
      <c r="G118" t="s">
        <v>1018</v>
      </c>
      <c r="H118" t="s">
        <v>1019</v>
      </c>
      <c r="I118" t="s">
        <v>1020</v>
      </c>
    </row>
    <row r="119" spans="6:9" x14ac:dyDescent="0.3">
      <c r="F119" s="2">
        <v>2021130010003</v>
      </c>
      <c r="G119" t="s">
        <v>1030</v>
      </c>
      <c r="H119" t="s">
        <v>1123</v>
      </c>
      <c r="I119" t="s">
        <v>1124</v>
      </c>
    </row>
    <row r="120" spans="6:9" x14ac:dyDescent="0.3">
      <c r="F120" s="2">
        <v>2021130010005</v>
      </c>
      <c r="G120" t="s">
        <v>1030</v>
      </c>
      <c r="H120" t="s">
        <v>1035</v>
      </c>
      <c r="I120" t="s">
        <v>1078</v>
      </c>
    </row>
    <row r="121" spans="6:9" x14ac:dyDescent="0.3">
      <c r="F121" s="2">
        <v>2021130010006</v>
      </c>
      <c r="G121" t="s">
        <v>1030</v>
      </c>
      <c r="H121" t="s">
        <v>1035</v>
      </c>
      <c r="I121" t="s">
        <v>1125</v>
      </c>
    </row>
    <row r="122" spans="6:9" x14ac:dyDescent="0.3">
      <c r="F122" s="2">
        <v>2021130010011</v>
      </c>
      <c r="G122" t="s">
        <v>1030</v>
      </c>
      <c r="H122" t="s">
        <v>1031</v>
      </c>
      <c r="I122" t="s">
        <v>1126</v>
      </c>
    </row>
    <row r="123" spans="6:9" x14ac:dyDescent="0.3">
      <c r="F123" s="2">
        <v>2021130010012</v>
      </c>
      <c r="G123" t="s">
        <v>1018</v>
      </c>
      <c r="H123" t="s">
        <v>1019</v>
      </c>
      <c r="I123" t="s">
        <v>1020</v>
      </c>
    </row>
    <row r="124" spans="6:9" x14ac:dyDescent="0.3">
      <c r="F124" s="2">
        <v>2021130010013</v>
      </c>
      <c r="G124" t="s">
        <v>1018</v>
      </c>
      <c r="H124" t="s">
        <v>1019</v>
      </c>
      <c r="I124" t="s">
        <v>1020</v>
      </c>
    </row>
    <row r="125" spans="6:9" x14ac:dyDescent="0.3">
      <c r="F125" s="2">
        <v>2021130010014</v>
      </c>
      <c r="G125" t="s">
        <v>1018</v>
      </c>
      <c r="H125" t="s">
        <v>1019</v>
      </c>
      <c r="I125" t="s">
        <v>1020</v>
      </c>
    </row>
    <row r="126" spans="6:9" x14ac:dyDescent="0.3">
      <c r="F126" s="2">
        <v>2021130010015</v>
      </c>
      <c r="G126" t="s">
        <v>1018</v>
      </c>
      <c r="H126" t="s">
        <v>1019</v>
      </c>
      <c r="I126" t="s">
        <v>1020</v>
      </c>
    </row>
    <row r="127" spans="6:9" x14ac:dyDescent="0.3">
      <c r="F127" s="2">
        <v>2021130010017</v>
      </c>
      <c r="G127" t="s">
        <v>1018</v>
      </c>
      <c r="H127" t="s">
        <v>1019</v>
      </c>
      <c r="I127" t="s">
        <v>1020</v>
      </c>
    </row>
    <row r="128" spans="6:9" x14ac:dyDescent="0.3">
      <c r="F128" s="2">
        <v>2021130010018</v>
      </c>
      <c r="G128" t="s">
        <v>1018</v>
      </c>
      <c r="H128" t="s">
        <v>1019</v>
      </c>
      <c r="I128" t="s">
        <v>1020</v>
      </c>
    </row>
    <row r="129" spans="6:9" x14ac:dyDescent="0.3">
      <c r="F129" s="2">
        <v>2021130010019</v>
      </c>
      <c r="G129" t="s">
        <v>1018</v>
      </c>
      <c r="H129" t="s">
        <v>1019</v>
      </c>
      <c r="I129" t="s">
        <v>1020</v>
      </c>
    </row>
    <row r="130" spans="6:9" x14ac:dyDescent="0.3">
      <c r="F130" s="2">
        <v>2021130010020</v>
      </c>
      <c r="G130" t="s">
        <v>1018</v>
      </c>
      <c r="H130" t="s">
        <v>1019</v>
      </c>
      <c r="I130" t="s">
        <v>1020</v>
      </c>
    </row>
    <row r="131" spans="6:9" x14ac:dyDescent="0.3">
      <c r="F131" s="2">
        <v>2021130010021</v>
      </c>
      <c r="G131" t="s">
        <v>1018</v>
      </c>
      <c r="H131" t="s">
        <v>1019</v>
      </c>
      <c r="I131" t="s">
        <v>1020</v>
      </c>
    </row>
    <row r="132" spans="6:9" x14ac:dyDescent="0.3">
      <c r="F132" s="2">
        <v>2021130010022</v>
      </c>
      <c r="G132" t="s">
        <v>1018</v>
      </c>
      <c r="H132" t="s">
        <v>1019</v>
      </c>
      <c r="I132" t="s">
        <v>1020</v>
      </c>
    </row>
    <row r="133" spans="6:9" x14ac:dyDescent="0.3">
      <c r="F133" s="2">
        <v>2021130010023</v>
      </c>
      <c r="G133" t="s">
        <v>1018</v>
      </c>
      <c r="H133" t="s">
        <v>1019</v>
      </c>
      <c r="I133" t="s">
        <v>1020</v>
      </c>
    </row>
    <row r="134" spans="6:9" x14ac:dyDescent="0.3">
      <c r="F134" s="2">
        <v>2021130010035</v>
      </c>
      <c r="G134" t="s">
        <v>1026</v>
      </c>
      <c r="H134" t="s">
        <v>1091</v>
      </c>
      <c r="I134" t="s">
        <v>1092</v>
      </c>
    </row>
    <row r="135" spans="6:9" x14ac:dyDescent="0.3">
      <c r="F135" s="2">
        <v>2021130010036</v>
      </c>
      <c r="G135" t="s">
        <v>1030</v>
      </c>
      <c r="H135" t="s">
        <v>1038</v>
      </c>
      <c r="I135" t="s">
        <v>1103</v>
      </c>
    </row>
    <row r="136" spans="6:9" x14ac:dyDescent="0.3">
      <c r="F136" s="2">
        <v>2021130010039</v>
      </c>
      <c r="G136" t="s">
        <v>1030</v>
      </c>
      <c r="H136" t="s">
        <v>1038</v>
      </c>
      <c r="I136" t="s">
        <v>1070</v>
      </c>
    </row>
    <row r="137" spans="6:9" x14ac:dyDescent="0.3">
      <c r="F137" s="2">
        <v>2021130010042</v>
      </c>
      <c r="G137" t="s">
        <v>1018</v>
      </c>
      <c r="H137" t="s">
        <v>1019</v>
      </c>
      <c r="I137" t="s">
        <v>1020</v>
      </c>
    </row>
    <row r="138" spans="6:9" x14ac:dyDescent="0.3">
      <c r="F138" s="2">
        <v>2021130010044</v>
      </c>
      <c r="G138" t="s">
        <v>1018</v>
      </c>
      <c r="H138" t="s">
        <v>1019</v>
      </c>
      <c r="I138" t="s">
        <v>1020</v>
      </c>
    </row>
    <row r="139" spans="6:9" x14ac:dyDescent="0.3">
      <c r="F139" s="2">
        <v>2021130010045</v>
      </c>
      <c r="G139" t="s">
        <v>1018</v>
      </c>
      <c r="H139" t="s">
        <v>1019</v>
      </c>
      <c r="I139" t="s">
        <v>1020</v>
      </c>
    </row>
    <row r="140" spans="6:9" x14ac:dyDescent="0.3">
      <c r="F140" s="2">
        <v>2021130010047</v>
      </c>
      <c r="G140" t="s">
        <v>1018</v>
      </c>
      <c r="H140" t="s">
        <v>1019</v>
      </c>
      <c r="I140" t="s">
        <v>1020</v>
      </c>
    </row>
    <row r="141" spans="6:9" x14ac:dyDescent="0.3">
      <c r="F141" s="2">
        <v>2021130010048</v>
      </c>
      <c r="G141" t="s">
        <v>1018</v>
      </c>
      <c r="H141" t="s">
        <v>1019</v>
      </c>
      <c r="I141" t="s">
        <v>1020</v>
      </c>
    </row>
    <row r="142" spans="6:9" x14ac:dyDescent="0.3">
      <c r="F142" s="2">
        <v>2021130010049</v>
      </c>
      <c r="G142" t="s">
        <v>1018</v>
      </c>
      <c r="H142" t="s">
        <v>1019</v>
      </c>
      <c r="I142" t="s">
        <v>1020</v>
      </c>
    </row>
    <row r="143" spans="6:9" x14ac:dyDescent="0.3">
      <c r="F143" s="2">
        <v>2021130010050</v>
      </c>
      <c r="G143" t="s">
        <v>1018</v>
      </c>
      <c r="H143" t="s">
        <v>1019</v>
      </c>
      <c r="I143" t="s">
        <v>1020</v>
      </c>
    </row>
    <row r="144" spans="6:9" x14ac:dyDescent="0.3">
      <c r="F144" s="2">
        <v>2021130010051</v>
      </c>
      <c r="G144" t="s">
        <v>1018</v>
      </c>
      <c r="H144" t="s">
        <v>1019</v>
      </c>
      <c r="I144" t="s">
        <v>1020</v>
      </c>
    </row>
    <row r="145" spans="6:9" x14ac:dyDescent="0.3">
      <c r="F145" s="2">
        <v>2021130010052</v>
      </c>
      <c r="G145" t="s">
        <v>1018</v>
      </c>
      <c r="H145" t="s">
        <v>1019</v>
      </c>
      <c r="I145" t="s">
        <v>1020</v>
      </c>
    </row>
    <row r="146" spans="6:9" x14ac:dyDescent="0.3">
      <c r="F146" s="2">
        <v>2021130010054</v>
      </c>
      <c r="G146" t="s">
        <v>1018</v>
      </c>
      <c r="H146" t="s">
        <v>1019</v>
      </c>
      <c r="I146" t="s">
        <v>1020</v>
      </c>
    </row>
    <row r="147" spans="6:9" x14ac:dyDescent="0.3">
      <c r="F147" s="2">
        <v>2021130010055</v>
      </c>
      <c r="G147" t="s">
        <v>1018</v>
      </c>
      <c r="H147" t="s">
        <v>1019</v>
      </c>
      <c r="I147" t="s">
        <v>1020</v>
      </c>
    </row>
    <row r="148" spans="6:9" x14ac:dyDescent="0.3">
      <c r="F148" s="2">
        <v>2021130010056</v>
      </c>
      <c r="G148" t="s">
        <v>1018</v>
      </c>
      <c r="H148" t="s">
        <v>1019</v>
      </c>
      <c r="I148" t="s">
        <v>1020</v>
      </c>
    </row>
    <row r="149" spans="6:9" x14ac:dyDescent="0.3">
      <c r="F149" s="2">
        <v>2021130010058</v>
      </c>
      <c r="G149" t="s">
        <v>1018</v>
      </c>
      <c r="H149" t="s">
        <v>1019</v>
      </c>
      <c r="I149" t="s">
        <v>1020</v>
      </c>
    </row>
    <row r="150" spans="6:9" x14ac:dyDescent="0.3">
      <c r="F150" s="2">
        <v>2021130010059</v>
      </c>
      <c r="G150" t="s">
        <v>1018</v>
      </c>
      <c r="H150" t="s">
        <v>1019</v>
      </c>
      <c r="I150" t="s">
        <v>1020</v>
      </c>
    </row>
    <row r="151" spans="6:9" x14ac:dyDescent="0.3">
      <c r="F151" s="2">
        <v>2021130010060</v>
      </c>
      <c r="G151" t="s">
        <v>1018</v>
      </c>
      <c r="H151" t="s">
        <v>1019</v>
      </c>
      <c r="I151" t="s">
        <v>1020</v>
      </c>
    </row>
    <row r="152" spans="6:9" x14ac:dyDescent="0.3">
      <c r="F152" s="2">
        <v>2021130010061</v>
      </c>
      <c r="G152" t="s">
        <v>1018</v>
      </c>
      <c r="H152" t="s">
        <v>1019</v>
      </c>
      <c r="I152" t="s">
        <v>1020</v>
      </c>
    </row>
    <row r="153" spans="6:9" x14ac:dyDescent="0.3">
      <c r="F153" s="2">
        <v>2021130010062</v>
      </c>
      <c r="G153" t="s">
        <v>1018</v>
      </c>
      <c r="H153" t="s">
        <v>1019</v>
      </c>
      <c r="I153" t="s">
        <v>1020</v>
      </c>
    </row>
    <row r="154" spans="6:9" x14ac:dyDescent="0.3">
      <c r="F154" s="2">
        <v>2021130010063</v>
      </c>
      <c r="G154" t="s">
        <v>1018</v>
      </c>
      <c r="H154" t="s">
        <v>1019</v>
      </c>
      <c r="I154" t="s">
        <v>1020</v>
      </c>
    </row>
    <row r="155" spans="6:9" x14ac:dyDescent="0.3">
      <c r="F155" s="2">
        <v>2021130010064</v>
      </c>
      <c r="G155" t="s">
        <v>1018</v>
      </c>
      <c r="H155" t="s">
        <v>1019</v>
      </c>
      <c r="I155" t="s">
        <v>1020</v>
      </c>
    </row>
    <row r="156" spans="6:9" x14ac:dyDescent="0.3">
      <c r="F156" s="2">
        <v>2021130010065</v>
      </c>
      <c r="G156" t="s">
        <v>1018</v>
      </c>
      <c r="H156" t="s">
        <v>1019</v>
      </c>
      <c r="I156" t="s">
        <v>1020</v>
      </c>
    </row>
    <row r="157" spans="6:9" x14ac:dyDescent="0.3">
      <c r="F157" s="2">
        <v>2021130010070</v>
      </c>
      <c r="G157" t="s">
        <v>1018</v>
      </c>
      <c r="H157" t="s">
        <v>1019</v>
      </c>
      <c r="I157" t="s">
        <v>1020</v>
      </c>
    </row>
    <row r="158" spans="6:9" x14ac:dyDescent="0.3">
      <c r="F158" s="2">
        <v>2021130010073</v>
      </c>
      <c r="G158" t="s">
        <v>1018</v>
      </c>
      <c r="H158" t="s">
        <v>1019</v>
      </c>
      <c r="I158" t="s">
        <v>1020</v>
      </c>
    </row>
    <row r="159" spans="6:9" x14ac:dyDescent="0.3">
      <c r="F159" s="2">
        <v>2021130010074</v>
      </c>
      <c r="G159" t="s">
        <v>1018</v>
      </c>
      <c r="H159" t="s">
        <v>1019</v>
      </c>
      <c r="I159" t="s">
        <v>1020</v>
      </c>
    </row>
    <row r="160" spans="6:9" x14ac:dyDescent="0.3">
      <c r="F160" s="2">
        <v>2021130010075</v>
      </c>
      <c r="G160" t="s">
        <v>1018</v>
      </c>
      <c r="H160" t="s">
        <v>1019</v>
      </c>
      <c r="I160" t="s">
        <v>1020</v>
      </c>
    </row>
    <row r="161" spans="6:9" x14ac:dyDescent="0.3">
      <c r="F161" s="2">
        <v>2021130010076</v>
      </c>
      <c r="G161" t="s">
        <v>1018</v>
      </c>
      <c r="H161" t="s">
        <v>1019</v>
      </c>
      <c r="I161" t="s">
        <v>1020</v>
      </c>
    </row>
    <row r="162" spans="6:9" x14ac:dyDescent="0.3">
      <c r="F162" s="2">
        <v>2021130010079</v>
      </c>
      <c r="G162" t="s">
        <v>1018</v>
      </c>
      <c r="H162" t="s">
        <v>1019</v>
      </c>
      <c r="I162" t="s">
        <v>1020</v>
      </c>
    </row>
    <row r="163" spans="6:9" x14ac:dyDescent="0.3">
      <c r="F163" s="2">
        <v>2021130010082</v>
      </c>
      <c r="G163" t="s">
        <v>1018</v>
      </c>
      <c r="H163" t="s">
        <v>1019</v>
      </c>
      <c r="I163" t="s">
        <v>1020</v>
      </c>
    </row>
    <row r="164" spans="6:9" x14ac:dyDescent="0.3">
      <c r="F164" s="2">
        <v>2021130010083</v>
      </c>
      <c r="G164" t="s">
        <v>1018</v>
      </c>
      <c r="H164" t="s">
        <v>1019</v>
      </c>
      <c r="I164" t="s">
        <v>1020</v>
      </c>
    </row>
    <row r="165" spans="6:9" x14ac:dyDescent="0.3">
      <c r="F165" s="2">
        <v>2021130010085</v>
      </c>
      <c r="G165" t="s">
        <v>1018</v>
      </c>
      <c r="H165" t="s">
        <v>1019</v>
      </c>
      <c r="I165" t="s">
        <v>1020</v>
      </c>
    </row>
    <row r="166" spans="6:9" x14ac:dyDescent="0.3">
      <c r="F166" s="2">
        <v>2021130010087</v>
      </c>
      <c r="G166" t="s">
        <v>1018</v>
      </c>
      <c r="H166" t="s">
        <v>1019</v>
      </c>
      <c r="I166" t="s">
        <v>1020</v>
      </c>
    </row>
    <row r="167" spans="6:9" x14ac:dyDescent="0.3">
      <c r="F167" s="2">
        <v>2021130010088</v>
      </c>
      <c r="G167" t="s">
        <v>1018</v>
      </c>
      <c r="H167" t="s">
        <v>1019</v>
      </c>
      <c r="I167" t="s">
        <v>1020</v>
      </c>
    </row>
    <row r="168" spans="6:9" x14ac:dyDescent="0.3">
      <c r="F168" s="2">
        <v>2021130010089</v>
      </c>
      <c r="G168" t="s">
        <v>1018</v>
      </c>
      <c r="H168" t="s">
        <v>1019</v>
      </c>
      <c r="I168" t="s">
        <v>1020</v>
      </c>
    </row>
    <row r="169" spans="6:9" x14ac:dyDescent="0.3">
      <c r="F169" s="2">
        <v>2021130010090</v>
      </c>
      <c r="G169" t="s">
        <v>1060</v>
      </c>
      <c r="H169" t="s">
        <v>1080</v>
      </c>
      <c r="I169" t="s">
        <v>1082</v>
      </c>
    </row>
    <row r="170" spans="6:9" x14ac:dyDescent="0.3">
      <c r="F170" s="2">
        <v>2021130010091</v>
      </c>
      <c r="G170" t="s">
        <v>1018</v>
      </c>
      <c r="H170" t="s">
        <v>1019</v>
      </c>
      <c r="I170" t="s">
        <v>1020</v>
      </c>
    </row>
    <row r="171" spans="6:9" x14ac:dyDescent="0.3">
      <c r="F171" s="2">
        <v>2021130010092</v>
      </c>
      <c r="G171" t="s">
        <v>1018</v>
      </c>
      <c r="H171" t="s">
        <v>1019</v>
      </c>
      <c r="I171" t="s">
        <v>1020</v>
      </c>
    </row>
    <row r="172" spans="6:9" x14ac:dyDescent="0.3">
      <c r="F172" s="2">
        <v>2021130010093</v>
      </c>
      <c r="G172" t="s">
        <v>1018</v>
      </c>
      <c r="H172" t="s">
        <v>1019</v>
      </c>
      <c r="I172" t="s">
        <v>1020</v>
      </c>
    </row>
    <row r="173" spans="6:9" x14ac:dyDescent="0.3">
      <c r="F173" s="2">
        <v>2021130010095</v>
      </c>
      <c r="G173" t="s">
        <v>1018</v>
      </c>
      <c r="H173" t="s">
        <v>1019</v>
      </c>
      <c r="I173" t="s">
        <v>1020</v>
      </c>
    </row>
    <row r="174" spans="6:9" x14ac:dyDescent="0.3">
      <c r="F174" s="2">
        <v>2021130010098</v>
      </c>
      <c r="G174" t="s">
        <v>1018</v>
      </c>
      <c r="H174" t="s">
        <v>1019</v>
      </c>
      <c r="I174" t="s">
        <v>1020</v>
      </c>
    </row>
    <row r="175" spans="6:9" x14ac:dyDescent="0.3">
      <c r="F175" s="2">
        <v>2021130010099</v>
      </c>
      <c r="G175" t="s">
        <v>1018</v>
      </c>
      <c r="H175" t="s">
        <v>1019</v>
      </c>
      <c r="I175" t="s">
        <v>1020</v>
      </c>
    </row>
    <row r="176" spans="6:9" x14ac:dyDescent="0.3">
      <c r="F176" s="2">
        <v>2021130010100</v>
      </c>
      <c r="G176" t="s">
        <v>1018</v>
      </c>
      <c r="H176" t="s">
        <v>1019</v>
      </c>
      <c r="I176" t="s">
        <v>1020</v>
      </c>
    </row>
    <row r="177" spans="6:9" x14ac:dyDescent="0.3">
      <c r="F177" s="2">
        <v>2021130010101</v>
      </c>
      <c r="G177" t="s">
        <v>1018</v>
      </c>
      <c r="H177" t="s">
        <v>1019</v>
      </c>
      <c r="I177" t="s">
        <v>1020</v>
      </c>
    </row>
    <row r="178" spans="6:9" x14ac:dyDescent="0.3">
      <c r="F178" s="2">
        <v>2021130010102</v>
      </c>
      <c r="G178" t="s">
        <v>1018</v>
      </c>
      <c r="H178" t="s">
        <v>1019</v>
      </c>
      <c r="I178" t="s">
        <v>1020</v>
      </c>
    </row>
    <row r="179" spans="6:9" x14ac:dyDescent="0.3">
      <c r="F179" s="2">
        <v>2021130010103</v>
      </c>
      <c r="G179" t="s">
        <v>1018</v>
      </c>
      <c r="H179" t="s">
        <v>1019</v>
      </c>
      <c r="I179" t="s">
        <v>1020</v>
      </c>
    </row>
    <row r="180" spans="6:9" x14ac:dyDescent="0.3">
      <c r="F180" s="2">
        <v>2021130010104</v>
      </c>
      <c r="G180" t="s">
        <v>1018</v>
      </c>
      <c r="H180" t="s">
        <v>1019</v>
      </c>
      <c r="I180" t="s">
        <v>1020</v>
      </c>
    </row>
    <row r="181" spans="6:9" x14ac:dyDescent="0.3">
      <c r="F181" s="2">
        <v>2021130010105</v>
      </c>
      <c r="G181" t="s">
        <v>1018</v>
      </c>
      <c r="H181" t="s">
        <v>1019</v>
      </c>
      <c r="I181" t="s">
        <v>1020</v>
      </c>
    </row>
    <row r="182" spans="6:9" x14ac:dyDescent="0.3">
      <c r="F182" s="2">
        <v>2021130010106</v>
      </c>
      <c r="G182" t="s">
        <v>1018</v>
      </c>
      <c r="H182" t="s">
        <v>1019</v>
      </c>
      <c r="I182" t="s">
        <v>1020</v>
      </c>
    </row>
    <row r="183" spans="6:9" x14ac:dyDescent="0.3">
      <c r="F183" s="2">
        <v>2021130010107</v>
      </c>
      <c r="G183" t="s">
        <v>1018</v>
      </c>
      <c r="H183" t="s">
        <v>1019</v>
      </c>
      <c r="I183" t="s">
        <v>1020</v>
      </c>
    </row>
    <row r="184" spans="6:9" x14ac:dyDescent="0.3">
      <c r="F184" s="2">
        <v>2021130010110</v>
      </c>
      <c r="G184" t="s">
        <v>1018</v>
      </c>
      <c r="H184" t="s">
        <v>1019</v>
      </c>
      <c r="I184" t="s">
        <v>1020</v>
      </c>
    </row>
    <row r="185" spans="6:9" x14ac:dyDescent="0.3">
      <c r="F185" s="2">
        <v>2021130010111</v>
      </c>
      <c r="G185" t="s">
        <v>1018</v>
      </c>
      <c r="H185" t="s">
        <v>1019</v>
      </c>
      <c r="I185" t="s">
        <v>1020</v>
      </c>
    </row>
    <row r="186" spans="6:9" x14ac:dyDescent="0.3">
      <c r="F186" s="2">
        <v>2021130010112</v>
      </c>
      <c r="G186" t="s">
        <v>1018</v>
      </c>
      <c r="H186" t="s">
        <v>1019</v>
      </c>
      <c r="I186" t="s">
        <v>1020</v>
      </c>
    </row>
    <row r="187" spans="6:9" x14ac:dyDescent="0.3">
      <c r="F187" s="2">
        <v>2021130010113</v>
      </c>
      <c r="G187" t="s">
        <v>1018</v>
      </c>
      <c r="H187" t="s">
        <v>1019</v>
      </c>
      <c r="I187" t="s">
        <v>1020</v>
      </c>
    </row>
    <row r="188" spans="6:9" x14ac:dyDescent="0.3">
      <c r="F188" s="2">
        <v>2021130010114</v>
      </c>
      <c r="G188" t="s">
        <v>1018</v>
      </c>
      <c r="H188" t="s">
        <v>1019</v>
      </c>
      <c r="I188" t="s">
        <v>1020</v>
      </c>
    </row>
    <row r="189" spans="6:9" x14ac:dyDescent="0.3">
      <c r="F189" s="2">
        <v>2021130010115</v>
      </c>
      <c r="G189" t="s">
        <v>1018</v>
      </c>
      <c r="H189" t="s">
        <v>1019</v>
      </c>
      <c r="I189" t="s">
        <v>1020</v>
      </c>
    </row>
    <row r="190" spans="6:9" x14ac:dyDescent="0.3">
      <c r="F190" s="2">
        <v>2021130010117</v>
      </c>
      <c r="G190" t="s">
        <v>1018</v>
      </c>
      <c r="H190" t="s">
        <v>1019</v>
      </c>
      <c r="I190" t="s">
        <v>1020</v>
      </c>
    </row>
    <row r="191" spans="6:9" x14ac:dyDescent="0.3">
      <c r="F191" s="2">
        <v>2021130010118</v>
      </c>
      <c r="G191" t="s">
        <v>1018</v>
      </c>
      <c r="H191" t="s">
        <v>1019</v>
      </c>
      <c r="I191" t="s">
        <v>1020</v>
      </c>
    </row>
    <row r="192" spans="6:9" x14ac:dyDescent="0.3">
      <c r="F192" s="2">
        <v>2021130010119</v>
      </c>
      <c r="G192" t="s">
        <v>1018</v>
      </c>
      <c r="H192" t="s">
        <v>1019</v>
      </c>
      <c r="I192" t="s">
        <v>1020</v>
      </c>
    </row>
    <row r="193" spans="6:9" x14ac:dyDescent="0.3">
      <c r="F193" s="2">
        <v>2021130010121</v>
      </c>
      <c r="G193" t="s">
        <v>1060</v>
      </c>
      <c r="H193" t="s">
        <v>1127</v>
      </c>
      <c r="I193" t="s">
        <v>1128</v>
      </c>
    </row>
    <row r="194" spans="6:9" x14ac:dyDescent="0.3">
      <c r="F194" s="2">
        <v>2021130010123</v>
      </c>
      <c r="G194" t="s">
        <v>1018</v>
      </c>
      <c r="H194" t="s">
        <v>1019</v>
      </c>
      <c r="I194" t="s">
        <v>1020</v>
      </c>
    </row>
    <row r="195" spans="6:9" x14ac:dyDescent="0.3">
      <c r="F195" s="2">
        <v>2021130010125</v>
      </c>
      <c r="G195" t="s">
        <v>1018</v>
      </c>
      <c r="H195" t="s">
        <v>1019</v>
      </c>
      <c r="I195" t="s">
        <v>1020</v>
      </c>
    </row>
    <row r="196" spans="6:9" x14ac:dyDescent="0.3">
      <c r="F196" s="2">
        <v>2021130010126</v>
      </c>
      <c r="G196" t="s">
        <v>1018</v>
      </c>
      <c r="H196" t="s">
        <v>1019</v>
      </c>
      <c r="I196" t="s">
        <v>1020</v>
      </c>
    </row>
    <row r="197" spans="6:9" x14ac:dyDescent="0.3">
      <c r="F197" s="2">
        <v>2021130010127</v>
      </c>
      <c r="G197" t="s">
        <v>1018</v>
      </c>
      <c r="H197" t="s">
        <v>1019</v>
      </c>
      <c r="I197" t="s">
        <v>1020</v>
      </c>
    </row>
    <row r="198" spans="6:9" x14ac:dyDescent="0.3">
      <c r="F198" s="2">
        <v>2021130010131</v>
      </c>
      <c r="G198" t="s">
        <v>1018</v>
      </c>
      <c r="H198" t="s">
        <v>1019</v>
      </c>
      <c r="I198" t="s">
        <v>1020</v>
      </c>
    </row>
    <row r="199" spans="6:9" x14ac:dyDescent="0.3">
      <c r="F199" s="2">
        <v>2021130010132</v>
      </c>
      <c r="G199" t="s">
        <v>1018</v>
      </c>
      <c r="H199" t="s">
        <v>1019</v>
      </c>
      <c r="I199" t="s">
        <v>1020</v>
      </c>
    </row>
    <row r="200" spans="6:9" x14ac:dyDescent="0.3">
      <c r="F200" s="2">
        <v>2021130010134</v>
      </c>
      <c r="G200" t="s">
        <v>1060</v>
      </c>
      <c r="H200" t="s">
        <v>1127</v>
      </c>
      <c r="I200" t="s">
        <v>1129</v>
      </c>
    </row>
    <row r="201" spans="6:9" x14ac:dyDescent="0.3">
      <c r="F201" s="2">
        <v>2021130010141</v>
      </c>
      <c r="G201" t="s">
        <v>1026</v>
      </c>
      <c r="H201" t="s">
        <v>1098</v>
      </c>
      <c r="I201" t="s">
        <v>1099</v>
      </c>
    </row>
    <row r="202" spans="6:9" x14ac:dyDescent="0.3">
      <c r="F202" s="2">
        <v>2021130010142</v>
      </c>
      <c r="G202" t="s">
        <v>1026</v>
      </c>
      <c r="H202" t="s">
        <v>1027</v>
      </c>
      <c r="I202" t="s">
        <v>1130</v>
      </c>
    </row>
    <row r="203" spans="6:9" x14ac:dyDescent="0.3">
      <c r="F203" s="2">
        <v>2021130010143</v>
      </c>
      <c r="G203" t="s">
        <v>1018</v>
      </c>
      <c r="H203" t="s">
        <v>1024</v>
      </c>
      <c r="I203" t="s">
        <v>1131</v>
      </c>
    </row>
    <row r="204" spans="6:9" x14ac:dyDescent="0.3">
      <c r="F204" s="2">
        <v>2021130010145</v>
      </c>
      <c r="G204" t="s">
        <v>1060</v>
      </c>
      <c r="H204" t="s">
        <v>1127</v>
      </c>
      <c r="I204" t="s">
        <v>1132</v>
      </c>
    </row>
    <row r="205" spans="6:9" x14ac:dyDescent="0.3">
      <c r="F205" s="2">
        <v>2021130010146</v>
      </c>
      <c r="G205" t="s">
        <v>1055</v>
      </c>
      <c r="H205" t="s">
        <v>1133</v>
      </c>
      <c r="I205" t="s">
        <v>1134</v>
      </c>
    </row>
    <row r="206" spans="6:9" x14ac:dyDescent="0.3">
      <c r="F206" s="2">
        <v>2021130010147</v>
      </c>
      <c r="G206" t="s">
        <v>1026</v>
      </c>
      <c r="H206" t="s">
        <v>1027</v>
      </c>
      <c r="I206" t="s">
        <v>1135</v>
      </c>
    </row>
    <row r="207" spans="6:9" x14ac:dyDescent="0.3">
      <c r="F207" s="2">
        <v>2021130010148</v>
      </c>
      <c r="G207" t="s">
        <v>1060</v>
      </c>
      <c r="H207" t="s">
        <v>1127</v>
      </c>
      <c r="I207" t="s">
        <v>1136</v>
      </c>
    </row>
    <row r="208" spans="6:9" x14ac:dyDescent="0.3">
      <c r="F208" s="2">
        <v>2021130010150</v>
      </c>
      <c r="G208" t="s">
        <v>1030</v>
      </c>
      <c r="H208" t="s">
        <v>1042</v>
      </c>
      <c r="I208" t="s">
        <v>1046</v>
      </c>
    </row>
    <row r="209" spans="6:9" x14ac:dyDescent="0.3">
      <c r="F209" s="2">
        <v>2021130010151</v>
      </c>
      <c r="G209" t="s">
        <v>1030</v>
      </c>
      <c r="H209" t="s">
        <v>1038</v>
      </c>
      <c r="I209" t="s">
        <v>1137</v>
      </c>
    </row>
    <row r="210" spans="6:9" x14ac:dyDescent="0.3">
      <c r="F210" s="2">
        <v>2021130010152</v>
      </c>
      <c r="G210" t="s">
        <v>1030</v>
      </c>
      <c r="H210" t="s">
        <v>1038</v>
      </c>
      <c r="I210" t="s">
        <v>1137</v>
      </c>
    </row>
    <row r="211" spans="6:9" x14ac:dyDescent="0.3">
      <c r="F211" s="2">
        <v>2021130010153</v>
      </c>
      <c r="G211" t="s">
        <v>1030</v>
      </c>
      <c r="H211" t="s">
        <v>1042</v>
      </c>
      <c r="I211" t="s">
        <v>1046</v>
      </c>
    </row>
    <row r="212" spans="6:9" x14ac:dyDescent="0.3">
      <c r="F212" s="2">
        <v>2021130010154</v>
      </c>
      <c r="G212" t="s">
        <v>1026</v>
      </c>
      <c r="H212" t="s">
        <v>1098</v>
      </c>
      <c r="I212" t="s">
        <v>1138</v>
      </c>
    </row>
    <row r="213" spans="6:9" x14ac:dyDescent="0.3">
      <c r="F213" s="2">
        <v>2021130010155</v>
      </c>
      <c r="G213" t="s">
        <v>1026</v>
      </c>
      <c r="H213" t="s">
        <v>1098</v>
      </c>
      <c r="I213" t="s">
        <v>1139</v>
      </c>
    </row>
    <row r="214" spans="6:9" x14ac:dyDescent="0.3">
      <c r="F214" s="2">
        <v>2021130010156</v>
      </c>
      <c r="G214" t="s">
        <v>1030</v>
      </c>
      <c r="H214" t="s">
        <v>1042</v>
      </c>
      <c r="I214" t="s">
        <v>1046</v>
      </c>
    </row>
    <row r="215" spans="6:9" x14ac:dyDescent="0.3">
      <c r="F215" s="2">
        <v>2021130010157</v>
      </c>
      <c r="G215" t="s">
        <v>1030</v>
      </c>
      <c r="H215" t="s">
        <v>1042</v>
      </c>
      <c r="I215" t="s">
        <v>1083</v>
      </c>
    </row>
    <row r="216" spans="6:9" x14ac:dyDescent="0.3">
      <c r="F216" s="2">
        <v>2021130010158</v>
      </c>
      <c r="G216" t="s">
        <v>1030</v>
      </c>
      <c r="H216" t="s">
        <v>1048</v>
      </c>
      <c r="I216" t="s">
        <v>1140</v>
      </c>
    </row>
    <row r="217" spans="6:9" x14ac:dyDescent="0.3">
      <c r="F217" s="2">
        <v>2021130010159</v>
      </c>
      <c r="G217" t="s">
        <v>1030</v>
      </c>
      <c r="H217" t="s">
        <v>1048</v>
      </c>
      <c r="I217" t="s">
        <v>1141</v>
      </c>
    </row>
    <row r="218" spans="6:9" x14ac:dyDescent="0.3">
      <c r="F218" s="2">
        <v>2021130010160</v>
      </c>
      <c r="G218" t="s">
        <v>1030</v>
      </c>
      <c r="H218" t="s">
        <v>1048</v>
      </c>
      <c r="I218" t="s">
        <v>1142</v>
      </c>
    </row>
    <row r="219" spans="6:9" x14ac:dyDescent="0.3">
      <c r="F219" s="2">
        <v>2021130010161</v>
      </c>
      <c r="G219" t="s">
        <v>1030</v>
      </c>
      <c r="H219" t="s">
        <v>1048</v>
      </c>
      <c r="I219" t="s">
        <v>1143</v>
      </c>
    </row>
    <row r="220" spans="6:9" x14ac:dyDescent="0.3">
      <c r="F220" s="2">
        <v>2021130010162</v>
      </c>
      <c r="G220" t="s">
        <v>1030</v>
      </c>
      <c r="H220" t="s">
        <v>1048</v>
      </c>
      <c r="I220" t="s">
        <v>1144</v>
      </c>
    </row>
    <row r="221" spans="6:9" x14ac:dyDescent="0.3">
      <c r="F221" s="2">
        <v>2021130010163</v>
      </c>
      <c r="G221" t="s">
        <v>1030</v>
      </c>
      <c r="H221" t="s">
        <v>1048</v>
      </c>
      <c r="I221" t="s">
        <v>1145</v>
      </c>
    </row>
    <row r="222" spans="6:9" x14ac:dyDescent="0.3">
      <c r="F222" s="2">
        <v>2021130010164</v>
      </c>
      <c r="G222" t="s">
        <v>1030</v>
      </c>
      <c r="H222" t="s">
        <v>1048</v>
      </c>
      <c r="I222" t="s">
        <v>1146</v>
      </c>
    </row>
    <row r="223" spans="6:9" x14ac:dyDescent="0.3">
      <c r="F223" s="2">
        <v>2021130010165</v>
      </c>
      <c r="G223" t="s">
        <v>1030</v>
      </c>
      <c r="H223" t="s">
        <v>1048</v>
      </c>
      <c r="I223" t="s">
        <v>1147</v>
      </c>
    </row>
    <row r="224" spans="6:9" x14ac:dyDescent="0.3">
      <c r="F224" s="2">
        <v>2021130010166</v>
      </c>
      <c r="G224" t="s">
        <v>1018</v>
      </c>
      <c r="H224" t="s">
        <v>1019</v>
      </c>
      <c r="I224" t="s">
        <v>1020</v>
      </c>
    </row>
    <row r="225" spans="6:9" x14ac:dyDescent="0.3">
      <c r="F225" s="2">
        <v>2021130010167</v>
      </c>
      <c r="G225" t="s">
        <v>1026</v>
      </c>
      <c r="H225" t="s">
        <v>1072</v>
      </c>
      <c r="I225" t="s">
        <v>1148</v>
      </c>
    </row>
    <row r="226" spans="6:9" x14ac:dyDescent="0.3">
      <c r="F226" s="2">
        <v>2021130010168</v>
      </c>
      <c r="G226" t="s">
        <v>1030</v>
      </c>
      <c r="H226" t="s">
        <v>1042</v>
      </c>
      <c r="I226" t="s">
        <v>1046</v>
      </c>
    </row>
    <row r="227" spans="6:9" x14ac:dyDescent="0.3">
      <c r="F227" s="2">
        <v>2021130010169</v>
      </c>
      <c r="G227" t="s">
        <v>1030</v>
      </c>
      <c r="H227" t="s">
        <v>1042</v>
      </c>
      <c r="I227" t="s">
        <v>1149</v>
      </c>
    </row>
    <row r="228" spans="6:9" x14ac:dyDescent="0.3">
      <c r="F228" s="2">
        <v>2021130010170</v>
      </c>
      <c r="G228" t="s">
        <v>1030</v>
      </c>
      <c r="H228" t="s">
        <v>1042</v>
      </c>
      <c r="I228" t="s">
        <v>1046</v>
      </c>
    </row>
    <row r="229" spans="6:9" x14ac:dyDescent="0.3">
      <c r="F229" s="2">
        <v>2021130010172</v>
      </c>
      <c r="G229" t="s">
        <v>1030</v>
      </c>
      <c r="H229" t="s">
        <v>1038</v>
      </c>
      <c r="I229" t="s">
        <v>1150</v>
      </c>
    </row>
    <row r="230" spans="6:9" x14ac:dyDescent="0.3">
      <c r="F230" s="2">
        <v>2021130010174</v>
      </c>
      <c r="G230" t="s">
        <v>1026</v>
      </c>
      <c r="H230" t="s">
        <v>1106</v>
      </c>
      <c r="I230" t="s">
        <v>1151</v>
      </c>
    </row>
    <row r="231" spans="6:9" x14ac:dyDescent="0.3">
      <c r="F231" s="2">
        <v>2021130010176</v>
      </c>
      <c r="G231" t="s">
        <v>1018</v>
      </c>
      <c r="H231" t="s">
        <v>1021</v>
      </c>
      <c r="I231" t="s">
        <v>1152</v>
      </c>
    </row>
    <row r="232" spans="6:9" x14ac:dyDescent="0.3">
      <c r="F232" s="2">
        <v>2021130010177</v>
      </c>
      <c r="G232" t="s">
        <v>1018</v>
      </c>
      <c r="H232" t="s">
        <v>1019</v>
      </c>
      <c r="I232" t="s">
        <v>1153</v>
      </c>
    </row>
    <row r="233" spans="6:9" x14ac:dyDescent="0.3">
      <c r="F233" s="2">
        <v>2021130010178</v>
      </c>
      <c r="G233" t="s">
        <v>1018</v>
      </c>
      <c r="H233" t="s">
        <v>1104</v>
      </c>
      <c r="I233" t="s">
        <v>1105</v>
      </c>
    </row>
    <row r="234" spans="6:9" x14ac:dyDescent="0.3">
      <c r="F234" s="2">
        <v>2021130010179</v>
      </c>
      <c r="G234" t="s">
        <v>1030</v>
      </c>
      <c r="H234" t="s">
        <v>1123</v>
      </c>
      <c r="I234" t="s">
        <v>1154</v>
      </c>
    </row>
    <row r="235" spans="6:9" x14ac:dyDescent="0.3">
      <c r="F235" s="2">
        <v>2021130010180</v>
      </c>
      <c r="G235" t="s">
        <v>1018</v>
      </c>
      <c r="H235" t="s">
        <v>1021</v>
      </c>
      <c r="I235" t="s">
        <v>1155</v>
      </c>
    </row>
    <row r="236" spans="6:9" x14ac:dyDescent="0.3">
      <c r="F236" s="2">
        <v>2021130010181</v>
      </c>
      <c r="G236" t="s">
        <v>1026</v>
      </c>
      <c r="H236" t="s">
        <v>1091</v>
      </c>
      <c r="I236" t="s">
        <v>1092</v>
      </c>
    </row>
    <row r="237" spans="6:9" x14ac:dyDescent="0.3">
      <c r="F237" s="2">
        <v>2021130010182</v>
      </c>
      <c r="G237" t="s">
        <v>1026</v>
      </c>
      <c r="H237" t="s">
        <v>1084</v>
      </c>
      <c r="I237" t="s">
        <v>1156</v>
      </c>
    </row>
    <row r="238" spans="6:9" x14ac:dyDescent="0.3">
      <c r="F238" s="2">
        <v>2021130010183</v>
      </c>
      <c r="G238" t="s">
        <v>1055</v>
      </c>
      <c r="H238" t="s">
        <v>1109</v>
      </c>
      <c r="I238" t="s">
        <v>1157</v>
      </c>
    </row>
    <row r="239" spans="6:9" x14ac:dyDescent="0.3">
      <c r="F239" s="2">
        <v>2021130010184</v>
      </c>
      <c r="G239" t="s">
        <v>1026</v>
      </c>
      <c r="H239" t="s">
        <v>1098</v>
      </c>
      <c r="I239" t="s">
        <v>1158</v>
      </c>
    </row>
    <row r="240" spans="6:9" x14ac:dyDescent="0.3">
      <c r="F240" s="2">
        <v>2021130010185</v>
      </c>
      <c r="G240" t="s">
        <v>1026</v>
      </c>
      <c r="H240" t="s">
        <v>1084</v>
      </c>
      <c r="I240" t="s">
        <v>1156</v>
      </c>
    </row>
    <row r="241" spans="6:9" x14ac:dyDescent="0.3">
      <c r="F241" s="2">
        <v>2021130010186</v>
      </c>
      <c r="G241" t="s">
        <v>1055</v>
      </c>
      <c r="H241" t="s">
        <v>1056</v>
      </c>
      <c r="I241" t="s">
        <v>1159</v>
      </c>
    </row>
    <row r="242" spans="6:9" x14ac:dyDescent="0.3">
      <c r="F242" s="2">
        <v>2021130010187</v>
      </c>
      <c r="G242" t="s">
        <v>1060</v>
      </c>
      <c r="H242" t="s">
        <v>1127</v>
      </c>
      <c r="I242" t="s">
        <v>1160</v>
      </c>
    </row>
    <row r="243" spans="6:9" x14ac:dyDescent="0.3">
      <c r="F243" s="2">
        <v>2021130010188</v>
      </c>
      <c r="G243" t="s">
        <v>1060</v>
      </c>
      <c r="H243" t="s">
        <v>1115</v>
      </c>
      <c r="I243" t="s">
        <v>1161</v>
      </c>
    </row>
    <row r="244" spans="6:9" x14ac:dyDescent="0.3">
      <c r="F244" s="2">
        <v>2021130010189</v>
      </c>
      <c r="G244" t="s">
        <v>1018</v>
      </c>
      <c r="H244" t="s">
        <v>1162</v>
      </c>
      <c r="I244" t="s">
        <v>1163</v>
      </c>
    </row>
    <row r="245" spans="6:9" x14ac:dyDescent="0.3">
      <c r="F245" s="2">
        <v>2021130010190</v>
      </c>
      <c r="G245" t="s">
        <v>1055</v>
      </c>
      <c r="H245" t="s">
        <v>1056</v>
      </c>
      <c r="I245" t="s">
        <v>1164</v>
      </c>
    </row>
    <row r="246" spans="6:9" x14ac:dyDescent="0.3">
      <c r="F246" s="2">
        <v>2021130010191</v>
      </c>
      <c r="G246" t="s">
        <v>1026</v>
      </c>
      <c r="H246" t="s">
        <v>1084</v>
      </c>
      <c r="I246" t="s">
        <v>1096</v>
      </c>
    </row>
    <row r="247" spans="6:9" x14ac:dyDescent="0.3">
      <c r="F247" s="2">
        <v>2021130010192</v>
      </c>
      <c r="G247" t="s">
        <v>1018</v>
      </c>
      <c r="H247" t="s">
        <v>1021</v>
      </c>
      <c r="I247" t="s">
        <v>1165</v>
      </c>
    </row>
    <row r="248" spans="6:9" x14ac:dyDescent="0.3">
      <c r="F248" s="2">
        <v>2021130010193</v>
      </c>
      <c r="G248" t="s">
        <v>1055</v>
      </c>
      <c r="H248" t="s">
        <v>1056</v>
      </c>
      <c r="I248" t="s">
        <v>1166</v>
      </c>
    </row>
    <row r="249" spans="6:9" x14ac:dyDescent="0.3">
      <c r="F249" s="2">
        <v>2021130010194</v>
      </c>
      <c r="G249" t="s">
        <v>1026</v>
      </c>
      <c r="H249" t="s">
        <v>1098</v>
      </c>
      <c r="I249" t="s">
        <v>1158</v>
      </c>
    </row>
    <row r="250" spans="6:9" x14ac:dyDescent="0.3">
      <c r="F250" s="2">
        <v>2021130010195</v>
      </c>
      <c r="G250" t="s">
        <v>1026</v>
      </c>
      <c r="H250" t="s">
        <v>1106</v>
      </c>
      <c r="I250" t="s">
        <v>1167</v>
      </c>
    </row>
    <row r="251" spans="6:9" x14ac:dyDescent="0.3">
      <c r="F251" s="2">
        <v>2021130010196</v>
      </c>
      <c r="G251" t="s">
        <v>1026</v>
      </c>
      <c r="H251" t="s">
        <v>1106</v>
      </c>
      <c r="I251" t="s">
        <v>1107</v>
      </c>
    </row>
    <row r="252" spans="6:9" x14ac:dyDescent="0.3">
      <c r="F252" s="2">
        <v>2021130010197</v>
      </c>
      <c r="G252" t="s">
        <v>1026</v>
      </c>
      <c r="H252" t="s">
        <v>1084</v>
      </c>
      <c r="I252" t="s">
        <v>1096</v>
      </c>
    </row>
    <row r="253" spans="6:9" x14ac:dyDescent="0.3">
      <c r="F253" s="2">
        <v>2021130010198</v>
      </c>
      <c r="G253" t="s">
        <v>1026</v>
      </c>
      <c r="H253" t="s">
        <v>1084</v>
      </c>
      <c r="I253" t="s">
        <v>1168</v>
      </c>
    </row>
    <row r="254" spans="6:9" x14ac:dyDescent="0.3">
      <c r="F254" s="2">
        <v>2021130010199</v>
      </c>
      <c r="G254" t="s">
        <v>1018</v>
      </c>
      <c r="H254" t="s">
        <v>1162</v>
      </c>
      <c r="I254" t="s">
        <v>1169</v>
      </c>
    </row>
    <row r="255" spans="6:9" x14ac:dyDescent="0.3">
      <c r="F255" s="2">
        <v>2021130010200</v>
      </c>
      <c r="G255" t="s">
        <v>1026</v>
      </c>
      <c r="H255" t="s">
        <v>1084</v>
      </c>
      <c r="I255" t="s">
        <v>1170</v>
      </c>
    </row>
    <row r="256" spans="6:9" x14ac:dyDescent="0.3">
      <c r="F256" s="2">
        <v>2021130010201</v>
      </c>
      <c r="G256" t="s">
        <v>1026</v>
      </c>
      <c r="H256" t="s">
        <v>1084</v>
      </c>
      <c r="I256" t="s">
        <v>1170</v>
      </c>
    </row>
    <row r="257" spans="6:9" x14ac:dyDescent="0.3">
      <c r="F257" s="2">
        <v>2021130010202</v>
      </c>
      <c r="G257" t="s">
        <v>1026</v>
      </c>
      <c r="H257" t="s">
        <v>1106</v>
      </c>
      <c r="I257" t="s">
        <v>1167</v>
      </c>
    </row>
    <row r="258" spans="6:9" x14ac:dyDescent="0.3">
      <c r="F258" s="2">
        <v>2021130010203</v>
      </c>
      <c r="G258" t="s">
        <v>1055</v>
      </c>
      <c r="H258" t="s">
        <v>1133</v>
      </c>
      <c r="I258" t="s">
        <v>1171</v>
      </c>
    </row>
    <row r="259" spans="6:9" x14ac:dyDescent="0.3">
      <c r="F259" s="2">
        <v>2021130010204</v>
      </c>
      <c r="G259" t="s">
        <v>1055</v>
      </c>
      <c r="H259" t="s">
        <v>1133</v>
      </c>
      <c r="I259" t="s">
        <v>1134</v>
      </c>
    </row>
    <row r="260" spans="6:9" x14ac:dyDescent="0.3">
      <c r="F260" s="2">
        <v>2021130010205</v>
      </c>
      <c r="G260" t="s">
        <v>1055</v>
      </c>
      <c r="H260" t="s">
        <v>1133</v>
      </c>
      <c r="I260" t="s">
        <v>1172</v>
      </c>
    </row>
    <row r="261" spans="6:9" x14ac:dyDescent="0.3">
      <c r="F261" s="2">
        <v>2021130010208</v>
      </c>
      <c r="G261" t="s">
        <v>1026</v>
      </c>
      <c r="H261" t="s">
        <v>1106</v>
      </c>
      <c r="I261" t="s">
        <v>1107</v>
      </c>
    </row>
    <row r="262" spans="6:9" x14ac:dyDescent="0.3">
      <c r="F262" s="2">
        <v>2021130010209</v>
      </c>
      <c r="G262" t="s">
        <v>1060</v>
      </c>
      <c r="H262" t="s">
        <v>1173</v>
      </c>
      <c r="I262" t="s">
        <v>1174</v>
      </c>
    </row>
    <row r="263" spans="6:9" x14ac:dyDescent="0.3">
      <c r="F263" s="2">
        <v>2021130010210</v>
      </c>
      <c r="G263" t="s">
        <v>1060</v>
      </c>
      <c r="H263" t="s">
        <v>1173</v>
      </c>
      <c r="I263" t="s">
        <v>1175</v>
      </c>
    </row>
    <row r="264" spans="6:9" x14ac:dyDescent="0.3">
      <c r="F264" s="2">
        <v>2021130010211</v>
      </c>
      <c r="G264" t="s">
        <v>1060</v>
      </c>
      <c r="H264" t="s">
        <v>1173</v>
      </c>
      <c r="I264" t="s">
        <v>1176</v>
      </c>
    </row>
    <row r="265" spans="6:9" x14ac:dyDescent="0.3">
      <c r="F265" s="2">
        <v>2021130010212</v>
      </c>
      <c r="G265" t="s">
        <v>1026</v>
      </c>
      <c r="H265" t="s">
        <v>1106</v>
      </c>
      <c r="I265" t="s">
        <v>1177</v>
      </c>
    </row>
    <row r="266" spans="6:9" x14ac:dyDescent="0.3">
      <c r="F266" s="2">
        <v>2021130010213</v>
      </c>
      <c r="G266" t="s">
        <v>1060</v>
      </c>
      <c r="H266" t="s">
        <v>1178</v>
      </c>
      <c r="I266" t="s">
        <v>1179</v>
      </c>
    </row>
    <row r="267" spans="6:9" x14ac:dyDescent="0.3">
      <c r="F267" s="2">
        <v>2021130010214</v>
      </c>
      <c r="G267" t="s">
        <v>1060</v>
      </c>
      <c r="H267" t="s">
        <v>1178</v>
      </c>
      <c r="I267" t="s">
        <v>1179</v>
      </c>
    </row>
    <row r="268" spans="6:9" x14ac:dyDescent="0.3">
      <c r="F268" s="2">
        <v>2021130010215</v>
      </c>
      <c r="G268" s="2" t="s">
        <v>1026</v>
      </c>
      <c r="H268" s="2" t="s">
        <v>1098</v>
      </c>
      <c r="I268" s="2" t="s">
        <v>1139</v>
      </c>
    </row>
    <row r="269" spans="6:9" x14ac:dyDescent="0.3">
      <c r="F269" s="2">
        <v>2021130010216</v>
      </c>
      <c r="G269" t="s">
        <v>1055</v>
      </c>
      <c r="H269" t="s">
        <v>1056</v>
      </c>
      <c r="I269" t="s">
        <v>1166</v>
      </c>
    </row>
    <row r="270" spans="6:9" x14ac:dyDescent="0.3">
      <c r="F270" s="2">
        <v>2021130010217</v>
      </c>
      <c r="G270" t="s">
        <v>1026</v>
      </c>
      <c r="H270" t="s">
        <v>1084</v>
      </c>
      <c r="I270" t="s">
        <v>1180</v>
      </c>
    </row>
    <row r="271" spans="6:9" x14ac:dyDescent="0.3">
      <c r="F271" s="2">
        <v>2021130010218</v>
      </c>
      <c r="G271" t="s">
        <v>1026</v>
      </c>
      <c r="H271" t="s">
        <v>1106</v>
      </c>
      <c r="I271" t="s">
        <v>1107</v>
      </c>
    </row>
    <row r="272" spans="6:9" x14ac:dyDescent="0.3">
      <c r="F272" s="2">
        <v>2021130010219</v>
      </c>
      <c r="G272" t="s">
        <v>1018</v>
      </c>
      <c r="H272" t="s">
        <v>1019</v>
      </c>
      <c r="I272" t="s">
        <v>1181</v>
      </c>
    </row>
    <row r="273" spans="6:9" x14ac:dyDescent="0.3">
      <c r="F273" s="2">
        <v>2021130010220</v>
      </c>
      <c r="G273" t="s">
        <v>1018</v>
      </c>
      <c r="H273" t="s">
        <v>1019</v>
      </c>
      <c r="I273" t="s">
        <v>1181</v>
      </c>
    </row>
    <row r="274" spans="6:9" x14ac:dyDescent="0.3">
      <c r="F274" s="2">
        <v>2021130010221</v>
      </c>
      <c r="G274" t="s">
        <v>1018</v>
      </c>
      <c r="H274" t="s">
        <v>1019</v>
      </c>
      <c r="I274" t="s">
        <v>1181</v>
      </c>
    </row>
    <row r="275" spans="6:9" x14ac:dyDescent="0.3">
      <c r="F275" s="2">
        <v>2021130010222</v>
      </c>
      <c r="G275" t="s">
        <v>1060</v>
      </c>
      <c r="H275" t="s">
        <v>1178</v>
      </c>
      <c r="I275" t="s">
        <v>1182</v>
      </c>
    </row>
    <row r="276" spans="6:9" x14ac:dyDescent="0.3">
      <c r="F276" s="2">
        <v>2021130010223</v>
      </c>
      <c r="G276" t="s">
        <v>1026</v>
      </c>
      <c r="H276" t="s">
        <v>1084</v>
      </c>
      <c r="I276" t="s">
        <v>1090</v>
      </c>
    </row>
    <row r="277" spans="6:9" x14ac:dyDescent="0.3">
      <c r="F277" s="2">
        <v>2021130010224</v>
      </c>
      <c r="G277" t="s">
        <v>1030</v>
      </c>
      <c r="H277" t="s">
        <v>1038</v>
      </c>
      <c r="I277" t="s">
        <v>1100</v>
      </c>
    </row>
    <row r="278" spans="6:9" x14ac:dyDescent="0.3">
      <c r="F278" s="2">
        <v>2021130010225</v>
      </c>
      <c r="G278" t="s">
        <v>1026</v>
      </c>
      <c r="H278" t="s">
        <v>1084</v>
      </c>
      <c r="I278" t="s">
        <v>1156</v>
      </c>
    </row>
    <row r="279" spans="6:9" x14ac:dyDescent="0.3">
      <c r="F279" s="2">
        <v>2021130010226</v>
      </c>
      <c r="G279" t="s">
        <v>1030</v>
      </c>
      <c r="H279" t="s">
        <v>1038</v>
      </c>
      <c r="I279" t="s">
        <v>1183</v>
      </c>
    </row>
    <row r="280" spans="6:9" x14ac:dyDescent="0.3">
      <c r="F280" s="2">
        <v>2021130010227</v>
      </c>
      <c r="G280" t="s">
        <v>1030</v>
      </c>
      <c r="H280" t="s">
        <v>1038</v>
      </c>
      <c r="I280" t="s">
        <v>1087</v>
      </c>
    </row>
    <row r="281" spans="6:9" x14ac:dyDescent="0.3">
      <c r="F281" s="2">
        <v>2021130010228</v>
      </c>
      <c r="G281" t="s">
        <v>1060</v>
      </c>
      <c r="H281" t="s">
        <v>1178</v>
      </c>
      <c r="I281" t="s">
        <v>1184</v>
      </c>
    </row>
    <row r="282" spans="6:9" x14ac:dyDescent="0.3">
      <c r="F282" s="2">
        <v>2021130010229</v>
      </c>
      <c r="G282" t="s">
        <v>1060</v>
      </c>
      <c r="H282" t="s">
        <v>1178</v>
      </c>
      <c r="I282" t="s">
        <v>1185</v>
      </c>
    </row>
    <row r="283" spans="6:9" x14ac:dyDescent="0.3">
      <c r="F283" s="2">
        <v>2021130010230</v>
      </c>
      <c r="G283" t="s">
        <v>1030</v>
      </c>
      <c r="H283" t="s">
        <v>1031</v>
      </c>
      <c r="I283" t="s">
        <v>1186</v>
      </c>
    </row>
    <row r="284" spans="6:9" x14ac:dyDescent="0.3">
      <c r="F284" s="2">
        <v>2021130010231</v>
      </c>
      <c r="G284" t="s">
        <v>1018</v>
      </c>
      <c r="H284" t="s">
        <v>1187</v>
      </c>
      <c r="I284" t="s">
        <v>1188</v>
      </c>
    </row>
    <row r="285" spans="6:9" x14ac:dyDescent="0.3">
      <c r="F285" s="2">
        <v>2021130010232</v>
      </c>
      <c r="G285" t="s">
        <v>1018</v>
      </c>
      <c r="H285" t="s">
        <v>1187</v>
      </c>
      <c r="I285" t="s">
        <v>1189</v>
      </c>
    </row>
    <row r="286" spans="6:9" x14ac:dyDescent="0.3">
      <c r="F286" s="2">
        <v>2021130010233</v>
      </c>
      <c r="G286" t="s">
        <v>1060</v>
      </c>
      <c r="H286" t="s">
        <v>1178</v>
      </c>
      <c r="I286" t="s">
        <v>1179</v>
      </c>
    </row>
    <row r="287" spans="6:9" x14ac:dyDescent="0.3">
      <c r="F287" s="2">
        <v>2021130010234</v>
      </c>
      <c r="G287" t="s">
        <v>1060</v>
      </c>
      <c r="H287" t="s">
        <v>1190</v>
      </c>
      <c r="I287" t="s">
        <v>1191</v>
      </c>
    </row>
    <row r="288" spans="6:9" x14ac:dyDescent="0.3">
      <c r="F288" s="2">
        <v>2021130010235</v>
      </c>
      <c r="G288" t="s">
        <v>1060</v>
      </c>
      <c r="H288" t="s">
        <v>1190</v>
      </c>
      <c r="I288" t="s">
        <v>1191</v>
      </c>
    </row>
    <row r="289" spans="6:9" x14ac:dyDescent="0.3">
      <c r="F289" s="2">
        <v>2021130010237</v>
      </c>
      <c r="G289" t="s">
        <v>1060</v>
      </c>
      <c r="H289" t="s">
        <v>1127</v>
      </c>
      <c r="I289" t="s">
        <v>1192</v>
      </c>
    </row>
    <row r="290" spans="6:9" x14ac:dyDescent="0.3">
      <c r="F290" s="2">
        <v>2021130010238</v>
      </c>
      <c r="G290" t="s">
        <v>1018</v>
      </c>
      <c r="H290" t="s">
        <v>1187</v>
      </c>
      <c r="I290" t="s">
        <v>1193</v>
      </c>
    </row>
    <row r="291" spans="6:9" x14ac:dyDescent="0.3">
      <c r="F291" s="2">
        <v>2021130010239</v>
      </c>
      <c r="G291" t="s">
        <v>1018</v>
      </c>
      <c r="H291" t="s">
        <v>1187</v>
      </c>
      <c r="I291" t="s">
        <v>1194</v>
      </c>
    </row>
    <row r="292" spans="6:9" x14ac:dyDescent="0.3">
      <c r="F292" s="2">
        <v>2021130010240</v>
      </c>
      <c r="G292" t="s">
        <v>1018</v>
      </c>
      <c r="H292" t="s">
        <v>1162</v>
      </c>
      <c r="I292" t="s">
        <v>1195</v>
      </c>
    </row>
    <row r="293" spans="6:9" x14ac:dyDescent="0.3">
      <c r="F293" s="2">
        <v>2021130010241</v>
      </c>
      <c r="G293" t="s">
        <v>1018</v>
      </c>
      <c r="H293" t="s">
        <v>1187</v>
      </c>
      <c r="I293" t="s">
        <v>1196</v>
      </c>
    </row>
    <row r="294" spans="6:9" x14ac:dyDescent="0.3">
      <c r="F294" s="2">
        <v>2021130010242</v>
      </c>
      <c r="G294" t="s">
        <v>1018</v>
      </c>
      <c r="H294" t="s">
        <v>1187</v>
      </c>
      <c r="I294" t="s">
        <v>1197</v>
      </c>
    </row>
    <row r="295" spans="6:9" x14ac:dyDescent="0.3">
      <c r="F295" s="2">
        <v>2021130010244</v>
      </c>
      <c r="G295" t="s">
        <v>1030</v>
      </c>
      <c r="H295" t="s">
        <v>1123</v>
      </c>
      <c r="I295" t="s">
        <v>1154</v>
      </c>
    </row>
    <row r="296" spans="6:9" x14ac:dyDescent="0.3">
      <c r="F296" s="2">
        <v>2021130010245</v>
      </c>
      <c r="G296" t="s">
        <v>1055</v>
      </c>
      <c r="H296" t="s">
        <v>1113</v>
      </c>
      <c r="I296" t="s">
        <v>1198</v>
      </c>
    </row>
    <row r="297" spans="6:9" x14ac:dyDescent="0.3">
      <c r="F297" s="2">
        <v>2021130010246</v>
      </c>
      <c r="G297" t="s">
        <v>1026</v>
      </c>
      <c r="H297" t="s">
        <v>1051</v>
      </c>
      <c r="I297" t="s">
        <v>1199</v>
      </c>
    </row>
    <row r="298" spans="6:9" x14ac:dyDescent="0.3">
      <c r="F298" s="2">
        <v>2021130010247</v>
      </c>
      <c r="G298" t="s">
        <v>1026</v>
      </c>
      <c r="H298" t="s">
        <v>1051</v>
      </c>
      <c r="I298" t="s">
        <v>1199</v>
      </c>
    </row>
    <row r="299" spans="6:9" x14ac:dyDescent="0.3">
      <c r="F299" s="2">
        <v>2021130010248</v>
      </c>
      <c r="G299" t="s">
        <v>1026</v>
      </c>
      <c r="H299" t="s">
        <v>1051</v>
      </c>
      <c r="I299" t="s">
        <v>1200</v>
      </c>
    </row>
    <row r="300" spans="6:9" x14ac:dyDescent="0.3">
      <c r="F300" s="2">
        <v>2021130010249</v>
      </c>
      <c r="G300" t="s">
        <v>1026</v>
      </c>
      <c r="H300" t="s">
        <v>1051</v>
      </c>
      <c r="I300" t="s">
        <v>1121</v>
      </c>
    </row>
    <row r="301" spans="6:9" x14ac:dyDescent="0.3">
      <c r="F301" s="2">
        <v>2021130010250</v>
      </c>
      <c r="G301" t="s">
        <v>1026</v>
      </c>
      <c r="H301" t="s">
        <v>1051</v>
      </c>
      <c r="I301" t="s">
        <v>1121</v>
      </c>
    </row>
    <row r="302" spans="6:9" x14ac:dyDescent="0.3">
      <c r="F302" s="2">
        <v>2021130010251</v>
      </c>
      <c r="G302" t="s">
        <v>1026</v>
      </c>
      <c r="H302" t="s">
        <v>1051</v>
      </c>
      <c r="I302" t="s">
        <v>1199</v>
      </c>
    </row>
    <row r="303" spans="6:9" x14ac:dyDescent="0.3">
      <c r="F303" s="2">
        <v>2021130010252</v>
      </c>
      <c r="G303" t="s">
        <v>1026</v>
      </c>
      <c r="H303" t="s">
        <v>1051</v>
      </c>
      <c r="I303" t="s">
        <v>1200</v>
      </c>
    </row>
    <row r="304" spans="6:9" x14ac:dyDescent="0.3">
      <c r="F304" s="2">
        <v>2021130010253</v>
      </c>
      <c r="G304" t="s">
        <v>1026</v>
      </c>
      <c r="H304" t="s">
        <v>1051</v>
      </c>
      <c r="I304" t="s">
        <v>1200</v>
      </c>
    </row>
    <row r="305" spans="6:9" x14ac:dyDescent="0.3">
      <c r="F305" s="2">
        <v>2021130010255</v>
      </c>
      <c r="G305" t="s">
        <v>1030</v>
      </c>
      <c r="H305" t="s">
        <v>1035</v>
      </c>
      <c r="I305" t="s">
        <v>1125</v>
      </c>
    </row>
    <row r="306" spans="6:9" x14ac:dyDescent="0.3">
      <c r="F306" s="2">
        <v>2021130010256</v>
      </c>
      <c r="G306" t="s">
        <v>1030</v>
      </c>
      <c r="H306" t="s">
        <v>1123</v>
      </c>
      <c r="I306" t="s">
        <v>1154</v>
      </c>
    </row>
    <row r="307" spans="6:9" x14ac:dyDescent="0.3">
      <c r="F307" s="2">
        <v>2021130010257</v>
      </c>
      <c r="G307" t="s">
        <v>1018</v>
      </c>
      <c r="H307" t="s">
        <v>1019</v>
      </c>
      <c r="I307" t="s">
        <v>1020</v>
      </c>
    </row>
    <row r="308" spans="6:9" x14ac:dyDescent="0.3">
      <c r="F308" s="2">
        <v>2021130010259</v>
      </c>
      <c r="G308" t="s">
        <v>1030</v>
      </c>
      <c r="H308" t="s">
        <v>1048</v>
      </c>
      <c r="I308" t="s">
        <v>1141</v>
      </c>
    </row>
    <row r="309" spans="6:9" x14ac:dyDescent="0.3">
      <c r="F309" s="2">
        <v>2021130010261</v>
      </c>
      <c r="G309" t="s">
        <v>1026</v>
      </c>
      <c r="H309" t="s">
        <v>1091</v>
      </c>
      <c r="I309" t="s">
        <v>1111</v>
      </c>
    </row>
    <row r="310" spans="6:9" x14ac:dyDescent="0.3">
      <c r="F310" s="2">
        <v>2021130010262</v>
      </c>
      <c r="G310" t="s">
        <v>1026</v>
      </c>
      <c r="H310" t="s">
        <v>1091</v>
      </c>
      <c r="I310" t="s">
        <v>1111</v>
      </c>
    </row>
    <row r="311" spans="6:9" x14ac:dyDescent="0.3">
      <c r="F311" s="2">
        <v>2021130010264</v>
      </c>
      <c r="G311" t="s">
        <v>1018</v>
      </c>
      <c r="H311" t="s">
        <v>1162</v>
      </c>
      <c r="I311" t="s">
        <v>1195</v>
      </c>
    </row>
    <row r="312" spans="6:9" x14ac:dyDescent="0.3">
      <c r="F312" s="2">
        <v>2021130010265</v>
      </c>
      <c r="G312" t="s">
        <v>1030</v>
      </c>
      <c r="H312" t="s">
        <v>1035</v>
      </c>
      <c r="I312" t="s">
        <v>1095</v>
      </c>
    </row>
    <row r="313" spans="6:9" x14ac:dyDescent="0.3">
      <c r="F313" s="2">
        <v>2021130010266</v>
      </c>
      <c r="G313" t="s">
        <v>1026</v>
      </c>
      <c r="H313" t="s">
        <v>1051</v>
      </c>
      <c r="I313" t="s">
        <v>1201</v>
      </c>
    </row>
    <row r="314" spans="6:9" x14ac:dyDescent="0.3">
      <c r="F314" s="2">
        <v>2021130010267</v>
      </c>
      <c r="G314" t="s">
        <v>1026</v>
      </c>
      <c r="H314" t="s">
        <v>1051</v>
      </c>
      <c r="I314" t="s">
        <v>1202</v>
      </c>
    </row>
    <row r="315" spans="6:9" x14ac:dyDescent="0.3">
      <c r="F315" s="2">
        <v>2021130010268</v>
      </c>
      <c r="G315" t="s">
        <v>1026</v>
      </c>
      <c r="H315" t="s">
        <v>1051</v>
      </c>
      <c r="I315" t="s">
        <v>1202</v>
      </c>
    </row>
    <row r="316" spans="6:9" x14ac:dyDescent="0.3">
      <c r="F316" s="2">
        <v>2021130010270</v>
      </c>
      <c r="G316" t="s">
        <v>1030</v>
      </c>
      <c r="H316" t="s">
        <v>1031</v>
      </c>
      <c r="I316" t="s">
        <v>1203</v>
      </c>
    </row>
    <row r="317" spans="6:9" x14ac:dyDescent="0.3">
      <c r="F317" s="2">
        <v>2021130010271</v>
      </c>
      <c r="G317" t="s">
        <v>1026</v>
      </c>
      <c r="H317" t="s">
        <v>1091</v>
      </c>
      <c r="I317" t="s">
        <v>1204</v>
      </c>
    </row>
    <row r="318" spans="6:9" x14ac:dyDescent="0.3">
      <c r="F318" s="2">
        <v>2021130010272</v>
      </c>
      <c r="G318" t="s">
        <v>1026</v>
      </c>
      <c r="H318" t="s">
        <v>1051</v>
      </c>
      <c r="I318" t="s">
        <v>1201</v>
      </c>
    </row>
    <row r="319" spans="6:9" x14ac:dyDescent="0.3">
      <c r="F319" s="2">
        <v>2021130010274</v>
      </c>
      <c r="G319" t="s">
        <v>1018</v>
      </c>
      <c r="H319" t="s">
        <v>1205</v>
      </c>
      <c r="I319" t="s">
        <v>1206</v>
      </c>
    </row>
    <row r="320" spans="6:9" x14ac:dyDescent="0.3">
      <c r="F320" s="2">
        <v>2021130010275</v>
      </c>
      <c r="G320" t="s">
        <v>1018</v>
      </c>
      <c r="H320" t="s">
        <v>1021</v>
      </c>
      <c r="I320" t="s">
        <v>1207</v>
      </c>
    </row>
    <row r="321" spans="6:9" x14ac:dyDescent="0.3">
      <c r="F321" s="2">
        <v>2021130010276</v>
      </c>
      <c r="G321" t="s">
        <v>1060</v>
      </c>
      <c r="H321" t="s">
        <v>1127</v>
      </c>
      <c r="I321" t="s">
        <v>1208</v>
      </c>
    </row>
    <row r="322" spans="6:9" x14ac:dyDescent="0.3">
      <c r="F322" s="2">
        <v>2021130010278</v>
      </c>
      <c r="G322" t="s">
        <v>1055</v>
      </c>
      <c r="H322" t="s">
        <v>1133</v>
      </c>
      <c r="I322" t="s">
        <v>1134</v>
      </c>
    </row>
    <row r="323" spans="6:9" x14ac:dyDescent="0.3">
      <c r="F323" s="2">
        <v>2021130010279</v>
      </c>
      <c r="G323" t="s">
        <v>1018</v>
      </c>
      <c r="H323" t="s">
        <v>1021</v>
      </c>
      <c r="I323" t="s">
        <v>1209</v>
      </c>
    </row>
    <row r="324" spans="6:9" x14ac:dyDescent="0.3">
      <c r="F324" s="2">
        <v>2021130010280</v>
      </c>
      <c r="G324" t="s">
        <v>1055</v>
      </c>
      <c r="H324" t="s">
        <v>1056</v>
      </c>
      <c r="I324" t="s">
        <v>1057</v>
      </c>
    </row>
    <row r="325" spans="6:9" x14ac:dyDescent="0.3">
      <c r="F325" s="2">
        <v>2021130010281</v>
      </c>
      <c r="G325" t="s">
        <v>1060</v>
      </c>
      <c r="H325" t="s">
        <v>1127</v>
      </c>
      <c r="I325" t="s">
        <v>1132</v>
      </c>
    </row>
    <row r="326" spans="6:9" x14ac:dyDescent="0.3">
      <c r="F326" s="2">
        <v>2021130010282</v>
      </c>
      <c r="G326" t="s">
        <v>1060</v>
      </c>
      <c r="H326" t="s">
        <v>1127</v>
      </c>
      <c r="I326" t="s">
        <v>1160</v>
      </c>
    </row>
    <row r="327" spans="6:9" x14ac:dyDescent="0.3">
      <c r="F327" s="2">
        <v>2021130010283</v>
      </c>
      <c r="G327" t="s">
        <v>1018</v>
      </c>
      <c r="H327" t="s">
        <v>1021</v>
      </c>
      <c r="I327" t="s">
        <v>1102</v>
      </c>
    </row>
    <row r="328" spans="6:9" x14ac:dyDescent="0.3">
      <c r="F328" s="2">
        <v>2021130010284</v>
      </c>
      <c r="G328" t="s">
        <v>1018</v>
      </c>
      <c r="H328" t="s">
        <v>1162</v>
      </c>
      <c r="I328" t="s">
        <v>1210</v>
      </c>
    </row>
    <row r="329" spans="6:9" x14ac:dyDescent="0.3">
      <c r="F329" s="2">
        <v>2021130010285</v>
      </c>
      <c r="G329" t="s">
        <v>1018</v>
      </c>
      <c r="H329" t="s">
        <v>1104</v>
      </c>
      <c r="I329" t="s">
        <v>1211</v>
      </c>
    </row>
    <row r="330" spans="6:9" x14ac:dyDescent="0.3">
      <c r="F330" s="2">
        <v>2021130010286</v>
      </c>
      <c r="G330" t="s">
        <v>1018</v>
      </c>
      <c r="H330" t="s">
        <v>1162</v>
      </c>
      <c r="I330" t="s">
        <v>1210</v>
      </c>
    </row>
    <row r="331" spans="6:9" x14ac:dyDescent="0.3">
      <c r="F331" s="2">
        <v>2021130010287</v>
      </c>
      <c r="G331" t="s">
        <v>1018</v>
      </c>
      <c r="H331" t="s">
        <v>1162</v>
      </c>
      <c r="I331" t="s">
        <v>1212</v>
      </c>
    </row>
    <row r="332" spans="6:9" x14ac:dyDescent="0.3">
      <c r="F332" s="2">
        <v>2021130010288</v>
      </c>
      <c r="G332" t="s">
        <v>1026</v>
      </c>
      <c r="H332" t="s">
        <v>1106</v>
      </c>
      <c r="I332" t="s">
        <v>1213</v>
      </c>
    </row>
    <row r="333" spans="6:9" x14ac:dyDescent="0.3">
      <c r="F333" s="2">
        <v>2021130010289</v>
      </c>
      <c r="G333" t="s">
        <v>1055</v>
      </c>
      <c r="H333" t="s">
        <v>1133</v>
      </c>
      <c r="I333" t="s">
        <v>1134</v>
      </c>
    </row>
    <row r="334" spans="6:9" x14ac:dyDescent="0.3">
      <c r="F334" s="2">
        <v>2021130010290</v>
      </c>
      <c r="G334" t="s">
        <v>1055</v>
      </c>
      <c r="H334" t="s">
        <v>1056</v>
      </c>
      <c r="I334" t="s">
        <v>1214</v>
      </c>
    </row>
    <row r="335" spans="6:9" x14ac:dyDescent="0.3">
      <c r="F335" s="2">
        <v>2021130010292</v>
      </c>
      <c r="G335" t="s">
        <v>1026</v>
      </c>
      <c r="H335" t="s">
        <v>1106</v>
      </c>
      <c r="I335" t="s">
        <v>1107</v>
      </c>
    </row>
    <row r="336" spans="6:9" x14ac:dyDescent="0.3">
      <c r="F336" s="2">
        <v>2021130010293</v>
      </c>
      <c r="G336" t="s">
        <v>1026</v>
      </c>
      <c r="H336" t="s">
        <v>1106</v>
      </c>
      <c r="I336" t="s">
        <v>1107</v>
      </c>
    </row>
    <row r="337" spans="6:9" x14ac:dyDescent="0.3">
      <c r="F337" s="2">
        <v>2022130010001</v>
      </c>
      <c r="G337" t="s">
        <v>1018</v>
      </c>
      <c r="H337" t="s">
        <v>1205</v>
      </c>
      <c r="I337" t="s">
        <v>1215</v>
      </c>
    </row>
    <row r="338" spans="6:9" x14ac:dyDescent="0.3">
      <c r="F338" s="2">
        <v>2022130010002</v>
      </c>
      <c r="G338" t="s">
        <v>1018</v>
      </c>
      <c r="H338" t="s">
        <v>1019</v>
      </c>
      <c r="I338" t="s">
        <v>1020</v>
      </c>
    </row>
    <row r="339" spans="6:9" x14ac:dyDescent="0.3">
      <c r="F339" s="2">
        <v>2022130010003</v>
      </c>
      <c r="G339" t="s">
        <v>1018</v>
      </c>
      <c r="H339" t="s">
        <v>1019</v>
      </c>
      <c r="I339" t="s">
        <v>1020</v>
      </c>
    </row>
    <row r="340" spans="6:9" x14ac:dyDescent="0.3">
      <c r="F340" s="2">
        <v>2022130010004</v>
      </c>
      <c r="G340" t="s">
        <v>1018</v>
      </c>
      <c r="H340" t="s">
        <v>1019</v>
      </c>
      <c r="I340" t="s">
        <v>1020</v>
      </c>
    </row>
    <row r="341" spans="6:9" x14ac:dyDescent="0.3">
      <c r="F341" s="2">
        <v>2022130010005</v>
      </c>
      <c r="G341" t="s">
        <v>1018</v>
      </c>
      <c r="H341" t="s">
        <v>1019</v>
      </c>
      <c r="I341" t="s">
        <v>1020</v>
      </c>
    </row>
    <row r="342" spans="6:9" x14ac:dyDescent="0.3">
      <c r="F342" s="2">
        <v>2022130010006</v>
      </c>
      <c r="G342" t="s">
        <v>1018</v>
      </c>
      <c r="H342" t="s">
        <v>1019</v>
      </c>
      <c r="I342" t="s">
        <v>1020</v>
      </c>
    </row>
    <row r="343" spans="6:9" x14ac:dyDescent="0.3">
      <c r="F343" s="2">
        <v>2022130010007</v>
      </c>
      <c r="G343" t="s">
        <v>1018</v>
      </c>
      <c r="H343" t="s">
        <v>1019</v>
      </c>
      <c r="I343" t="s">
        <v>1020</v>
      </c>
    </row>
    <row r="344" spans="6:9" x14ac:dyDescent="0.3">
      <c r="F344" s="2">
        <v>2022130010009</v>
      </c>
      <c r="G344" t="s">
        <v>1018</v>
      </c>
      <c r="H344" t="s">
        <v>1019</v>
      </c>
      <c r="I344" t="s">
        <v>1020</v>
      </c>
    </row>
    <row r="345" spans="6:9" x14ac:dyDescent="0.3">
      <c r="F345" s="2">
        <v>2022130010013</v>
      </c>
      <c r="G345" s="2" t="s">
        <v>1018</v>
      </c>
      <c r="H345" s="2" t="s">
        <v>1021</v>
      </c>
      <c r="I345" s="2" t="s">
        <v>1102</v>
      </c>
    </row>
    <row r="346" spans="6:9" x14ac:dyDescent="0.3">
      <c r="F346" s="2">
        <v>2022130010018</v>
      </c>
      <c r="G346" t="s">
        <v>1018</v>
      </c>
      <c r="H346" t="s">
        <v>1019</v>
      </c>
      <c r="I346" t="s">
        <v>1020</v>
      </c>
    </row>
    <row r="347" spans="6:9" x14ac:dyDescent="0.3">
      <c r="F347" s="2">
        <v>2022130010100</v>
      </c>
      <c r="G347" t="s">
        <v>1018</v>
      </c>
      <c r="H347" t="s">
        <v>1019</v>
      </c>
      <c r="I347" t="s">
        <v>1020</v>
      </c>
    </row>
    <row r="348" spans="6:9" x14ac:dyDescent="0.3">
      <c r="F348" s="2">
        <v>2021130010025</v>
      </c>
      <c r="G348" t="s">
        <v>1018</v>
      </c>
      <c r="H348" t="s">
        <v>1019</v>
      </c>
      <c r="I348" t="s">
        <v>1020</v>
      </c>
    </row>
    <row r="349" spans="6:9" x14ac:dyDescent="0.3">
      <c r="F349"/>
    </row>
    <row r="350" spans="6:9" x14ac:dyDescent="0.3">
      <c r="F350"/>
    </row>
    <row r="351" spans="6:9" x14ac:dyDescent="0.3">
      <c r="F351"/>
    </row>
    <row r="352" spans="6:9" x14ac:dyDescent="0.3">
      <c r="F352"/>
    </row>
    <row r="353" spans="6:6" x14ac:dyDescent="0.3">
      <c r="F353"/>
    </row>
    <row r="354" spans="6:6" x14ac:dyDescent="0.3">
      <c r="F354"/>
    </row>
    <row r="355" spans="6:6" x14ac:dyDescent="0.3">
      <c r="F355"/>
    </row>
    <row r="356" spans="6:6" x14ac:dyDescent="0.3">
      <c r="F356"/>
    </row>
    <row r="357" spans="6:6" x14ac:dyDescent="0.3">
      <c r="F357"/>
    </row>
    <row r="358" spans="6:6" x14ac:dyDescent="0.3">
      <c r="F358"/>
    </row>
    <row r="359" spans="6:6" x14ac:dyDescent="0.3">
      <c r="F359"/>
    </row>
    <row r="360" spans="6:6" x14ac:dyDescent="0.3">
      <c r="F360"/>
    </row>
    <row r="361" spans="6:6" x14ac:dyDescent="0.3">
      <c r="F361"/>
    </row>
    <row r="362" spans="6:6" x14ac:dyDescent="0.3">
      <c r="F362"/>
    </row>
    <row r="363" spans="6:6" x14ac:dyDescent="0.3">
      <c r="F363"/>
    </row>
    <row r="364" spans="6:6" x14ac:dyDescent="0.3">
      <c r="F364"/>
    </row>
    <row r="365" spans="6:6" x14ac:dyDescent="0.3">
      <c r="F365"/>
    </row>
    <row r="366" spans="6:6" x14ac:dyDescent="0.3">
      <c r="F366"/>
    </row>
    <row r="367" spans="6:6" x14ac:dyDescent="0.3">
      <c r="F367"/>
    </row>
    <row r="368" spans="6:6" x14ac:dyDescent="0.3">
      <c r="F368"/>
    </row>
    <row r="369" spans="6:6" x14ac:dyDescent="0.3">
      <c r="F369"/>
    </row>
    <row r="370" spans="6:6" x14ac:dyDescent="0.3">
      <c r="F370"/>
    </row>
    <row r="371" spans="6:6" x14ac:dyDescent="0.3">
      <c r="F371"/>
    </row>
    <row r="372" spans="6:6" x14ac:dyDescent="0.3">
      <c r="F372"/>
    </row>
    <row r="373" spans="6:6" x14ac:dyDescent="0.3">
      <c r="F373"/>
    </row>
    <row r="374" spans="6:6" x14ac:dyDescent="0.3">
      <c r="F374"/>
    </row>
    <row r="375" spans="6:6" x14ac:dyDescent="0.3">
      <c r="F375"/>
    </row>
    <row r="376" spans="6:6" x14ac:dyDescent="0.3">
      <c r="F376"/>
    </row>
    <row r="377" spans="6:6" x14ac:dyDescent="0.3">
      <c r="F377"/>
    </row>
    <row r="378" spans="6:6" x14ac:dyDescent="0.3">
      <c r="F378"/>
    </row>
    <row r="379" spans="6:6" x14ac:dyDescent="0.3">
      <c r="F379"/>
    </row>
    <row r="380" spans="6:6" x14ac:dyDescent="0.3">
      <c r="F380"/>
    </row>
    <row r="381" spans="6:6" x14ac:dyDescent="0.3">
      <c r="F381"/>
    </row>
    <row r="382" spans="6:6" x14ac:dyDescent="0.3">
      <c r="F382"/>
    </row>
    <row r="383" spans="6:6" x14ac:dyDescent="0.3">
      <c r="F383"/>
    </row>
    <row r="384" spans="6:6" x14ac:dyDescent="0.3">
      <c r="F384"/>
    </row>
    <row r="385" spans="6:6" x14ac:dyDescent="0.3">
      <c r="F385"/>
    </row>
    <row r="386" spans="6:6" x14ac:dyDescent="0.3">
      <c r="F386"/>
    </row>
    <row r="387" spans="6:6" x14ac:dyDescent="0.3">
      <c r="F387"/>
    </row>
    <row r="388" spans="6:6" x14ac:dyDescent="0.3">
      <c r="F388"/>
    </row>
    <row r="389" spans="6:6" x14ac:dyDescent="0.3">
      <c r="F389"/>
    </row>
    <row r="390" spans="6:6" x14ac:dyDescent="0.3">
      <c r="F390"/>
    </row>
    <row r="391" spans="6:6" x14ac:dyDescent="0.3">
      <c r="F391"/>
    </row>
    <row r="392" spans="6:6" x14ac:dyDescent="0.3">
      <c r="F392"/>
    </row>
    <row r="393" spans="6:6" x14ac:dyDescent="0.3">
      <c r="F393"/>
    </row>
    <row r="394" spans="6:6" x14ac:dyDescent="0.3">
      <c r="F394"/>
    </row>
    <row r="395" spans="6:6" x14ac:dyDescent="0.3">
      <c r="F395"/>
    </row>
    <row r="396" spans="6:6" x14ac:dyDescent="0.3">
      <c r="F396"/>
    </row>
    <row r="397" spans="6:6" x14ac:dyDescent="0.3">
      <c r="F397"/>
    </row>
    <row r="398" spans="6:6" x14ac:dyDescent="0.3">
      <c r="F398"/>
    </row>
    <row r="399" spans="6:6" x14ac:dyDescent="0.3">
      <c r="F399"/>
    </row>
    <row r="400" spans="6:6" x14ac:dyDescent="0.3">
      <c r="F400"/>
    </row>
    <row r="401" spans="6:6" x14ac:dyDescent="0.3">
      <c r="F401"/>
    </row>
    <row r="402" spans="6:6" x14ac:dyDescent="0.3">
      <c r="F402"/>
    </row>
    <row r="403" spans="6:6" x14ac:dyDescent="0.3">
      <c r="F403"/>
    </row>
    <row r="404" spans="6:6" x14ac:dyDescent="0.3">
      <c r="F404"/>
    </row>
    <row r="405" spans="6:6" x14ac:dyDescent="0.3">
      <c r="F405"/>
    </row>
    <row r="406" spans="6:6" x14ac:dyDescent="0.3">
      <c r="F406"/>
    </row>
    <row r="407" spans="6:6" x14ac:dyDescent="0.3">
      <c r="F407"/>
    </row>
    <row r="408" spans="6:6" x14ac:dyDescent="0.3">
      <c r="F408"/>
    </row>
    <row r="409" spans="6:6" x14ac:dyDescent="0.3">
      <c r="F409"/>
    </row>
    <row r="410" spans="6:6" x14ac:dyDescent="0.3">
      <c r="F410"/>
    </row>
    <row r="411" spans="6:6" x14ac:dyDescent="0.3">
      <c r="F411"/>
    </row>
    <row r="412" spans="6:6" x14ac:dyDescent="0.3">
      <c r="F412"/>
    </row>
    <row r="413" spans="6:6" x14ac:dyDescent="0.3">
      <c r="F413"/>
    </row>
    <row r="414" spans="6:6" x14ac:dyDescent="0.3">
      <c r="F414"/>
    </row>
    <row r="415" spans="6:6" x14ac:dyDescent="0.3">
      <c r="F415"/>
    </row>
    <row r="416" spans="6:6" x14ac:dyDescent="0.3">
      <c r="F416"/>
    </row>
    <row r="417" spans="6:6" x14ac:dyDescent="0.3">
      <c r="F417"/>
    </row>
    <row r="418" spans="6:6" x14ac:dyDescent="0.3">
      <c r="F418"/>
    </row>
    <row r="419" spans="6:6" x14ac:dyDescent="0.3">
      <c r="F419"/>
    </row>
    <row r="420" spans="6:6" x14ac:dyDescent="0.3">
      <c r="F420"/>
    </row>
    <row r="421" spans="6:6" x14ac:dyDescent="0.3">
      <c r="F421"/>
    </row>
    <row r="422" spans="6:6" x14ac:dyDescent="0.3">
      <c r="F422"/>
    </row>
    <row r="423" spans="6:6" x14ac:dyDescent="0.3">
      <c r="F423"/>
    </row>
    <row r="424" spans="6:6" x14ac:dyDescent="0.3">
      <c r="F424"/>
    </row>
    <row r="425" spans="6:6" x14ac:dyDescent="0.3">
      <c r="F425"/>
    </row>
    <row r="426" spans="6:6" x14ac:dyDescent="0.3">
      <c r="F426"/>
    </row>
    <row r="427" spans="6:6" x14ac:dyDescent="0.3">
      <c r="F427"/>
    </row>
    <row r="428" spans="6:6" x14ac:dyDescent="0.3">
      <c r="F428"/>
    </row>
    <row r="429" spans="6:6" x14ac:dyDescent="0.3">
      <c r="F429"/>
    </row>
    <row r="430" spans="6:6" x14ac:dyDescent="0.3">
      <c r="F430"/>
    </row>
    <row r="431" spans="6:6" x14ac:dyDescent="0.3">
      <c r="F431"/>
    </row>
    <row r="432" spans="6:6" x14ac:dyDescent="0.3">
      <c r="F432"/>
    </row>
    <row r="433" spans="6:6" x14ac:dyDescent="0.3">
      <c r="F433"/>
    </row>
    <row r="434" spans="6:6" x14ac:dyDescent="0.3">
      <c r="F434"/>
    </row>
    <row r="435" spans="6:6" x14ac:dyDescent="0.3">
      <c r="F435"/>
    </row>
    <row r="436" spans="6:6" x14ac:dyDescent="0.3">
      <c r="F436"/>
    </row>
    <row r="437" spans="6:6" x14ac:dyDescent="0.3">
      <c r="F437"/>
    </row>
    <row r="438" spans="6:6" x14ac:dyDescent="0.3">
      <c r="F438"/>
    </row>
    <row r="439" spans="6:6" x14ac:dyDescent="0.3">
      <c r="F439"/>
    </row>
    <row r="440" spans="6:6" x14ac:dyDescent="0.3">
      <c r="F440"/>
    </row>
    <row r="441" spans="6:6" x14ac:dyDescent="0.3">
      <c r="F441"/>
    </row>
    <row r="442" spans="6:6" x14ac:dyDescent="0.3">
      <c r="F442"/>
    </row>
    <row r="443" spans="6:6" x14ac:dyDescent="0.3">
      <c r="F443"/>
    </row>
    <row r="444" spans="6:6" x14ac:dyDescent="0.3">
      <c r="F444"/>
    </row>
    <row r="445" spans="6:6" x14ac:dyDescent="0.3">
      <c r="F445"/>
    </row>
    <row r="446" spans="6:6" x14ac:dyDescent="0.3">
      <c r="F446"/>
    </row>
    <row r="447" spans="6:6" x14ac:dyDescent="0.3">
      <c r="F447"/>
    </row>
    <row r="448" spans="6:6" x14ac:dyDescent="0.3">
      <c r="F448"/>
    </row>
    <row r="449" spans="6:6" x14ac:dyDescent="0.3">
      <c r="F449"/>
    </row>
    <row r="450" spans="6:6" x14ac:dyDescent="0.3">
      <c r="F450"/>
    </row>
    <row r="451" spans="6:6" x14ac:dyDescent="0.3">
      <c r="F451"/>
    </row>
    <row r="452" spans="6:6" x14ac:dyDescent="0.3">
      <c r="F452"/>
    </row>
    <row r="453" spans="6:6" x14ac:dyDescent="0.3">
      <c r="F453"/>
    </row>
    <row r="454" spans="6:6" x14ac:dyDescent="0.3">
      <c r="F454"/>
    </row>
    <row r="455" spans="6:6" x14ac:dyDescent="0.3">
      <c r="F455"/>
    </row>
    <row r="456" spans="6:6" x14ac:dyDescent="0.3">
      <c r="F456"/>
    </row>
    <row r="457" spans="6:6" x14ac:dyDescent="0.3">
      <c r="F457"/>
    </row>
    <row r="458" spans="6:6" x14ac:dyDescent="0.3">
      <c r="F458"/>
    </row>
    <row r="459" spans="6:6" x14ac:dyDescent="0.3">
      <c r="F459"/>
    </row>
    <row r="460" spans="6:6" x14ac:dyDescent="0.3">
      <c r="F460"/>
    </row>
    <row r="461" spans="6:6" x14ac:dyDescent="0.3">
      <c r="F461"/>
    </row>
  </sheetData>
  <conditionalFormatting sqref="F1:F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Hoja3</vt:lpstr>
      <vt:lpstr>BASE</vt:lpstr>
      <vt:lpstr>DESPACHO DEL ALCALDE</vt:lpstr>
      <vt:lpstr>S INTERIOR</vt:lpstr>
      <vt:lpstr>S. HACIENDA</vt:lpstr>
      <vt:lpstr>LOCALIDAD TURISTICA Y DE LA VIR</vt:lpstr>
      <vt:lpstr>SECRETARIA GENERAL </vt:lpstr>
      <vt:lpstr>S INFRAESTRUCTURA</vt:lpstr>
      <vt:lpstr>S EDUCACION</vt:lpstr>
      <vt:lpstr>S. PARTICIPACION </vt:lpstr>
      <vt:lpstr>S PLANEACION</vt:lpstr>
      <vt:lpstr>DADIS</vt:lpstr>
      <vt:lpstr>LOCALIDAD HISTORICA</vt:lpstr>
      <vt:lpstr>DATT</vt:lpstr>
      <vt:lpstr>VALORIZACION </vt:lpstr>
      <vt:lpstr>ESCUELA DE GOBIERNO</vt:lpstr>
      <vt:lpstr>IDER</vt:lpstr>
      <vt:lpstr>CORVIVIENDA</vt:lpstr>
      <vt:lpstr>IPCC</vt:lpstr>
      <vt:lpstr>EPA</vt:lpstr>
      <vt:lpstr>DISTRISEGURIDAD</vt:lpstr>
      <vt:lpstr>LOCALIDAD INDUSTRIAL </vt:lpstr>
      <vt:lpstr>INSTITUCION UNIVERSITARIA MAYOR</vt:lpstr>
      <vt:lpstr>POAI DICIEMBRE 2022</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DAVID TORNE LORDUY</dc:creator>
  <cp:lastModifiedBy>Nelson Figueroa</cp:lastModifiedBy>
  <dcterms:created xsi:type="dcterms:W3CDTF">2023-01-03T16:47:53Z</dcterms:created>
  <dcterms:modified xsi:type="dcterms:W3CDTF">2023-01-27T15:29:54Z</dcterms:modified>
</cp:coreProperties>
</file>